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comments9.xml" ContentType="application/vnd.openxmlformats-officedocument.spreadsheetml.comments+xml"/>
  <Override PartName="/xl/drawings/drawing3.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embeddings/oleObject1.bin" ContentType="application/vnd.openxmlformats-officedocument.oleObject"/>
  <Override PartName="/xl/embeddings/oleObject2.bin" ContentType="application/vnd.openxmlformats-officedocument.oleObject"/>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25"/>
  <workbookPr defaultThemeVersion="166925"/>
  <mc:AlternateContent xmlns:mc="http://schemas.openxmlformats.org/markup-compatibility/2006">
    <mc:Choice Requires="x15">
      <x15ac:absPath xmlns:x15ac="http://schemas.microsoft.com/office/spreadsheetml/2010/11/ac" url="/Users/chenyiman/Desktop/"/>
    </mc:Choice>
  </mc:AlternateContent>
  <xr:revisionPtr revIDLastSave="2" documentId="13_ncr:1_{44D22D9E-8ACD-9B4D-A741-9168C0624EEB}" xr6:coauthVersionLast="47" xr6:coauthVersionMax="47" xr10:uidLastSave="{E9370086-A62A-411E-BF81-48D6CEC74D51}"/>
  <bookViews>
    <workbookView xWindow="0" yWindow="500" windowWidth="28800" windowHeight="16600" tabRatio="906" firstSheet="10" activeTab="10" xr2:uid="{33FE049E-3ABB-4615-8214-2A4427F7956E}"/>
  </bookViews>
  <sheets>
    <sheet name="Base Model (backup)" sheetId="11" state="hidden" r:id="rId1"/>
    <sheet name="Base Model (2018) - backup" sheetId="18" state="hidden" r:id="rId2"/>
    <sheet name="Transportation (backup)" sheetId="17" state="hidden" r:id="rId3"/>
    <sheet name="2019 (whole list)" sheetId="2" state="hidden" r:id="rId4"/>
    <sheet name="2019 (average GHG per kg)" sheetId="3" state="hidden" r:id="rId5"/>
    <sheet name="2018 (food consumption)" sheetId="4" state="hidden" r:id="rId6"/>
    <sheet name="Optimal Diet" sheetId="67" r:id="rId7"/>
    <sheet name="Feasibility Report 1" sheetId="68" state="hidden" r:id="rId8"/>
    <sheet name="Feasibility Report 2" sheetId="69" state="hidden" r:id="rId9"/>
    <sheet name="Optimal Diet + 30 by 30" sheetId="56" r:id="rId10"/>
    <sheet name="Sensitivity Analysis" sheetId="70" r:id="rId11"/>
    <sheet name="GHG food types" sheetId="35" r:id="rId12"/>
    <sheet name="Base Model(2030) - backup" sheetId="31" r:id="rId13"/>
    <sheet name="Base Model(SCL)" sheetId="36" r:id="rId14"/>
    <sheet name="Base Model(2030)- Optimalhealth" sheetId="33" r:id="rId15"/>
    <sheet name="Base Model(2030)- 30by30Solver" sheetId="34" r:id="rId16"/>
  </sheets>
  <definedNames>
    <definedName name="_xlnm._FilterDatabase" localSheetId="3" hidden="1">'2019 (whole list)'!$A$1:$K$90</definedName>
    <definedName name="_xlnm._FilterDatabase" localSheetId="11" hidden="1">'GHG food types'!$A$1:$D$80</definedName>
    <definedName name="_xlnm._FilterDatabase" localSheetId="2" hidden="1">'Transportation (backup)'!$A$1:$I$90</definedName>
    <definedName name="solver_adj" localSheetId="1" hidden="1">'Base Model (2018) - backup'!$C$23:$C$35</definedName>
    <definedName name="solver_adj" localSheetId="0" hidden="1">'Base Model (backup)'!$C$23:$C$35</definedName>
    <definedName name="solver_adj" localSheetId="12" hidden="1">'Base Model(2030) - backup'!$C$23:$C$35</definedName>
    <definedName name="solver_adj" localSheetId="15" hidden="1">'Base Model(2030)- 30by30Solver'!$F$40:$F$128</definedName>
    <definedName name="solver_adj" localSheetId="14" hidden="1">'Base Model(2030)- Optimalhealth'!$C$23:$C$35</definedName>
    <definedName name="solver_adj" localSheetId="13" hidden="1">'Base Model(SCL)'!$C$28:$C$40</definedName>
    <definedName name="solver_adj" localSheetId="6" hidden="1">'Optimal Diet'!$C$28:$C$40</definedName>
    <definedName name="solver_adj" localSheetId="9" hidden="1">'Optimal Diet + 30 by 30'!$F$45:$F$91</definedName>
    <definedName name="solver_cvg" localSheetId="12" hidden="1">0.0001</definedName>
    <definedName name="solver_cvg" localSheetId="15" hidden="1">0.0001</definedName>
    <definedName name="solver_cvg" localSheetId="14" hidden="1">0.0001</definedName>
    <definedName name="solver_cvg" localSheetId="13" hidden="1">0.0001</definedName>
    <definedName name="solver_cvg" localSheetId="6" hidden="1">0.0001</definedName>
    <definedName name="solver_cvg" localSheetId="9" hidden="1">0.0001</definedName>
    <definedName name="solver_drv" localSheetId="12" hidden="1">2</definedName>
    <definedName name="solver_drv" localSheetId="15" hidden="1">2</definedName>
    <definedName name="solver_drv" localSheetId="14" hidden="1">2</definedName>
    <definedName name="solver_drv" localSheetId="13" hidden="1">2</definedName>
    <definedName name="solver_drv" localSheetId="6" hidden="1">2</definedName>
    <definedName name="solver_drv" localSheetId="9" hidden="1">2</definedName>
    <definedName name="solver_eng" localSheetId="1" hidden="1">1</definedName>
    <definedName name="solver_eng" localSheetId="0" hidden="1">1</definedName>
    <definedName name="solver_eng" localSheetId="12" hidden="1">1</definedName>
    <definedName name="solver_eng" localSheetId="15" hidden="1">1</definedName>
    <definedName name="solver_eng" localSheetId="14" hidden="1">1</definedName>
    <definedName name="solver_eng" localSheetId="13" hidden="1">1</definedName>
    <definedName name="solver_eng" localSheetId="6" hidden="1">1</definedName>
    <definedName name="solver_eng" localSheetId="9" hidden="1">1</definedName>
    <definedName name="solver_est" localSheetId="12" hidden="1">1</definedName>
    <definedName name="solver_est" localSheetId="15" hidden="1">1</definedName>
    <definedName name="solver_est" localSheetId="14" hidden="1">1</definedName>
    <definedName name="solver_est" localSheetId="13" hidden="1">1</definedName>
    <definedName name="solver_est" localSheetId="6" hidden="1">1</definedName>
    <definedName name="solver_est" localSheetId="9" hidden="1">1</definedName>
    <definedName name="solver_itr" localSheetId="12" hidden="1">2147483647</definedName>
    <definedName name="solver_itr" localSheetId="15" hidden="1">2147483647</definedName>
    <definedName name="solver_itr" localSheetId="14" hidden="1">2147483647</definedName>
    <definedName name="solver_itr" localSheetId="13" hidden="1">2147483647</definedName>
    <definedName name="solver_itr" localSheetId="6" hidden="1">2147483647</definedName>
    <definedName name="solver_itr" localSheetId="9" hidden="1">2147483647</definedName>
    <definedName name="solver_lhs1" localSheetId="12" hidden="1">'Base Model(2030) - backup'!$C$10</definedName>
    <definedName name="solver_lhs1" localSheetId="15" hidden="1">'Base Model(2030)- 30by30Solver'!$C$10</definedName>
    <definedName name="solver_lhs1" localSheetId="14" hidden="1">'Base Model(2030)- Optimalhealth'!$C$10</definedName>
    <definedName name="solver_lhs1" localSheetId="13" hidden="1">'Base Model(SCL)'!$F$45:$F$88</definedName>
    <definedName name="solver_lhs1" localSheetId="6" hidden="1">'Optimal Diet'!$J$28:$J$40</definedName>
    <definedName name="solver_lhs1" localSheetId="9" hidden="1">'Optimal Diet + 30 by 30'!$C$13</definedName>
    <definedName name="solver_lhs2" localSheetId="12" hidden="1">'Base Model(2030) - backup'!$C$11</definedName>
    <definedName name="solver_lhs2" localSheetId="15" hidden="1">'Base Model(2030)- 30by30Solver'!$C$11</definedName>
    <definedName name="solver_lhs2" localSheetId="14" hidden="1">'Base Model(2030)- Optimalhealth'!$C$11</definedName>
    <definedName name="solver_lhs2" localSheetId="13" hidden="1">'Base Model(SCL)'!$J$28:$J$40</definedName>
    <definedName name="solver_lhs2" localSheetId="6" hidden="1">'Optimal Diet'!$C$8</definedName>
    <definedName name="solver_lhs2" localSheetId="9" hidden="1">'Optimal Diet + 30 by 30'!$C$12</definedName>
    <definedName name="solver_lhs3" localSheetId="12" hidden="1">'Base Model(2030) - backup'!$C$12</definedName>
    <definedName name="solver_lhs3" localSheetId="15" hidden="1">'Base Model(2030)- 30by30Solver'!$C$12</definedName>
    <definedName name="solver_lhs3" localSheetId="14" hidden="1">'Base Model(2030)- Optimalhealth'!$C$12</definedName>
    <definedName name="solver_lhs3" localSheetId="13" hidden="1">'Base Model(SCL)'!$C$8</definedName>
    <definedName name="solver_lhs3" localSheetId="6" hidden="1">'Optimal Diet'!$C$28:$C$40</definedName>
    <definedName name="solver_lhs3" localSheetId="9" hidden="1">'Optimal Diet + 30 by 30'!$C$11</definedName>
    <definedName name="solver_lhs4" localSheetId="12" hidden="1">'Base Model(2030) - backup'!$C$15</definedName>
    <definedName name="solver_lhs4" localSheetId="15" hidden="1">'Base Model(2030)- 30by30Solver'!$C$16</definedName>
    <definedName name="solver_lhs4" localSheetId="14" hidden="1">'Base Model(2030)- Optimalhealth'!$C$23:$C$35</definedName>
    <definedName name="solver_lhs4" localSheetId="13" hidden="1">'Base Model(SCL)'!$C$11</definedName>
    <definedName name="solver_lhs4" localSheetId="6" hidden="1">'Optimal Diet'!$F$45:$F$88</definedName>
    <definedName name="solver_lhs4" localSheetId="9" hidden="1">'Optimal Diet + 30 by 30'!$C$16</definedName>
    <definedName name="solver_lhs5" localSheetId="12" hidden="1">'Base Model(2030) - backup'!$C$16</definedName>
    <definedName name="solver_lhs5" localSheetId="15" hidden="1">'Base Model(2030)- 30by30Solver'!$C$23:$C$35</definedName>
    <definedName name="solver_lhs5" localSheetId="14" hidden="1">'Base Model(2030)- Optimalhealth'!$D$4</definedName>
    <definedName name="solver_lhs5" localSheetId="13" hidden="1">'Base Model(SCL)'!$C$13</definedName>
    <definedName name="solver_lhs5" localSheetId="6" hidden="1">'Optimal Diet'!$C$11</definedName>
    <definedName name="solver_lhs5" localSheetId="9" hidden="1">'Optimal Diet + 30 by 30'!$C$28:$C$40</definedName>
    <definedName name="solver_lhs6" localSheetId="12" hidden="1">'Base Model(2030) - backup'!$C$23:$C$35</definedName>
    <definedName name="solver_lhs6" localSheetId="15" hidden="1">'Base Model(2030)- 30by30Solver'!$D$4</definedName>
    <definedName name="solver_lhs6" localSheetId="14" hidden="1">'Base Model(2030)- Optimalhealth'!$J$23:$J$35</definedName>
    <definedName name="solver_lhs6" localSheetId="13" hidden="1">'Base Model(SCL)'!$C$12</definedName>
    <definedName name="solver_lhs6" localSheetId="6" hidden="1">'Optimal Diet'!$C$13</definedName>
    <definedName name="solver_lhs6" localSheetId="9" hidden="1">'Optimal Diet + 30 by 30'!$C$17</definedName>
    <definedName name="solver_lhs7" localSheetId="12" hidden="1">'Base Model(2030) - backup'!$D$4</definedName>
    <definedName name="solver_lhs7" localSheetId="15" hidden="1">'Base Model(2030)- 30by30Solver'!$J$23:$J$35</definedName>
    <definedName name="solver_lhs7" localSheetId="14" hidden="1">'Base Model(2030)- Optimalhealth'!$J$23:$J$35</definedName>
    <definedName name="solver_lhs7" localSheetId="13" hidden="1">'Base Model(SCL)'!$C$28:$C$40</definedName>
    <definedName name="solver_lhs7" localSheetId="6" hidden="1">'Optimal Diet'!$C$12</definedName>
    <definedName name="solver_lhs7" localSheetId="9" hidden="1">'Optimal Diet + 30 by 30'!$F$45:$F$88</definedName>
    <definedName name="solver_lhs8" localSheetId="12" hidden="1">'Base Model(2030) - backup'!$J$23:$J$35</definedName>
    <definedName name="solver_lhs8" localSheetId="15" hidden="1">'Base Model(2030)- 30by30Solver'!$J$23:$J$35</definedName>
    <definedName name="solver_lhs8" localSheetId="14" hidden="1">'Base Model(2030)- Optimalhealth'!$J$23:$J$35</definedName>
    <definedName name="solver_lhs8" localSheetId="13" hidden="1">'Base Model(SCL)'!$J$28:$J$40</definedName>
    <definedName name="solver_lhs8" localSheetId="6" hidden="1">'Optimal Diet'!$C$8</definedName>
    <definedName name="solver_lhs8" localSheetId="9" hidden="1">'Optimal Diet + 30 by 30'!$C$8</definedName>
    <definedName name="solver_lhs9" localSheetId="6" hidden="1">'Optimal Diet'!$C$12</definedName>
    <definedName name="solver_lhs9" localSheetId="9" hidden="1">'Optimal Diet + 30 by 30'!$C$12</definedName>
    <definedName name="solver_mip" localSheetId="12" hidden="1">2147483647</definedName>
    <definedName name="solver_mip" localSheetId="15" hidden="1">2147483647</definedName>
    <definedName name="solver_mip" localSheetId="14" hidden="1">2147483647</definedName>
    <definedName name="solver_mip" localSheetId="13" hidden="1">2147483647</definedName>
    <definedName name="solver_mip" localSheetId="6" hidden="1">2147483647</definedName>
    <definedName name="solver_mip" localSheetId="9" hidden="1">2147483647</definedName>
    <definedName name="solver_mni" localSheetId="12" hidden="1">30</definedName>
    <definedName name="solver_mni" localSheetId="15" hidden="1">30</definedName>
    <definedName name="solver_mni" localSheetId="14" hidden="1">30</definedName>
    <definedName name="solver_mni" localSheetId="13" hidden="1">30</definedName>
    <definedName name="solver_mni" localSheetId="6" hidden="1">30</definedName>
    <definedName name="solver_mni" localSheetId="9" hidden="1">30</definedName>
    <definedName name="solver_mrt" localSheetId="12" hidden="1">0.075</definedName>
    <definedName name="solver_mrt" localSheetId="15" hidden="1">0.075</definedName>
    <definedName name="solver_mrt" localSheetId="14" hidden="1">0.075</definedName>
    <definedName name="solver_mrt" localSheetId="13" hidden="1">0.075</definedName>
    <definedName name="solver_mrt" localSheetId="6" hidden="1">0.075</definedName>
    <definedName name="solver_mrt" localSheetId="9" hidden="1">0.075</definedName>
    <definedName name="solver_msl" localSheetId="12" hidden="1">2</definedName>
    <definedName name="solver_msl" localSheetId="15" hidden="1">2</definedName>
    <definedName name="solver_msl" localSheetId="14" hidden="1">2</definedName>
    <definedName name="solver_msl" localSheetId="13" hidden="1">2</definedName>
    <definedName name="solver_msl" localSheetId="6" hidden="1">2</definedName>
    <definedName name="solver_msl" localSheetId="9" hidden="1">2</definedName>
    <definedName name="solver_neg" localSheetId="1" hidden="1">1</definedName>
    <definedName name="solver_neg" localSheetId="0" hidden="1">1</definedName>
    <definedName name="solver_neg" localSheetId="12" hidden="1">1</definedName>
    <definedName name="solver_neg" localSheetId="15" hidden="1">1</definedName>
    <definedName name="solver_neg" localSheetId="14" hidden="1">1</definedName>
    <definedName name="solver_neg" localSheetId="13" hidden="1">1</definedName>
    <definedName name="solver_neg" localSheetId="6" hidden="1">1</definedName>
    <definedName name="solver_neg" localSheetId="9" hidden="1">1</definedName>
    <definedName name="solver_nod" localSheetId="12" hidden="1">2147483647</definedName>
    <definedName name="solver_nod" localSheetId="15" hidden="1">2147483647</definedName>
    <definedName name="solver_nod" localSheetId="14" hidden="1">2147483647</definedName>
    <definedName name="solver_nod" localSheetId="13" hidden="1">2147483647</definedName>
    <definedName name="solver_nod" localSheetId="6" hidden="1">2147483647</definedName>
    <definedName name="solver_nod" localSheetId="9" hidden="1">2147483647</definedName>
    <definedName name="solver_num" localSheetId="1" hidden="1">0</definedName>
    <definedName name="solver_num" localSheetId="0" hidden="1">0</definedName>
    <definedName name="solver_num" localSheetId="12" hidden="1">8</definedName>
    <definedName name="solver_num" localSheetId="15" hidden="1">7</definedName>
    <definedName name="solver_num" localSheetId="14" hidden="1">6</definedName>
    <definedName name="solver_num" localSheetId="13" hidden="1">7</definedName>
    <definedName name="solver_num" localSheetId="6" hidden="1">7</definedName>
    <definedName name="solver_num" localSheetId="9" hidden="1">8</definedName>
    <definedName name="solver_nwt" localSheetId="12" hidden="1">1</definedName>
    <definedName name="solver_nwt" localSheetId="15" hidden="1">1</definedName>
    <definedName name="solver_nwt" localSheetId="14" hidden="1">1</definedName>
    <definedName name="solver_nwt" localSheetId="13" hidden="1">1</definedName>
    <definedName name="solver_nwt" localSheetId="6" hidden="1">1</definedName>
    <definedName name="solver_nwt" localSheetId="9" hidden="1">1</definedName>
    <definedName name="solver_opt" localSheetId="1" hidden="1">'Base Model (2018) - backup'!$D$3</definedName>
    <definedName name="solver_opt" localSheetId="0" hidden="1">'Base Model (backup)'!$D$3</definedName>
    <definedName name="solver_opt" localSheetId="12" hidden="1">'Base Model(2030) - backup'!$D$3</definedName>
    <definedName name="solver_opt" localSheetId="15" hidden="1">'Base Model(2030)- 30by30Solver'!$C$15</definedName>
    <definedName name="solver_opt" localSheetId="14" hidden="1">'Base Model(2030)- Optimalhealth'!$D$3</definedName>
    <definedName name="solver_opt" localSheetId="13" hidden="1">'Base Model(SCL)'!$C$3</definedName>
    <definedName name="solver_opt" localSheetId="6" hidden="1">'Optimal Diet'!$C$28</definedName>
    <definedName name="solver_opt" localSheetId="9" hidden="1">'Optimal Diet + 30 by 30'!$C$3</definedName>
    <definedName name="solver_pre" localSheetId="12" hidden="1">0.000001</definedName>
    <definedName name="solver_pre" localSheetId="15" hidden="1">0.000001</definedName>
    <definedName name="solver_pre" localSheetId="14" hidden="1">0.000001</definedName>
    <definedName name="solver_pre" localSheetId="13" hidden="1">0.000001</definedName>
    <definedName name="solver_pre" localSheetId="6" hidden="1">0.000001</definedName>
    <definedName name="solver_pre" localSheetId="9" hidden="1">0.000001</definedName>
    <definedName name="solver_rbv" localSheetId="12" hidden="1">2</definedName>
    <definedName name="solver_rbv" localSheetId="15" hidden="1">2</definedName>
    <definedName name="solver_rbv" localSheetId="14" hidden="1">2</definedName>
    <definedName name="solver_rbv" localSheetId="13" hidden="1">2</definedName>
    <definedName name="solver_rbv" localSheetId="6" hidden="1">2</definedName>
    <definedName name="solver_rbv" localSheetId="9" hidden="1">2</definedName>
    <definedName name="solver_rel1" localSheetId="12" hidden="1">2</definedName>
    <definedName name="solver_rel1" localSheetId="15" hidden="1">2</definedName>
    <definedName name="solver_rel1" localSheetId="14" hidden="1">2</definedName>
    <definedName name="solver_rel1" localSheetId="13" hidden="1">3</definedName>
    <definedName name="solver_rel1" localSheetId="6" hidden="1">2</definedName>
    <definedName name="solver_rel1" localSheetId="9" hidden="1">2</definedName>
    <definedName name="solver_rel2" localSheetId="12" hidden="1">2</definedName>
    <definedName name="solver_rel2" localSheetId="15" hidden="1">2</definedName>
    <definedName name="solver_rel2" localSheetId="14" hidden="1">2</definedName>
    <definedName name="solver_rel2" localSheetId="13" hidden="1">2</definedName>
    <definedName name="solver_rel2" localSheetId="6" hidden="1">2</definedName>
    <definedName name="solver_rel2" localSheetId="9" hidden="1">2</definedName>
    <definedName name="solver_rel3" localSheetId="12" hidden="1">2</definedName>
    <definedName name="solver_rel3" localSheetId="15" hidden="1">2</definedName>
    <definedName name="solver_rel3" localSheetId="14" hidden="1">2</definedName>
    <definedName name="solver_rel3" localSheetId="13" hidden="1">2</definedName>
    <definedName name="solver_rel3" localSheetId="6" hidden="1">3</definedName>
    <definedName name="solver_rel3" localSheetId="9" hidden="1">2</definedName>
    <definedName name="solver_rel4" localSheetId="12" hidden="1">2</definedName>
    <definedName name="solver_rel4" localSheetId="15" hidden="1">2</definedName>
    <definedName name="solver_rel4" localSheetId="14" hidden="1">3</definedName>
    <definedName name="solver_rel4" localSheetId="13" hidden="1">2</definedName>
    <definedName name="solver_rel4" localSheetId="6" hidden="1">3</definedName>
    <definedName name="solver_rel4" localSheetId="9" hidden="1">2</definedName>
    <definedName name="solver_rel5" localSheetId="12" hidden="1">2</definedName>
    <definedName name="solver_rel5" localSheetId="15" hidden="1">3</definedName>
    <definedName name="solver_rel5" localSheetId="14" hidden="1">2</definedName>
    <definedName name="solver_rel5" localSheetId="13" hidden="1">2</definedName>
    <definedName name="solver_rel5" localSheetId="6" hidden="1">2</definedName>
    <definedName name="solver_rel5" localSheetId="9" hidden="1">3</definedName>
    <definedName name="solver_rel6" localSheetId="12" hidden="1">3</definedName>
    <definedName name="solver_rel6" localSheetId="15" hidden="1">2</definedName>
    <definedName name="solver_rel6" localSheetId="14" hidden="1">2</definedName>
    <definedName name="solver_rel6" localSheetId="13" hidden="1">2</definedName>
    <definedName name="solver_rel6" localSheetId="6" hidden="1">2</definedName>
    <definedName name="solver_rel6" localSheetId="9" hidden="1">2</definedName>
    <definedName name="solver_rel7" localSheetId="12" hidden="1">2</definedName>
    <definedName name="solver_rel7" localSheetId="15" hidden="1">2</definedName>
    <definedName name="solver_rel7" localSheetId="14" hidden="1">2</definedName>
    <definedName name="solver_rel7" localSheetId="13" hidden="1">3</definedName>
    <definedName name="solver_rel7" localSheetId="6" hidden="1">2</definedName>
    <definedName name="solver_rel7" localSheetId="9" hidden="1">3</definedName>
    <definedName name="solver_rel8" localSheetId="12" hidden="1">2</definedName>
    <definedName name="solver_rel8" localSheetId="15" hidden="1">2</definedName>
    <definedName name="solver_rel8" localSheetId="14" hidden="1">2</definedName>
    <definedName name="solver_rel8" localSheetId="13" hidden="1">2</definedName>
    <definedName name="solver_rel8" localSheetId="6" hidden="1">2</definedName>
    <definedName name="solver_rel8" localSheetId="9" hidden="1">2</definedName>
    <definedName name="solver_rel9" localSheetId="6" hidden="1">2</definedName>
    <definedName name="solver_rel9" localSheetId="9" hidden="1">2</definedName>
    <definedName name="solver_rhs1" localSheetId="12" hidden="1">25%</definedName>
    <definedName name="solver_rhs1" localSheetId="15" hidden="1">25%</definedName>
    <definedName name="solver_rhs1" localSheetId="14" hidden="1">25%</definedName>
    <definedName name="solver_rhs1" localSheetId="13" hidden="1">'Base Model(SCL)'!$L$28</definedName>
    <definedName name="solver_rhs1" localSheetId="6" hidden="1">100%</definedName>
    <definedName name="solver_rhs1" localSheetId="9" hidden="1">50%</definedName>
    <definedName name="solver_rhs2" localSheetId="12" hidden="1">25%</definedName>
    <definedName name="solver_rhs2" localSheetId="15" hidden="1">25%</definedName>
    <definedName name="solver_rhs2" localSheetId="14" hidden="1">25%</definedName>
    <definedName name="solver_rhs2" localSheetId="13" hidden="1">100%</definedName>
    <definedName name="solver_rhs2" localSheetId="6" hidden="1">365</definedName>
    <definedName name="solver_rhs2" localSheetId="9" hidden="1">25%</definedName>
    <definedName name="solver_rhs3" localSheetId="12" hidden="1">50%</definedName>
    <definedName name="solver_rhs3" localSheetId="15" hidden="1">50%</definedName>
    <definedName name="solver_rhs3" localSheetId="14" hidden="1">50%</definedName>
    <definedName name="solver_rhs3" localSheetId="13" hidden="1">365</definedName>
    <definedName name="solver_rhs3" localSheetId="6" hidden="1">'Optimal Diet'!$I$28:$I$40</definedName>
    <definedName name="solver_rhs3" localSheetId="9" hidden="1">25%</definedName>
    <definedName name="solver_rhs4" localSheetId="12" hidden="1">30%</definedName>
    <definedName name="solver_rhs4" localSheetId="15" hidden="1">70%</definedName>
    <definedName name="solver_rhs4" localSheetId="14" hidden="1">'Base Model(2030)- Optimalhealth'!$I$23:$I$35</definedName>
    <definedName name="solver_rhs4" localSheetId="13" hidden="1">25%</definedName>
    <definedName name="solver_rhs4" localSheetId="6" hidden="1">'Optimal Diet'!$L$28</definedName>
    <definedName name="solver_rhs4" localSheetId="9" hidden="1">'Optimal Diet + 30 by 30'!$D$16</definedName>
    <definedName name="solver_rhs5" localSheetId="12" hidden="1">70%</definedName>
    <definedName name="solver_rhs5" localSheetId="15" hidden="1">'Base Model(2030)- 30by30Solver'!$I$23:$I$35</definedName>
    <definedName name="solver_rhs5" localSheetId="14" hidden="1">365</definedName>
    <definedName name="solver_rhs5" localSheetId="13" hidden="1">50%</definedName>
    <definedName name="solver_rhs5" localSheetId="6" hidden="1">25%</definedName>
    <definedName name="solver_rhs5" localSheetId="9" hidden="1">'Optimal Diet + 30 by 30'!$K$28:$K$40</definedName>
    <definedName name="solver_rhs6" localSheetId="12" hidden="1">'Base Model(2030) - backup'!$I$23:$I$35</definedName>
    <definedName name="solver_rhs6" localSheetId="15" hidden="1">365</definedName>
    <definedName name="solver_rhs6" localSheetId="14" hidden="1">100%</definedName>
    <definedName name="solver_rhs6" localSheetId="13" hidden="1">25%</definedName>
    <definedName name="solver_rhs6" localSheetId="6" hidden="1">50%</definedName>
    <definedName name="solver_rhs6" localSheetId="9" hidden="1">'Optimal Diet + 30 by 30'!$D$17</definedName>
    <definedName name="solver_rhs7" localSheetId="12" hidden="1">365</definedName>
    <definedName name="solver_rhs7" localSheetId="15" hidden="1">100%</definedName>
    <definedName name="solver_rhs7" localSheetId="14" hidden="1">100%</definedName>
    <definedName name="solver_rhs7" localSheetId="13" hidden="1">'Base Model(SCL)'!$I$28:$I$40</definedName>
    <definedName name="solver_rhs7" localSheetId="6" hidden="1">25%</definedName>
    <definedName name="solver_rhs7" localSheetId="9" hidden="1">'Optimal Diet + 30 by 30'!$N$28</definedName>
    <definedName name="solver_rhs8" localSheetId="12" hidden="1">100%</definedName>
    <definedName name="solver_rhs8" localSheetId="15" hidden="1">100%</definedName>
    <definedName name="solver_rhs8" localSheetId="14" hidden="1">100%</definedName>
    <definedName name="solver_rhs8" localSheetId="13" hidden="1">100%</definedName>
    <definedName name="solver_rhs8" localSheetId="6" hidden="1">365</definedName>
    <definedName name="solver_rhs8" localSheetId="9" hidden="1">365</definedName>
    <definedName name="solver_rhs9" localSheetId="6" hidden="1">25%</definedName>
    <definedName name="solver_rhs9" localSheetId="9" hidden="1">25%</definedName>
    <definedName name="solver_rlx" localSheetId="12" hidden="1">2</definedName>
    <definedName name="solver_rlx" localSheetId="15" hidden="1">2</definedName>
    <definedName name="solver_rlx" localSheetId="14" hidden="1">2</definedName>
    <definedName name="solver_rlx" localSheetId="13" hidden="1">2</definedName>
    <definedName name="solver_rlx" localSheetId="6" hidden="1">2</definedName>
    <definedName name="solver_rlx" localSheetId="9" hidden="1">2</definedName>
    <definedName name="solver_rsd" localSheetId="12" hidden="1">0</definedName>
    <definedName name="solver_rsd" localSheetId="15" hidden="1">0</definedName>
    <definedName name="solver_rsd" localSheetId="14" hidden="1">0</definedName>
    <definedName name="solver_rsd" localSheetId="13" hidden="1">0</definedName>
    <definedName name="solver_rsd" localSheetId="6" hidden="1">0</definedName>
    <definedName name="solver_rsd" localSheetId="9" hidden="1">0</definedName>
    <definedName name="solver_scl" localSheetId="12" hidden="1">2</definedName>
    <definedName name="solver_scl" localSheetId="15" hidden="1">2</definedName>
    <definedName name="solver_scl" localSheetId="14" hidden="1">2</definedName>
    <definedName name="solver_scl" localSheetId="13" hidden="1">2</definedName>
    <definedName name="solver_scl" localSheetId="6" hidden="1">2</definedName>
    <definedName name="solver_scl" localSheetId="9" hidden="1">2</definedName>
    <definedName name="solver_sho" localSheetId="12" hidden="1">2</definedName>
    <definedName name="solver_sho" localSheetId="15" hidden="1">2</definedName>
    <definedName name="solver_sho" localSheetId="14" hidden="1">2</definedName>
    <definedName name="solver_sho" localSheetId="13" hidden="1">2</definedName>
    <definedName name="solver_sho" localSheetId="6" hidden="1">2</definedName>
    <definedName name="solver_sho" localSheetId="9" hidden="1">2</definedName>
    <definedName name="solver_ssz" localSheetId="12" hidden="1">100</definedName>
    <definedName name="solver_ssz" localSheetId="15" hidden="1">100</definedName>
    <definedName name="solver_ssz" localSheetId="14" hidden="1">100</definedName>
    <definedName name="solver_ssz" localSheetId="13" hidden="1">100</definedName>
    <definedName name="solver_ssz" localSheetId="6" hidden="1">100</definedName>
    <definedName name="solver_ssz" localSheetId="9" hidden="1">100</definedName>
    <definedName name="solver_tim" localSheetId="12" hidden="1">2147483647</definedName>
    <definedName name="solver_tim" localSheetId="15" hidden="1">2147483647</definedName>
    <definedName name="solver_tim" localSheetId="14" hidden="1">2147483647</definedName>
    <definedName name="solver_tim" localSheetId="13" hidden="1">2147483647</definedName>
    <definedName name="solver_tim" localSheetId="6" hidden="1">2147483647</definedName>
    <definedName name="solver_tim" localSheetId="9" hidden="1">2147483647</definedName>
    <definedName name="solver_tol" localSheetId="12" hidden="1">0.01</definedName>
    <definedName name="solver_tol" localSheetId="15" hidden="1">0.01</definedName>
    <definedName name="solver_tol" localSheetId="14" hidden="1">0.01</definedName>
    <definedName name="solver_tol" localSheetId="13" hidden="1">0.01</definedName>
    <definedName name="solver_tol" localSheetId="6" hidden="1">0.01</definedName>
    <definedName name="solver_tol" localSheetId="9" hidden="1">0.01</definedName>
    <definedName name="solver_typ" localSheetId="1" hidden="1">2</definedName>
    <definedName name="solver_typ" localSheetId="0" hidden="1">2</definedName>
    <definedName name="solver_typ" localSheetId="12" hidden="1">2</definedName>
    <definedName name="solver_typ" localSheetId="15" hidden="1">3</definedName>
    <definedName name="solver_typ" localSheetId="14" hidden="1">2</definedName>
    <definedName name="solver_typ" localSheetId="13" hidden="1">2</definedName>
    <definedName name="solver_typ" localSheetId="6" hidden="1">2</definedName>
    <definedName name="solver_typ" localSheetId="9" hidden="1">2</definedName>
    <definedName name="solver_val" localSheetId="1" hidden="1">0</definedName>
    <definedName name="solver_val" localSheetId="0" hidden="1">0</definedName>
    <definedName name="solver_val" localSheetId="12" hidden="1">0.3</definedName>
    <definedName name="solver_val" localSheetId="15" hidden="1">0.3</definedName>
    <definedName name="solver_val" localSheetId="14" hidden="1">0.3</definedName>
    <definedName name="solver_val" localSheetId="13" hidden="1">0.3</definedName>
    <definedName name="solver_val" localSheetId="6" hidden="1">0.3</definedName>
    <definedName name="solver_val" localSheetId="9" hidden="1">0.3</definedName>
    <definedName name="solver_ver" localSheetId="1" hidden="1">3</definedName>
    <definedName name="solver_ver" localSheetId="0" hidden="1">3</definedName>
    <definedName name="solver_ver" localSheetId="12" hidden="1">3</definedName>
    <definedName name="solver_ver" localSheetId="15" hidden="1">3</definedName>
    <definedName name="solver_ver" localSheetId="14" hidden="1">3</definedName>
    <definedName name="solver_ver" localSheetId="13" hidden="1">3</definedName>
    <definedName name="solver_ver" localSheetId="6" hidden="1">3</definedName>
    <definedName name="solver_ver" localSheetId="9" hidden="1">3</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4" i="70" l="1"/>
  <c r="S65" i="70"/>
  <c r="R65" i="70"/>
  <c r="Q65" i="70"/>
  <c r="P65" i="70"/>
  <c r="O65" i="70"/>
  <c r="N65" i="70"/>
  <c r="S64" i="70"/>
  <c r="R64" i="70"/>
  <c r="Q64" i="70"/>
  <c r="P64" i="70"/>
  <c r="O64" i="70"/>
  <c r="S31" i="70"/>
  <c r="S30" i="70"/>
  <c r="R31" i="70"/>
  <c r="R30" i="70"/>
  <c r="Q31" i="70"/>
  <c r="Q30" i="70"/>
  <c r="P31" i="70"/>
  <c r="P30" i="70"/>
  <c r="O30" i="70"/>
  <c r="O31" i="70"/>
  <c r="N31" i="70"/>
  <c r="N30" i="70"/>
  <c r="H61" i="70"/>
  <c r="G59" i="70"/>
  <c r="F57" i="70"/>
  <c r="E56" i="70"/>
  <c r="E55" i="70"/>
  <c r="D53" i="70"/>
  <c r="C51" i="70"/>
  <c r="H49" i="70"/>
  <c r="H48" i="70"/>
  <c r="G47" i="70"/>
  <c r="G46" i="70"/>
  <c r="F44" i="70"/>
  <c r="E42" i="70"/>
  <c r="D41" i="70"/>
  <c r="D40" i="70"/>
  <c r="C39" i="70"/>
  <c r="C38" i="70"/>
  <c r="J52" i="70"/>
  <c r="C52" i="70" s="1"/>
  <c r="S63" i="70"/>
  <c r="R63" i="70"/>
  <c r="Q63" i="70"/>
  <c r="P63" i="70"/>
  <c r="O63" i="70"/>
  <c r="N63" i="70"/>
  <c r="S37" i="70"/>
  <c r="R37" i="70"/>
  <c r="Q37" i="70"/>
  <c r="P37" i="70"/>
  <c r="O37" i="70"/>
  <c r="N37" i="70"/>
  <c r="H37" i="70"/>
  <c r="G37" i="70"/>
  <c r="F37" i="70"/>
  <c r="E37" i="70"/>
  <c r="E43" i="70" s="1"/>
  <c r="D37" i="70"/>
  <c r="C37" i="70"/>
  <c r="J30" i="70"/>
  <c r="G31" i="70" s="1"/>
  <c r="S29" i="70"/>
  <c r="R29" i="70"/>
  <c r="Q29" i="70"/>
  <c r="P29" i="70"/>
  <c r="O29" i="70"/>
  <c r="N29" i="70"/>
  <c r="H28" i="70"/>
  <c r="H27" i="70"/>
  <c r="G25" i="70"/>
  <c r="F23" i="70"/>
  <c r="E21" i="70"/>
  <c r="D19" i="70"/>
  <c r="C18" i="70"/>
  <c r="C17" i="70"/>
  <c r="H14" i="70"/>
  <c r="G12" i="70"/>
  <c r="F10" i="70"/>
  <c r="E8" i="70"/>
  <c r="D6" i="70"/>
  <c r="C4" i="70"/>
  <c r="S3" i="70"/>
  <c r="R3" i="70"/>
  <c r="Q3" i="70"/>
  <c r="P3" i="70"/>
  <c r="O3" i="70"/>
  <c r="N3" i="70"/>
  <c r="H3" i="70"/>
  <c r="H15" i="70" s="1"/>
  <c r="G3" i="70"/>
  <c r="G26" i="70" s="1"/>
  <c r="F3" i="70"/>
  <c r="F24" i="70" s="1"/>
  <c r="E3" i="70"/>
  <c r="E22" i="70" s="1"/>
  <c r="D3" i="70"/>
  <c r="D20" i="70" s="1"/>
  <c r="C3" i="70"/>
  <c r="C5" i="70" s="1"/>
  <c r="E3" i="56"/>
  <c r="C16" i="56"/>
  <c r="J5" i="35"/>
  <c r="F31" i="70" l="1"/>
  <c r="F58" i="70"/>
  <c r="G60" i="70"/>
  <c r="H62" i="70"/>
  <c r="F45" i="70"/>
  <c r="D54" i="70"/>
  <c r="D63" i="70" s="1"/>
  <c r="J64" i="70"/>
  <c r="H65" i="70" s="1"/>
  <c r="H29" i="70"/>
  <c r="D31" i="70"/>
  <c r="C29" i="70"/>
  <c r="E31" i="70"/>
  <c r="C31" i="70"/>
  <c r="F11" i="70"/>
  <c r="F29" i="70" s="1"/>
  <c r="H31" i="70"/>
  <c r="G63" i="70"/>
  <c r="C65" i="70"/>
  <c r="E9" i="70"/>
  <c r="E29" i="70" s="1"/>
  <c r="E63" i="70"/>
  <c r="C63" i="70"/>
  <c r="F63" i="70"/>
  <c r="F65" i="70"/>
  <c r="G13" i="70"/>
  <c r="G29" i="70" s="1"/>
  <c r="D7" i="70"/>
  <c r="D29" i="70" s="1"/>
  <c r="G82" i="56"/>
  <c r="G81" i="56"/>
  <c r="G80" i="56"/>
  <c r="G88" i="56"/>
  <c r="H88" i="56" s="1"/>
  <c r="G87" i="56"/>
  <c r="H87" i="56" s="1"/>
  <c r="G86" i="56"/>
  <c r="H86" i="56" s="1"/>
  <c r="G85" i="56"/>
  <c r="H85" i="56" s="1"/>
  <c r="G84" i="56"/>
  <c r="H84" i="56" s="1"/>
  <c r="G83" i="56"/>
  <c r="H83" i="56" s="1"/>
  <c r="G79" i="56"/>
  <c r="H79" i="56" s="1"/>
  <c r="G78" i="56"/>
  <c r="H78" i="56" s="1"/>
  <c r="G77" i="56"/>
  <c r="H77" i="56" s="1"/>
  <c r="G76" i="56"/>
  <c r="H76" i="56" s="1"/>
  <c r="G68" i="56"/>
  <c r="H68" i="56" s="1"/>
  <c r="G69" i="56"/>
  <c r="H69" i="56" s="1"/>
  <c r="G70" i="56"/>
  <c r="H70" i="56" s="1"/>
  <c r="G71" i="56"/>
  <c r="H71" i="56" s="1"/>
  <c r="G72" i="56"/>
  <c r="H72" i="56" s="1"/>
  <c r="G73" i="56"/>
  <c r="H73" i="56" s="1"/>
  <c r="G74" i="56"/>
  <c r="H74" i="56" s="1"/>
  <c r="G75" i="56"/>
  <c r="H75" i="56" s="1"/>
  <c r="G67" i="56"/>
  <c r="H67" i="56" s="1"/>
  <c r="G66" i="56"/>
  <c r="H66" i="56" s="1"/>
  <c r="G65" i="56"/>
  <c r="H65" i="56" s="1"/>
  <c r="G64" i="56"/>
  <c r="H64" i="56" s="1"/>
  <c r="G60" i="56"/>
  <c r="H60" i="56" s="1"/>
  <c r="G61" i="56"/>
  <c r="H61" i="56" s="1"/>
  <c r="G62" i="56"/>
  <c r="H62" i="56" s="1"/>
  <c r="G63" i="56"/>
  <c r="H63" i="56" s="1"/>
  <c r="G59" i="56"/>
  <c r="H59" i="56" s="1"/>
  <c r="G53" i="56"/>
  <c r="H53" i="56" s="1"/>
  <c r="G54" i="56"/>
  <c r="H54" i="56" s="1"/>
  <c r="G55" i="56"/>
  <c r="H55" i="56" s="1"/>
  <c r="G56" i="56"/>
  <c r="G57" i="56"/>
  <c r="H57" i="56" s="1"/>
  <c r="G58" i="56"/>
  <c r="H58" i="56" s="1"/>
  <c r="G52" i="56"/>
  <c r="H52" i="56" s="1"/>
  <c r="G51" i="56"/>
  <c r="H51" i="56" s="1"/>
  <c r="G50" i="56"/>
  <c r="H50" i="56" s="1"/>
  <c r="G49" i="56"/>
  <c r="H49" i="56" s="1"/>
  <c r="G48" i="56"/>
  <c r="H48" i="56" s="1"/>
  <c r="G46" i="56"/>
  <c r="H46" i="56" s="1"/>
  <c r="G47" i="56"/>
  <c r="H47" i="56" s="1"/>
  <c r="G45" i="56"/>
  <c r="H45" i="56" s="1"/>
  <c r="H63" i="70" l="1"/>
  <c r="G65" i="70"/>
  <c r="D65" i="70"/>
  <c r="E65" i="70"/>
  <c r="H56" i="56"/>
  <c r="C30" i="56" s="1"/>
  <c r="C34" i="56"/>
  <c r="C29" i="56"/>
  <c r="C35" i="56"/>
  <c r="C32" i="56"/>
  <c r="C40" i="56"/>
  <c r="C37" i="56"/>
  <c r="C36" i="56"/>
  <c r="C33" i="56"/>
  <c r="C28" i="56"/>
  <c r="C38" i="56"/>
  <c r="C31" i="56"/>
  <c r="H38" i="56" l="1"/>
  <c r="O38" i="56"/>
  <c r="H37" i="56"/>
  <c r="O37" i="56"/>
  <c r="H35" i="56"/>
  <c r="O35" i="56"/>
  <c r="H34" i="56"/>
  <c r="O34" i="56"/>
  <c r="H31" i="56"/>
  <c r="O31" i="56"/>
  <c r="H28" i="56"/>
  <c r="O28" i="56"/>
  <c r="H33" i="56"/>
  <c r="O33" i="56"/>
  <c r="H40" i="56"/>
  <c r="O40" i="56"/>
  <c r="H30" i="56"/>
  <c r="O30" i="56"/>
  <c r="H36" i="56"/>
  <c r="O36" i="56"/>
  <c r="H29" i="56"/>
  <c r="O29" i="56"/>
  <c r="H32" i="56"/>
  <c r="O32" i="56"/>
  <c r="E39" i="67"/>
  <c r="I28" i="67"/>
  <c r="I40" i="36"/>
  <c r="I39" i="36"/>
  <c r="I38" i="36"/>
  <c r="I37" i="36"/>
  <c r="I36" i="36"/>
  <c r="I35" i="36"/>
  <c r="I34" i="36"/>
  <c r="I33" i="36"/>
  <c r="I32" i="36"/>
  <c r="I31" i="36"/>
  <c r="I30" i="36"/>
  <c r="I29" i="36"/>
  <c r="I28" i="36"/>
  <c r="K40" i="56"/>
  <c r="K39" i="56"/>
  <c r="K38" i="56"/>
  <c r="K37" i="56"/>
  <c r="K36" i="56"/>
  <c r="K35" i="56"/>
  <c r="K34" i="56"/>
  <c r="K33" i="56"/>
  <c r="K32" i="56"/>
  <c r="K31" i="56"/>
  <c r="K30" i="56"/>
  <c r="K29" i="56"/>
  <c r="K28" i="56"/>
  <c r="I40" i="67"/>
  <c r="I39" i="67"/>
  <c r="I38" i="67"/>
  <c r="I37" i="67"/>
  <c r="I36" i="67"/>
  <c r="I35" i="67"/>
  <c r="I34" i="67"/>
  <c r="I33" i="67"/>
  <c r="I32" i="67"/>
  <c r="I31" i="67"/>
  <c r="I30" i="67"/>
  <c r="I29" i="67"/>
  <c r="J91" i="67"/>
  <c r="K91" i="67" s="1"/>
  <c r="J90" i="67"/>
  <c r="K90" i="67" s="1"/>
  <c r="J89" i="67"/>
  <c r="K89" i="67" s="1"/>
  <c r="J88" i="67"/>
  <c r="K88" i="67" s="1"/>
  <c r="J87" i="67"/>
  <c r="K87" i="67" s="1"/>
  <c r="E35" i="67" s="1"/>
  <c r="J86" i="67"/>
  <c r="K86" i="67" s="1"/>
  <c r="J85" i="67"/>
  <c r="K85" i="67" s="1"/>
  <c r="J84" i="67"/>
  <c r="K84" i="67" s="1"/>
  <c r="J83" i="67"/>
  <c r="K83" i="67" s="1"/>
  <c r="E37" i="67" s="1"/>
  <c r="J82" i="67"/>
  <c r="K82" i="67" s="1"/>
  <c r="J81" i="67"/>
  <c r="K81" i="67" s="1"/>
  <c r="J80" i="67"/>
  <c r="K80" i="67" s="1"/>
  <c r="J79" i="67"/>
  <c r="K79" i="67" s="1"/>
  <c r="J78" i="67"/>
  <c r="K78" i="67" s="1"/>
  <c r="J77" i="67"/>
  <c r="K77" i="67" s="1"/>
  <c r="J76" i="67"/>
  <c r="K76" i="67" s="1"/>
  <c r="J75" i="67"/>
  <c r="K75" i="67" s="1"/>
  <c r="J74" i="67"/>
  <c r="K74" i="67" s="1"/>
  <c r="J73" i="67"/>
  <c r="K73" i="67" s="1"/>
  <c r="J72" i="67"/>
  <c r="K72" i="67" s="1"/>
  <c r="J71" i="67"/>
  <c r="K71" i="67" s="1"/>
  <c r="J70" i="67"/>
  <c r="K70" i="67" s="1"/>
  <c r="J69" i="67"/>
  <c r="K69" i="67" s="1"/>
  <c r="J68" i="67"/>
  <c r="K68" i="67" s="1"/>
  <c r="J67" i="67"/>
  <c r="K67" i="67" s="1"/>
  <c r="J66" i="67"/>
  <c r="K66" i="67" s="1"/>
  <c r="J65" i="67"/>
  <c r="K65" i="67" s="1"/>
  <c r="E33" i="67" s="1"/>
  <c r="J64" i="67"/>
  <c r="K64" i="67" s="1"/>
  <c r="J63" i="67"/>
  <c r="K63" i="67" s="1"/>
  <c r="J62" i="67"/>
  <c r="K62" i="67" s="1"/>
  <c r="J61" i="67"/>
  <c r="K61" i="67" s="1"/>
  <c r="J60" i="67"/>
  <c r="K60" i="67" s="1"/>
  <c r="J59" i="67"/>
  <c r="K59" i="67" s="1"/>
  <c r="J58" i="67"/>
  <c r="K58" i="67" s="1"/>
  <c r="J57" i="67"/>
  <c r="K57" i="67" s="1"/>
  <c r="J56" i="67"/>
  <c r="K56" i="67" s="1"/>
  <c r="J55" i="67"/>
  <c r="K55" i="67" s="1"/>
  <c r="J54" i="67"/>
  <c r="K54" i="67" s="1"/>
  <c r="J53" i="67"/>
  <c r="K53" i="67" s="1"/>
  <c r="J52" i="67"/>
  <c r="K52" i="67" s="1"/>
  <c r="J51" i="67"/>
  <c r="K51" i="67" s="1"/>
  <c r="J50" i="67"/>
  <c r="K50" i="67" s="1"/>
  <c r="J49" i="67"/>
  <c r="K49" i="67" s="1"/>
  <c r="J48" i="67"/>
  <c r="K48" i="67" s="1"/>
  <c r="J47" i="67"/>
  <c r="K47" i="67" s="1"/>
  <c r="J46" i="67"/>
  <c r="K46" i="67" s="1"/>
  <c r="J45" i="67"/>
  <c r="K45" i="67" s="1"/>
  <c r="J40" i="67"/>
  <c r="D40" i="67"/>
  <c r="J39" i="67"/>
  <c r="D39" i="67"/>
  <c r="J38" i="67"/>
  <c r="D38" i="67"/>
  <c r="J37" i="67"/>
  <c r="D37" i="67"/>
  <c r="J36" i="67"/>
  <c r="D36" i="67"/>
  <c r="J35" i="67"/>
  <c r="D35" i="67"/>
  <c r="F35" i="67" s="1"/>
  <c r="J34" i="67"/>
  <c r="D34" i="67"/>
  <c r="J33" i="67"/>
  <c r="D33" i="67"/>
  <c r="J32" i="67"/>
  <c r="D32" i="67"/>
  <c r="J31" i="67"/>
  <c r="D31" i="67"/>
  <c r="J30" i="67"/>
  <c r="D30" i="67"/>
  <c r="J29" i="67"/>
  <c r="D29" i="67"/>
  <c r="J28" i="67"/>
  <c r="D28" i="67"/>
  <c r="C13" i="67"/>
  <c r="C12" i="67"/>
  <c r="C11" i="67"/>
  <c r="N91" i="56"/>
  <c r="N90" i="56"/>
  <c r="N89" i="56"/>
  <c r="N88" i="56"/>
  <c r="N87" i="56"/>
  <c r="N86" i="56"/>
  <c r="N85" i="56"/>
  <c r="N84" i="56"/>
  <c r="N83" i="56"/>
  <c r="N82" i="56"/>
  <c r="N81" i="56"/>
  <c r="N80" i="56"/>
  <c r="N79" i="56"/>
  <c r="N78" i="56"/>
  <c r="N77" i="56"/>
  <c r="N76" i="56"/>
  <c r="N75" i="56"/>
  <c r="N74" i="56"/>
  <c r="N73" i="56"/>
  <c r="N72" i="56"/>
  <c r="N71" i="56"/>
  <c r="N70" i="56"/>
  <c r="N69" i="56"/>
  <c r="N68" i="56"/>
  <c r="N67" i="56"/>
  <c r="N66" i="56"/>
  <c r="N65" i="56"/>
  <c r="N64" i="56"/>
  <c r="N63" i="56"/>
  <c r="N62" i="56"/>
  <c r="N61" i="56"/>
  <c r="N60" i="56"/>
  <c r="N59" i="56"/>
  <c r="N58" i="56"/>
  <c r="N57" i="56"/>
  <c r="N56" i="56"/>
  <c r="N55" i="56"/>
  <c r="N54" i="56"/>
  <c r="N53" i="56"/>
  <c r="N52" i="56"/>
  <c r="N51" i="56"/>
  <c r="N50" i="56"/>
  <c r="N49" i="56"/>
  <c r="N48" i="56"/>
  <c r="N47" i="56"/>
  <c r="N46" i="56"/>
  <c r="N45" i="56"/>
  <c r="L40" i="56"/>
  <c r="L39" i="56"/>
  <c r="L38" i="56"/>
  <c r="L37" i="56"/>
  <c r="L36" i="56"/>
  <c r="L35" i="56"/>
  <c r="L34" i="56"/>
  <c r="L33" i="56"/>
  <c r="L32" i="56"/>
  <c r="L31" i="56"/>
  <c r="L30" i="56"/>
  <c r="L29" i="56"/>
  <c r="L28" i="56"/>
  <c r="C13" i="56"/>
  <c r="C11" i="56"/>
  <c r="O72" i="56" l="1"/>
  <c r="I72" i="56"/>
  <c r="O58" i="56"/>
  <c r="I58" i="56"/>
  <c r="O91" i="56"/>
  <c r="I91" i="56"/>
  <c r="O60" i="56"/>
  <c r="I60" i="56"/>
  <c r="O76" i="56"/>
  <c r="I76" i="56"/>
  <c r="O88" i="56"/>
  <c r="I88" i="56"/>
  <c r="O89" i="56"/>
  <c r="I89" i="56"/>
  <c r="O77" i="56"/>
  <c r="I77" i="56"/>
  <c r="O74" i="56"/>
  <c r="I74" i="56"/>
  <c r="O62" i="56"/>
  <c r="I62" i="56"/>
  <c r="O47" i="56"/>
  <c r="I47" i="56"/>
  <c r="O63" i="56"/>
  <c r="I63" i="56"/>
  <c r="O79" i="56"/>
  <c r="I79" i="56"/>
  <c r="O73" i="56"/>
  <c r="I73" i="56"/>
  <c r="O45" i="56"/>
  <c r="I45" i="56"/>
  <c r="O46" i="56"/>
  <c r="I46" i="56"/>
  <c r="O64" i="56"/>
  <c r="I64" i="56"/>
  <c r="O80" i="56"/>
  <c r="I80" i="56"/>
  <c r="O75" i="56"/>
  <c r="I75" i="56"/>
  <c r="O61" i="56"/>
  <c r="I61" i="56"/>
  <c r="O48" i="56"/>
  <c r="I48" i="56"/>
  <c r="O49" i="56"/>
  <c r="I49" i="56"/>
  <c r="O65" i="56"/>
  <c r="I65" i="56"/>
  <c r="O81" i="56"/>
  <c r="I81" i="56"/>
  <c r="O59" i="56"/>
  <c r="I59" i="56"/>
  <c r="O50" i="56"/>
  <c r="I50" i="56"/>
  <c r="O66" i="56"/>
  <c r="I66" i="56"/>
  <c r="O82" i="56"/>
  <c r="I82" i="56"/>
  <c r="O51" i="56"/>
  <c r="I51" i="56"/>
  <c r="O67" i="56"/>
  <c r="I67" i="56"/>
  <c r="O83" i="56"/>
  <c r="I83" i="56"/>
  <c r="F37" i="56" s="1"/>
  <c r="O56" i="56"/>
  <c r="I56" i="56"/>
  <c r="O90" i="56"/>
  <c r="I90" i="56"/>
  <c r="O52" i="56"/>
  <c r="I52" i="56"/>
  <c r="O68" i="56"/>
  <c r="I68" i="56"/>
  <c r="O84" i="56"/>
  <c r="I84" i="56"/>
  <c r="O53" i="56"/>
  <c r="I53" i="56"/>
  <c r="O69" i="56"/>
  <c r="I69" i="56"/>
  <c r="O85" i="56"/>
  <c r="I85" i="56"/>
  <c r="F34" i="56" s="1"/>
  <c r="O57" i="56"/>
  <c r="I57" i="56"/>
  <c r="O78" i="56"/>
  <c r="I78" i="56"/>
  <c r="O54" i="56"/>
  <c r="I54" i="56"/>
  <c r="O70" i="56"/>
  <c r="I70" i="56"/>
  <c r="O86" i="56"/>
  <c r="I86" i="56"/>
  <c r="O55" i="56"/>
  <c r="I55" i="56"/>
  <c r="O71" i="56"/>
  <c r="I71" i="56"/>
  <c r="O87" i="56"/>
  <c r="E35" i="56" s="1"/>
  <c r="I87" i="56"/>
  <c r="C17" i="56"/>
  <c r="E32" i="67"/>
  <c r="E34" i="67"/>
  <c r="E29" i="67"/>
  <c r="E38" i="67"/>
  <c r="F38" i="67" s="1"/>
  <c r="F39" i="67"/>
  <c r="C17" i="67"/>
  <c r="F34" i="67"/>
  <c r="C16" i="67"/>
  <c r="F29" i="67"/>
  <c r="F37" i="67"/>
  <c r="E28" i="67"/>
  <c r="F28" i="67" s="1"/>
  <c r="E36" i="67"/>
  <c r="F36" i="67" s="1"/>
  <c r="E40" i="67"/>
  <c r="F40" i="67" s="1"/>
  <c r="F32" i="67"/>
  <c r="E31" i="67"/>
  <c r="F31" i="67" s="1"/>
  <c r="E30" i="67"/>
  <c r="F30" i="67" s="1"/>
  <c r="F33" i="67"/>
  <c r="E39" i="56" l="1"/>
  <c r="F33" i="56"/>
  <c r="E37" i="56"/>
  <c r="E34" i="56"/>
  <c r="E29" i="56"/>
  <c r="E32" i="56"/>
  <c r="F35" i="56"/>
  <c r="E33" i="56"/>
  <c r="E28" i="56"/>
  <c r="E30" i="56"/>
  <c r="E36" i="56"/>
  <c r="E31" i="56"/>
  <c r="F36" i="56"/>
  <c r="E38" i="56"/>
  <c r="E40" i="56"/>
  <c r="F31" i="56"/>
  <c r="F38" i="56"/>
  <c r="F29" i="56"/>
  <c r="F39" i="56"/>
  <c r="F30" i="56"/>
  <c r="F32" i="56"/>
  <c r="F40" i="56"/>
  <c r="F28" i="56"/>
  <c r="C4" i="67"/>
  <c r="C3" i="67"/>
  <c r="C4" i="56" l="1"/>
  <c r="C3" i="56"/>
  <c r="O3" i="56" s="1"/>
  <c r="C13" i="36"/>
  <c r="C12" i="36"/>
  <c r="J89" i="36"/>
  <c r="K89" i="36" s="1"/>
  <c r="J90" i="36"/>
  <c r="J91" i="36"/>
  <c r="K91" i="36" s="1"/>
  <c r="C11" i="36" l="1"/>
  <c r="K90" i="36"/>
  <c r="E102" i="35"/>
  <c r="E101" i="35" l="1"/>
  <c r="E100" i="35"/>
  <c r="I72" i="35" l="1"/>
  <c r="I73" i="35"/>
  <c r="I74" i="35"/>
  <c r="I75" i="35"/>
  <c r="I76" i="35"/>
  <c r="I77" i="35"/>
  <c r="I78" i="35"/>
  <c r="I79" i="35"/>
  <c r="I80" i="35"/>
  <c r="I83" i="35"/>
  <c r="I84" i="35"/>
  <c r="I85" i="35"/>
  <c r="I86" i="35"/>
  <c r="I87" i="35"/>
  <c r="I88" i="35"/>
  <c r="I89" i="35"/>
  <c r="I90" i="35"/>
  <c r="I91" i="35"/>
  <c r="I92" i="35"/>
  <c r="I93" i="35"/>
  <c r="I94" i="35"/>
  <c r="I95" i="35"/>
  <c r="I96" i="35"/>
  <c r="I97" i="35"/>
  <c r="I98" i="35"/>
  <c r="I99" i="35"/>
  <c r="I82" i="35"/>
  <c r="I81" i="35"/>
  <c r="I71" i="35"/>
  <c r="I70" i="35"/>
  <c r="I35" i="35"/>
  <c r="I34" i="35"/>
  <c r="I58" i="35"/>
  <c r="I57" i="35"/>
  <c r="G35" i="35" l="1"/>
  <c r="H35" i="35"/>
  <c r="F35" i="35"/>
  <c r="E35" i="35" s="1"/>
  <c r="K35" i="35" s="1"/>
  <c r="G34" i="35"/>
  <c r="H34" i="35"/>
  <c r="F34" i="35"/>
  <c r="G58" i="35"/>
  <c r="H58" i="35"/>
  <c r="F58" i="35"/>
  <c r="G57" i="35"/>
  <c r="H57" i="35"/>
  <c r="F57" i="35"/>
  <c r="E57" i="35" s="1"/>
  <c r="F71" i="35"/>
  <c r="G71" i="35"/>
  <c r="H71" i="35"/>
  <c r="F70" i="35"/>
  <c r="G70" i="35"/>
  <c r="H70" i="35"/>
  <c r="F82" i="35"/>
  <c r="G82" i="35"/>
  <c r="H82" i="35"/>
  <c r="F81" i="35"/>
  <c r="G81" i="35"/>
  <c r="H81" i="35"/>
  <c r="J88" i="36"/>
  <c r="K88" i="36" s="1"/>
  <c r="J87" i="36"/>
  <c r="K87" i="36" s="1"/>
  <c r="J86" i="36"/>
  <c r="K86" i="36" s="1"/>
  <c r="J85" i="36"/>
  <c r="K85" i="36" s="1"/>
  <c r="J84" i="36"/>
  <c r="K84" i="36" s="1"/>
  <c r="J83" i="36"/>
  <c r="K83" i="36" s="1"/>
  <c r="J82" i="36"/>
  <c r="K82" i="36" s="1"/>
  <c r="J81" i="36"/>
  <c r="K81" i="36" s="1"/>
  <c r="J80" i="36"/>
  <c r="K80" i="36" s="1"/>
  <c r="J79" i="36"/>
  <c r="K79" i="36" s="1"/>
  <c r="J78" i="36"/>
  <c r="K78" i="36" s="1"/>
  <c r="J77" i="36"/>
  <c r="K77" i="36" s="1"/>
  <c r="J76" i="36"/>
  <c r="K76" i="36" s="1"/>
  <c r="J75" i="36"/>
  <c r="K75" i="36" s="1"/>
  <c r="J74" i="36"/>
  <c r="K74" i="36" s="1"/>
  <c r="J73" i="36"/>
  <c r="K73" i="36" s="1"/>
  <c r="J72" i="36"/>
  <c r="K72" i="36" s="1"/>
  <c r="J71" i="36"/>
  <c r="K71" i="36" s="1"/>
  <c r="J70" i="36"/>
  <c r="K70" i="36" s="1"/>
  <c r="J69" i="36"/>
  <c r="K69" i="36" s="1"/>
  <c r="J68" i="36"/>
  <c r="K68" i="36" s="1"/>
  <c r="J67" i="36"/>
  <c r="K67" i="36" s="1"/>
  <c r="J66" i="36"/>
  <c r="K66" i="36" s="1"/>
  <c r="J65" i="36"/>
  <c r="K65" i="36" s="1"/>
  <c r="J64" i="36"/>
  <c r="K64" i="36" s="1"/>
  <c r="J63" i="36"/>
  <c r="K63" i="36" s="1"/>
  <c r="J62" i="36"/>
  <c r="K62" i="36" s="1"/>
  <c r="J61" i="36"/>
  <c r="K61" i="36" s="1"/>
  <c r="J60" i="36"/>
  <c r="K60" i="36" s="1"/>
  <c r="J59" i="36"/>
  <c r="K59" i="36" s="1"/>
  <c r="J58" i="36"/>
  <c r="K58" i="36" s="1"/>
  <c r="J57" i="36"/>
  <c r="K57" i="36" s="1"/>
  <c r="J56" i="36"/>
  <c r="K56" i="36" s="1"/>
  <c r="J55" i="36"/>
  <c r="K55" i="36" s="1"/>
  <c r="J54" i="36"/>
  <c r="K54" i="36" s="1"/>
  <c r="J53" i="36"/>
  <c r="K53" i="36" s="1"/>
  <c r="J52" i="36"/>
  <c r="K52" i="36" s="1"/>
  <c r="J51" i="36"/>
  <c r="K51" i="36" s="1"/>
  <c r="J50" i="36"/>
  <c r="K50" i="36" s="1"/>
  <c r="J49" i="36"/>
  <c r="K49" i="36" s="1"/>
  <c r="J48" i="36"/>
  <c r="K48" i="36" s="1"/>
  <c r="J47" i="36"/>
  <c r="K47" i="36" s="1"/>
  <c r="J46" i="36"/>
  <c r="K46" i="36" s="1"/>
  <c r="J45" i="36"/>
  <c r="K45" i="36" s="1"/>
  <c r="J40" i="36"/>
  <c r="D40" i="36"/>
  <c r="J39" i="36"/>
  <c r="D39" i="36"/>
  <c r="J38" i="36"/>
  <c r="D38" i="36"/>
  <c r="J37" i="36"/>
  <c r="D37" i="36"/>
  <c r="J36" i="36"/>
  <c r="D36" i="36"/>
  <c r="J35" i="36"/>
  <c r="D35" i="36"/>
  <c r="J34" i="36"/>
  <c r="D34" i="36"/>
  <c r="J33" i="36"/>
  <c r="D33" i="36"/>
  <c r="J32" i="36"/>
  <c r="D32" i="36"/>
  <c r="J31" i="36"/>
  <c r="D31" i="36"/>
  <c r="J30" i="36"/>
  <c r="D30" i="36"/>
  <c r="J29" i="36"/>
  <c r="D29" i="36"/>
  <c r="J28" i="36"/>
  <c r="D28" i="36"/>
  <c r="E81" i="35" l="1"/>
  <c r="K81" i="35" s="1"/>
  <c r="E40" i="36"/>
  <c r="C17" i="36"/>
  <c r="C16" i="36"/>
  <c r="E33" i="36"/>
  <c r="F40" i="36"/>
  <c r="E32" i="36"/>
  <c r="F32" i="36" s="1"/>
  <c r="E28" i="36"/>
  <c r="E29" i="36"/>
  <c r="F29" i="36" s="1"/>
  <c r="E39" i="36"/>
  <c r="F39" i="36" s="1"/>
  <c r="F33" i="36"/>
  <c r="E31" i="36"/>
  <c r="F31" i="36" s="1"/>
  <c r="E34" i="36"/>
  <c r="F34" i="36" s="1"/>
  <c r="E34" i="35"/>
  <c r="K34" i="35" s="1"/>
  <c r="E70" i="35"/>
  <c r="K70" i="35" s="1"/>
  <c r="E71" i="35"/>
  <c r="E82" i="35"/>
  <c r="E58" i="35"/>
  <c r="E37" i="36"/>
  <c r="F37" i="36" s="1"/>
  <c r="E36" i="36"/>
  <c r="F36" i="36" s="1"/>
  <c r="E38" i="36"/>
  <c r="F38" i="36" s="1"/>
  <c r="E30" i="36"/>
  <c r="F30" i="36" s="1"/>
  <c r="E35" i="36"/>
  <c r="F35" i="36" s="1"/>
  <c r="F28" i="36" l="1"/>
  <c r="C4" i="36" s="1"/>
  <c r="C3" i="36" l="1"/>
  <c r="E99" i="35"/>
  <c r="K99" i="35" s="1"/>
  <c r="E98" i="35"/>
  <c r="E97" i="35"/>
  <c r="K97" i="35" s="1"/>
  <c r="E96" i="35"/>
  <c r="E95" i="35"/>
  <c r="K95" i="35" s="1"/>
  <c r="E94" i="35"/>
  <c r="E93" i="35"/>
  <c r="K93" i="35" s="1"/>
  <c r="E92" i="35"/>
  <c r="K92" i="35" s="1"/>
  <c r="E91" i="35"/>
  <c r="K91" i="35" s="1"/>
  <c r="E90" i="35"/>
  <c r="E89" i="35"/>
  <c r="K89" i="35" s="1"/>
  <c r="E88" i="35"/>
  <c r="E87" i="35"/>
  <c r="E86" i="35"/>
  <c r="E85" i="35"/>
  <c r="K85" i="35" s="1"/>
  <c r="E84" i="35"/>
  <c r="K84" i="35" s="1"/>
  <c r="E83" i="35"/>
  <c r="E80" i="35"/>
  <c r="E79" i="35"/>
  <c r="K79" i="35" s="1"/>
  <c r="E78" i="35"/>
  <c r="E77" i="35"/>
  <c r="E76" i="35"/>
  <c r="E75" i="35"/>
  <c r="K75" i="35" s="1"/>
  <c r="E74" i="35"/>
  <c r="K74" i="35" s="1"/>
  <c r="E73" i="35"/>
  <c r="K73" i="35" s="1"/>
  <c r="E72" i="35"/>
  <c r="K72" i="35" s="1"/>
  <c r="I69" i="35"/>
  <c r="E69" i="35"/>
  <c r="I68" i="35"/>
  <c r="E68" i="35"/>
  <c r="I67" i="35"/>
  <c r="E67" i="35"/>
  <c r="I66" i="35"/>
  <c r="E66" i="35"/>
  <c r="I65" i="35"/>
  <c r="E65" i="35"/>
  <c r="K65" i="35" s="1"/>
  <c r="I64" i="35"/>
  <c r="E64" i="35"/>
  <c r="K64" i="35" s="1"/>
  <c r="I63" i="35"/>
  <c r="E63" i="35"/>
  <c r="K63" i="35" s="1"/>
  <c r="I62" i="35"/>
  <c r="E62" i="35"/>
  <c r="I61" i="35"/>
  <c r="E61" i="35"/>
  <c r="I60" i="35"/>
  <c r="E60" i="35"/>
  <c r="I59" i="35"/>
  <c r="E59" i="35"/>
  <c r="I56" i="35"/>
  <c r="E56" i="35"/>
  <c r="K56" i="35" s="1"/>
  <c r="I55" i="35"/>
  <c r="E55" i="35"/>
  <c r="K55" i="35" s="1"/>
  <c r="I54" i="35"/>
  <c r="E54" i="35"/>
  <c r="K54" i="35" s="1"/>
  <c r="I53" i="35"/>
  <c r="E53" i="35"/>
  <c r="K53" i="35" s="1"/>
  <c r="I52" i="35"/>
  <c r="E52" i="35"/>
  <c r="I51" i="35"/>
  <c r="E51" i="35"/>
  <c r="I50" i="35"/>
  <c r="E50" i="35"/>
  <c r="I49" i="35"/>
  <c r="E49" i="35"/>
  <c r="I48" i="35"/>
  <c r="E48" i="35"/>
  <c r="I47" i="35"/>
  <c r="E47" i="35"/>
  <c r="K47" i="35" s="1"/>
  <c r="I46" i="35"/>
  <c r="E46" i="35"/>
  <c r="K46" i="35" s="1"/>
  <c r="I45" i="35"/>
  <c r="E45" i="35"/>
  <c r="K45" i="35" s="1"/>
  <c r="I44" i="35"/>
  <c r="E44" i="35"/>
  <c r="I43" i="35"/>
  <c r="E43" i="35"/>
  <c r="I42" i="35"/>
  <c r="E42" i="35"/>
  <c r="I41" i="35"/>
  <c r="E41" i="35"/>
  <c r="I40" i="35"/>
  <c r="E40" i="35"/>
  <c r="I39" i="35"/>
  <c r="E39" i="35"/>
  <c r="K39" i="35" s="1"/>
  <c r="I38" i="35"/>
  <c r="E38" i="35"/>
  <c r="K38" i="35" s="1"/>
  <c r="I37" i="35"/>
  <c r="E37" i="35"/>
  <c r="K37" i="35" s="1"/>
  <c r="I36" i="35"/>
  <c r="E36" i="35"/>
  <c r="K36" i="35" s="1"/>
  <c r="I33" i="35"/>
  <c r="E33" i="35"/>
  <c r="I32" i="35"/>
  <c r="E32" i="35"/>
  <c r="I31" i="35"/>
  <c r="E31" i="35"/>
  <c r="I30" i="35"/>
  <c r="E30" i="35"/>
  <c r="I29" i="35"/>
  <c r="E29" i="35"/>
  <c r="K29" i="35" s="1"/>
  <c r="I28" i="35"/>
  <c r="E28" i="35"/>
  <c r="K28" i="35" s="1"/>
  <c r="I27" i="35"/>
  <c r="E27" i="35"/>
  <c r="K27" i="35" s="1"/>
  <c r="I26" i="35"/>
  <c r="E26" i="35"/>
  <c r="I25" i="35"/>
  <c r="E25" i="35"/>
  <c r="I24" i="35"/>
  <c r="E24" i="35"/>
  <c r="I23" i="35"/>
  <c r="E23" i="35"/>
  <c r="I22" i="35"/>
  <c r="E22" i="35"/>
  <c r="I21" i="35"/>
  <c r="E21" i="35"/>
  <c r="K21" i="35" s="1"/>
  <c r="I20" i="35"/>
  <c r="E20" i="35"/>
  <c r="K20" i="35" s="1"/>
  <c r="I19" i="35"/>
  <c r="E19" i="35"/>
  <c r="I18" i="35"/>
  <c r="E18" i="35"/>
  <c r="I17" i="35"/>
  <c r="E17" i="35"/>
  <c r="P16" i="35"/>
  <c r="I16" i="35"/>
  <c r="E16" i="35"/>
  <c r="K16" i="35" s="1"/>
  <c r="I15" i="35"/>
  <c r="E15" i="35"/>
  <c r="I14" i="35"/>
  <c r="E14" i="35"/>
  <c r="K14" i="35" s="1"/>
  <c r="I13" i="35"/>
  <c r="E13" i="35"/>
  <c r="I12" i="35"/>
  <c r="E12" i="35"/>
  <c r="K12" i="35" s="1"/>
  <c r="I11" i="35"/>
  <c r="E11" i="35"/>
  <c r="I10" i="35"/>
  <c r="E10" i="35"/>
  <c r="K10" i="35" s="1"/>
  <c r="I9" i="35"/>
  <c r="E9" i="35"/>
  <c r="I8" i="35"/>
  <c r="E8" i="35"/>
  <c r="K8" i="35" s="1"/>
  <c r="I7" i="35"/>
  <c r="E7" i="35"/>
  <c r="I6" i="35"/>
  <c r="E6" i="35"/>
  <c r="K6" i="35" s="1"/>
  <c r="I4" i="35"/>
  <c r="E4" i="35"/>
  <c r="I3" i="35"/>
  <c r="E3" i="35"/>
  <c r="K3" i="35" s="1"/>
  <c r="I2" i="35"/>
  <c r="E2" i="35"/>
  <c r="K43" i="35" l="1"/>
  <c r="K61" i="35"/>
  <c r="K19" i="35"/>
  <c r="K7" i="35"/>
  <c r="K23" i="35"/>
  <c r="K31" i="35"/>
  <c r="K41" i="35"/>
  <c r="K59" i="35"/>
  <c r="K67" i="35"/>
  <c r="K49" i="35"/>
  <c r="K77" i="35"/>
  <c r="K22" i="35"/>
  <c r="K30" i="35"/>
  <c r="K40" i="35"/>
  <c r="K48" i="35"/>
  <c r="K66" i="35"/>
  <c r="K76" i="35"/>
  <c r="K86" i="35"/>
  <c r="K94" i="35"/>
  <c r="K83" i="35"/>
  <c r="K87" i="35"/>
  <c r="K9" i="35"/>
  <c r="R15" i="35" s="1"/>
  <c r="K2" i="35"/>
  <c r="K11" i="35"/>
  <c r="K18" i="35"/>
  <c r="K52" i="35"/>
  <c r="R6" i="35" s="1"/>
  <c r="K90" i="35"/>
  <c r="R4" i="35"/>
  <c r="K4" i="35"/>
  <c r="K13" i="35"/>
  <c r="K24" i="35"/>
  <c r="R9" i="35" s="1"/>
  <c r="K32" i="35"/>
  <c r="K42" i="35"/>
  <c r="K50" i="35"/>
  <c r="K60" i="35"/>
  <c r="K68" i="35"/>
  <c r="K78" i="35"/>
  <c r="K88" i="35"/>
  <c r="K96" i="35"/>
  <c r="K17" i="35"/>
  <c r="K25" i="35"/>
  <c r="K33" i="35"/>
  <c r="K51" i="35"/>
  <c r="K69" i="35"/>
  <c r="K15" i="35"/>
  <c r="K26" i="35"/>
  <c r="K44" i="35"/>
  <c r="K62" i="35"/>
  <c r="K80" i="35"/>
  <c r="K98" i="35"/>
  <c r="R14" i="35"/>
  <c r="J128" i="34"/>
  <c r="K128" i="34" s="1"/>
  <c r="J127" i="34"/>
  <c r="K127" i="34" s="1"/>
  <c r="J126" i="34"/>
  <c r="K126" i="34" s="1"/>
  <c r="J125" i="34"/>
  <c r="K125" i="34" s="1"/>
  <c r="J124" i="34"/>
  <c r="K124" i="34" s="1"/>
  <c r="J123" i="34"/>
  <c r="K123" i="34" s="1"/>
  <c r="J122" i="34"/>
  <c r="K122" i="34" s="1"/>
  <c r="J121" i="34"/>
  <c r="K121" i="34" s="1"/>
  <c r="J120" i="34"/>
  <c r="K120" i="34" s="1"/>
  <c r="J119" i="34"/>
  <c r="K119" i="34" s="1"/>
  <c r="J118" i="34"/>
  <c r="K118" i="34" s="1"/>
  <c r="J117" i="34"/>
  <c r="K117" i="34" s="1"/>
  <c r="J116" i="34"/>
  <c r="K116" i="34" s="1"/>
  <c r="J115" i="34"/>
  <c r="K115" i="34" s="1"/>
  <c r="J114" i="34"/>
  <c r="K114" i="34" s="1"/>
  <c r="J113" i="34"/>
  <c r="K113" i="34" s="1"/>
  <c r="J112" i="34"/>
  <c r="K112" i="34" s="1"/>
  <c r="J111" i="34"/>
  <c r="K111" i="34" s="1"/>
  <c r="J110" i="34"/>
  <c r="K110" i="34" s="1"/>
  <c r="J109" i="34"/>
  <c r="K109" i="34" s="1"/>
  <c r="J108" i="34"/>
  <c r="K108" i="34" s="1"/>
  <c r="J107" i="34"/>
  <c r="K107" i="34" s="1"/>
  <c r="J106" i="34"/>
  <c r="K106" i="34" s="1"/>
  <c r="J105" i="34"/>
  <c r="K105" i="34" s="1"/>
  <c r="J104" i="34"/>
  <c r="K104" i="34" s="1"/>
  <c r="J103" i="34"/>
  <c r="K103" i="34" s="1"/>
  <c r="J102" i="34"/>
  <c r="K102" i="34" s="1"/>
  <c r="J101" i="34"/>
  <c r="K101" i="34" s="1"/>
  <c r="J100" i="34"/>
  <c r="K100" i="34" s="1"/>
  <c r="J99" i="34"/>
  <c r="K99" i="34" s="1"/>
  <c r="J98" i="34"/>
  <c r="K98" i="34" s="1"/>
  <c r="J97" i="34"/>
  <c r="K97" i="34" s="1"/>
  <c r="J96" i="34"/>
  <c r="K96" i="34" s="1"/>
  <c r="J95" i="34"/>
  <c r="K95" i="34" s="1"/>
  <c r="J94" i="34"/>
  <c r="K94" i="34" s="1"/>
  <c r="J93" i="34"/>
  <c r="K93" i="34" s="1"/>
  <c r="J92" i="34"/>
  <c r="K92" i="34" s="1"/>
  <c r="J91" i="34"/>
  <c r="K91" i="34" s="1"/>
  <c r="J90" i="34"/>
  <c r="K90" i="34" s="1"/>
  <c r="J89" i="34"/>
  <c r="K89" i="34" s="1"/>
  <c r="J88" i="34"/>
  <c r="K88" i="34" s="1"/>
  <c r="J87" i="34"/>
  <c r="K87" i="34" s="1"/>
  <c r="J86" i="34"/>
  <c r="K86" i="34" s="1"/>
  <c r="J85" i="34"/>
  <c r="K85" i="34" s="1"/>
  <c r="J84" i="34"/>
  <c r="K84" i="34" s="1"/>
  <c r="J83" i="34"/>
  <c r="K83" i="34" s="1"/>
  <c r="J82" i="34"/>
  <c r="K82" i="34" s="1"/>
  <c r="J81" i="34"/>
  <c r="K81" i="34" s="1"/>
  <c r="J80" i="34"/>
  <c r="K80" i="34" s="1"/>
  <c r="J79" i="34"/>
  <c r="K79" i="34" s="1"/>
  <c r="J78" i="34"/>
  <c r="K78" i="34" s="1"/>
  <c r="J77" i="34"/>
  <c r="K77" i="34" s="1"/>
  <c r="J76" i="34"/>
  <c r="K76" i="34" s="1"/>
  <c r="J75" i="34"/>
  <c r="K75" i="34" s="1"/>
  <c r="J74" i="34"/>
  <c r="K74" i="34" s="1"/>
  <c r="J73" i="34"/>
  <c r="K73" i="34" s="1"/>
  <c r="J72" i="34"/>
  <c r="K72" i="34" s="1"/>
  <c r="J71" i="34"/>
  <c r="K71" i="34" s="1"/>
  <c r="J70" i="34"/>
  <c r="K70" i="34" s="1"/>
  <c r="J69" i="34"/>
  <c r="K69" i="34" s="1"/>
  <c r="J68" i="34"/>
  <c r="K68" i="34" s="1"/>
  <c r="J67" i="34"/>
  <c r="K67" i="34" s="1"/>
  <c r="J66" i="34"/>
  <c r="K66" i="34" s="1"/>
  <c r="J65" i="34"/>
  <c r="K65" i="34" s="1"/>
  <c r="J64" i="34"/>
  <c r="K64" i="34" s="1"/>
  <c r="J63" i="34"/>
  <c r="K63" i="34" s="1"/>
  <c r="J62" i="34"/>
  <c r="K62" i="34" s="1"/>
  <c r="J61" i="34"/>
  <c r="K61" i="34" s="1"/>
  <c r="J60" i="34"/>
  <c r="K60" i="34" s="1"/>
  <c r="J59" i="34"/>
  <c r="K59" i="34" s="1"/>
  <c r="J58" i="34"/>
  <c r="K58" i="34" s="1"/>
  <c r="J57" i="34"/>
  <c r="K57" i="34" s="1"/>
  <c r="J56" i="34"/>
  <c r="K56" i="34" s="1"/>
  <c r="J55" i="34"/>
  <c r="K55" i="34" s="1"/>
  <c r="J54" i="34"/>
  <c r="K54" i="34" s="1"/>
  <c r="J53" i="34"/>
  <c r="K53" i="34" s="1"/>
  <c r="J52" i="34"/>
  <c r="K52" i="34" s="1"/>
  <c r="J51" i="34"/>
  <c r="K51" i="34" s="1"/>
  <c r="J50" i="34"/>
  <c r="K50" i="34" s="1"/>
  <c r="J49" i="34"/>
  <c r="K49" i="34" s="1"/>
  <c r="J48" i="34"/>
  <c r="K48" i="34" s="1"/>
  <c r="J47" i="34"/>
  <c r="K47" i="34" s="1"/>
  <c r="J46" i="34"/>
  <c r="K46" i="34" s="1"/>
  <c r="J45" i="34"/>
  <c r="K45" i="34" s="1"/>
  <c r="J44" i="34"/>
  <c r="K44" i="34" s="1"/>
  <c r="J43" i="34"/>
  <c r="K43" i="34" s="1"/>
  <c r="J42" i="34"/>
  <c r="K42" i="34" s="1"/>
  <c r="J41" i="34"/>
  <c r="K41" i="34" s="1"/>
  <c r="J40" i="34"/>
  <c r="K40" i="34" s="1"/>
  <c r="J35" i="34"/>
  <c r="D35" i="34"/>
  <c r="J34" i="34"/>
  <c r="D34" i="34"/>
  <c r="J33" i="34"/>
  <c r="D33" i="34"/>
  <c r="J32" i="34"/>
  <c r="D32" i="34"/>
  <c r="J31" i="34"/>
  <c r="D31" i="34"/>
  <c r="J30" i="34"/>
  <c r="D30" i="34"/>
  <c r="J29" i="34"/>
  <c r="D29" i="34"/>
  <c r="J28" i="34"/>
  <c r="D28" i="34"/>
  <c r="J27" i="34"/>
  <c r="D27" i="34"/>
  <c r="J26" i="34"/>
  <c r="D26" i="34"/>
  <c r="J25" i="34"/>
  <c r="D25" i="34"/>
  <c r="J24" i="34"/>
  <c r="D24" i="34"/>
  <c r="J23" i="34"/>
  <c r="D23" i="34"/>
  <c r="C12" i="34"/>
  <c r="C11" i="34"/>
  <c r="C10" i="34"/>
  <c r="J128" i="33"/>
  <c r="K128" i="33" s="1"/>
  <c r="J127" i="33"/>
  <c r="K127" i="33" s="1"/>
  <c r="J126" i="33"/>
  <c r="K126" i="33" s="1"/>
  <c r="J125" i="33"/>
  <c r="K125" i="33" s="1"/>
  <c r="J124" i="33"/>
  <c r="K124" i="33" s="1"/>
  <c r="J123" i="33"/>
  <c r="K123" i="33" s="1"/>
  <c r="J122" i="33"/>
  <c r="K122" i="33" s="1"/>
  <c r="J121" i="33"/>
  <c r="K121" i="33" s="1"/>
  <c r="J120" i="33"/>
  <c r="K120" i="33" s="1"/>
  <c r="J119" i="33"/>
  <c r="K119" i="33" s="1"/>
  <c r="J118" i="33"/>
  <c r="K118" i="33" s="1"/>
  <c r="J117" i="33"/>
  <c r="K117" i="33" s="1"/>
  <c r="J116" i="33"/>
  <c r="K116" i="33" s="1"/>
  <c r="J115" i="33"/>
  <c r="K115" i="33" s="1"/>
  <c r="J114" i="33"/>
  <c r="K114" i="33" s="1"/>
  <c r="J113" i="33"/>
  <c r="K113" i="33" s="1"/>
  <c r="J112" i="33"/>
  <c r="K112" i="33" s="1"/>
  <c r="J111" i="33"/>
  <c r="K111" i="33" s="1"/>
  <c r="J110" i="33"/>
  <c r="K110" i="33" s="1"/>
  <c r="J109" i="33"/>
  <c r="K109" i="33" s="1"/>
  <c r="J108" i="33"/>
  <c r="K108" i="33" s="1"/>
  <c r="J107" i="33"/>
  <c r="K107" i="33" s="1"/>
  <c r="J106" i="33"/>
  <c r="K106" i="33" s="1"/>
  <c r="J105" i="33"/>
  <c r="K105" i="33" s="1"/>
  <c r="J104" i="33"/>
  <c r="K104" i="33" s="1"/>
  <c r="J103" i="33"/>
  <c r="K103" i="33" s="1"/>
  <c r="J102" i="33"/>
  <c r="K102" i="33" s="1"/>
  <c r="J101" i="33"/>
  <c r="K101" i="33" s="1"/>
  <c r="J100" i="33"/>
  <c r="K100" i="33" s="1"/>
  <c r="J99" i="33"/>
  <c r="K99" i="33" s="1"/>
  <c r="J98" i="33"/>
  <c r="K98" i="33" s="1"/>
  <c r="J97" i="33"/>
  <c r="K97" i="33" s="1"/>
  <c r="J96" i="33"/>
  <c r="K96" i="33" s="1"/>
  <c r="J95" i="33"/>
  <c r="K95" i="33" s="1"/>
  <c r="J94" i="33"/>
  <c r="K94" i="33" s="1"/>
  <c r="J93" i="33"/>
  <c r="K93" i="33" s="1"/>
  <c r="J92" i="33"/>
  <c r="K92" i="33" s="1"/>
  <c r="J91" i="33"/>
  <c r="K91" i="33" s="1"/>
  <c r="J90" i="33"/>
  <c r="K90" i="33" s="1"/>
  <c r="J89" i="33"/>
  <c r="K89" i="33" s="1"/>
  <c r="J88" i="33"/>
  <c r="K88" i="33" s="1"/>
  <c r="J87" i="33"/>
  <c r="K87" i="33" s="1"/>
  <c r="J86" i="33"/>
  <c r="K86" i="33" s="1"/>
  <c r="J85" i="33"/>
  <c r="K85" i="33" s="1"/>
  <c r="J84" i="33"/>
  <c r="K84" i="33" s="1"/>
  <c r="J83" i="33"/>
  <c r="K83" i="33" s="1"/>
  <c r="J82" i="33"/>
  <c r="K82" i="33" s="1"/>
  <c r="J81" i="33"/>
  <c r="K81" i="33" s="1"/>
  <c r="J80" i="33"/>
  <c r="K80" i="33" s="1"/>
  <c r="J79" i="33"/>
  <c r="K79" i="33" s="1"/>
  <c r="J78" i="33"/>
  <c r="K78" i="33" s="1"/>
  <c r="J77" i="33"/>
  <c r="K77" i="33" s="1"/>
  <c r="J76" i="33"/>
  <c r="K76" i="33" s="1"/>
  <c r="J75" i="33"/>
  <c r="K75" i="33" s="1"/>
  <c r="J74" i="33"/>
  <c r="K74" i="33" s="1"/>
  <c r="J73" i="33"/>
  <c r="K73" i="33" s="1"/>
  <c r="J72" i="33"/>
  <c r="K72" i="33" s="1"/>
  <c r="J71" i="33"/>
  <c r="K71" i="33" s="1"/>
  <c r="J70" i="33"/>
  <c r="K70" i="33" s="1"/>
  <c r="J69" i="33"/>
  <c r="K69" i="33" s="1"/>
  <c r="J68" i="33"/>
  <c r="K68" i="33" s="1"/>
  <c r="J67" i="33"/>
  <c r="K67" i="33" s="1"/>
  <c r="J66" i="33"/>
  <c r="K66" i="33" s="1"/>
  <c r="J65" i="33"/>
  <c r="K65" i="33" s="1"/>
  <c r="J64" i="33"/>
  <c r="K64" i="33" s="1"/>
  <c r="J63" i="33"/>
  <c r="K63" i="33" s="1"/>
  <c r="J62" i="33"/>
  <c r="K62" i="33" s="1"/>
  <c r="J61" i="33"/>
  <c r="K61" i="33" s="1"/>
  <c r="J60" i="33"/>
  <c r="K60" i="33" s="1"/>
  <c r="J59" i="33"/>
  <c r="K59" i="33" s="1"/>
  <c r="J58" i="33"/>
  <c r="K58" i="33" s="1"/>
  <c r="J57" i="33"/>
  <c r="K57" i="33" s="1"/>
  <c r="J56" i="33"/>
  <c r="K56" i="33" s="1"/>
  <c r="J55" i="33"/>
  <c r="K55" i="33" s="1"/>
  <c r="J54" i="33"/>
  <c r="K54" i="33" s="1"/>
  <c r="J53" i="33"/>
  <c r="K53" i="33" s="1"/>
  <c r="J52" i="33"/>
  <c r="K52" i="33" s="1"/>
  <c r="J51" i="33"/>
  <c r="K51" i="33" s="1"/>
  <c r="J50" i="33"/>
  <c r="K50" i="33" s="1"/>
  <c r="J49" i="33"/>
  <c r="K49" i="33" s="1"/>
  <c r="J48" i="33"/>
  <c r="K48" i="33" s="1"/>
  <c r="J47" i="33"/>
  <c r="K47" i="33" s="1"/>
  <c r="J46" i="33"/>
  <c r="K46" i="33" s="1"/>
  <c r="J45" i="33"/>
  <c r="K45" i="33" s="1"/>
  <c r="J44" i="33"/>
  <c r="K44" i="33" s="1"/>
  <c r="J43" i="33"/>
  <c r="K43" i="33" s="1"/>
  <c r="J42" i="33"/>
  <c r="K42" i="33" s="1"/>
  <c r="J41" i="33"/>
  <c r="K41" i="33" s="1"/>
  <c r="J40" i="33"/>
  <c r="K40" i="33" s="1"/>
  <c r="J35" i="33"/>
  <c r="D35" i="33"/>
  <c r="J34" i="33"/>
  <c r="D34" i="33"/>
  <c r="J33" i="33"/>
  <c r="D33" i="33"/>
  <c r="J32" i="33"/>
  <c r="D32" i="33"/>
  <c r="J31" i="33"/>
  <c r="D31" i="33"/>
  <c r="J30" i="33"/>
  <c r="D30" i="33"/>
  <c r="J29" i="33"/>
  <c r="D29" i="33"/>
  <c r="J28" i="33"/>
  <c r="D28" i="33"/>
  <c r="J27" i="33"/>
  <c r="D27" i="33"/>
  <c r="J26" i="33"/>
  <c r="D26" i="33"/>
  <c r="J25" i="33"/>
  <c r="D25" i="33"/>
  <c r="J24" i="33"/>
  <c r="D24" i="33"/>
  <c r="J23" i="33"/>
  <c r="D23" i="33"/>
  <c r="C12" i="33"/>
  <c r="C11" i="33"/>
  <c r="C10" i="33"/>
  <c r="J35" i="31"/>
  <c r="J34" i="31"/>
  <c r="J33" i="31"/>
  <c r="J32" i="31"/>
  <c r="J31" i="31"/>
  <c r="J30" i="31"/>
  <c r="J29" i="31"/>
  <c r="J28" i="31"/>
  <c r="J27" i="31"/>
  <c r="J26" i="31"/>
  <c r="J25" i="31"/>
  <c r="J24" i="31"/>
  <c r="J23" i="31"/>
  <c r="J128" i="31"/>
  <c r="K128" i="31" s="1"/>
  <c r="J127" i="31"/>
  <c r="K127" i="31" s="1"/>
  <c r="J126" i="31"/>
  <c r="K126" i="31" s="1"/>
  <c r="J125" i="31"/>
  <c r="K125" i="31" s="1"/>
  <c r="J124" i="31"/>
  <c r="K124" i="31" s="1"/>
  <c r="J123" i="31"/>
  <c r="K123" i="31" s="1"/>
  <c r="J122" i="31"/>
  <c r="K122" i="31" s="1"/>
  <c r="J121" i="31"/>
  <c r="K121" i="31" s="1"/>
  <c r="J120" i="31"/>
  <c r="K120" i="31" s="1"/>
  <c r="J119" i="31"/>
  <c r="K119" i="31" s="1"/>
  <c r="J118" i="31"/>
  <c r="K118" i="31" s="1"/>
  <c r="J117" i="31"/>
  <c r="K117" i="31" s="1"/>
  <c r="J116" i="31"/>
  <c r="K116" i="31" s="1"/>
  <c r="J115" i="31"/>
  <c r="K115" i="31" s="1"/>
  <c r="J114" i="31"/>
  <c r="K114" i="31" s="1"/>
  <c r="J113" i="31"/>
  <c r="K113" i="31" s="1"/>
  <c r="J112" i="31"/>
  <c r="K112" i="31" s="1"/>
  <c r="J111" i="31"/>
  <c r="K111" i="31" s="1"/>
  <c r="J110" i="31"/>
  <c r="K110" i="31" s="1"/>
  <c r="J109" i="31"/>
  <c r="K109" i="31" s="1"/>
  <c r="J108" i="31"/>
  <c r="K108" i="31" s="1"/>
  <c r="J107" i="31"/>
  <c r="K107" i="31" s="1"/>
  <c r="J106" i="31"/>
  <c r="K106" i="31" s="1"/>
  <c r="J105" i="31"/>
  <c r="K105" i="31" s="1"/>
  <c r="J104" i="31"/>
  <c r="K104" i="31" s="1"/>
  <c r="J103" i="31"/>
  <c r="K103" i="31" s="1"/>
  <c r="J102" i="31"/>
  <c r="K102" i="31" s="1"/>
  <c r="J101" i="31"/>
  <c r="K101" i="31" s="1"/>
  <c r="J100" i="31"/>
  <c r="K100" i="31" s="1"/>
  <c r="J99" i="31"/>
  <c r="K99" i="31" s="1"/>
  <c r="J98" i="31"/>
  <c r="K98" i="31" s="1"/>
  <c r="J97" i="31"/>
  <c r="K97" i="31" s="1"/>
  <c r="J96" i="31"/>
  <c r="K96" i="31" s="1"/>
  <c r="J95" i="31"/>
  <c r="K95" i="31" s="1"/>
  <c r="J94" i="31"/>
  <c r="K94" i="31" s="1"/>
  <c r="J93" i="31"/>
  <c r="K93" i="31" s="1"/>
  <c r="J92" i="31"/>
  <c r="K92" i="31" s="1"/>
  <c r="J91" i="31"/>
  <c r="K91" i="31" s="1"/>
  <c r="J90" i="31"/>
  <c r="K90" i="31" s="1"/>
  <c r="J89" i="31"/>
  <c r="K89" i="31" s="1"/>
  <c r="J88" i="31"/>
  <c r="K88" i="31" s="1"/>
  <c r="J87" i="31"/>
  <c r="K87" i="31" s="1"/>
  <c r="J86" i="31"/>
  <c r="K86" i="31" s="1"/>
  <c r="J85" i="31"/>
  <c r="K85" i="31" s="1"/>
  <c r="J84" i="31"/>
  <c r="K84" i="31" s="1"/>
  <c r="J83" i="31"/>
  <c r="K83" i="31" s="1"/>
  <c r="J82" i="31"/>
  <c r="K82" i="31" s="1"/>
  <c r="J81" i="31"/>
  <c r="K81" i="31" s="1"/>
  <c r="J80" i="31"/>
  <c r="K80" i="31" s="1"/>
  <c r="J79" i="31"/>
  <c r="K79" i="31" s="1"/>
  <c r="J78" i="31"/>
  <c r="K78" i="31" s="1"/>
  <c r="J77" i="31"/>
  <c r="K77" i="31" s="1"/>
  <c r="J76" i="31"/>
  <c r="K76" i="31" s="1"/>
  <c r="J75" i="31"/>
  <c r="K75" i="31" s="1"/>
  <c r="J74" i="31"/>
  <c r="K74" i="31" s="1"/>
  <c r="J73" i="31"/>
  <c r="K73" i="31" s="1"/>
  <c r="J72" i="31"/>
  <c r="K72" i="31" s="1"/>
  <c r="J71" i="31"/>
  <c r="K71" i="31" s="1"/>
  <c r="J70" i="31"/>
  <c r="K70" i="31" s="1"/>
  <c r="J69" i="31"/>
  <c r="K69" i="31" s="1"/>
  <c r="J68" i="31"/>
  <c r="K68" i="31" s="1"/>
  <c r="J67" i="31"/>
  <c r="K67" i="31" s="1"/>
  <c r="J66" i="31"/>
  <c r="K66" i="31" s="1"/>
  <c r="J65" i="31"/>
  <c r="K65" i="31" s="1"/>
  <c r="J64" i="31"/>
  <c r="K64" i="31" s="1"/>
  <c r="J63" i="31"/>
  <c r="K63" i="31" s="1"/>
  <c r="J62" i="31"/>
  <c r="K62" i="31" s="1"/>
  <c r="J61" i="31"/>
  <c r="K61" i="31" s="1"/>
  <c r="J60" i="31"/>
  <c r="K60" i="31" s="1"/>
  <c r="J59" i="31"/>
  <c r="K59" i="31" s="1"/>
  <c r="J58" i="31"/>
  <c r="K58" i="31" s="1"/>
  <c r="J57" i="31"/>
  <c r="K57" i="31" s="1"/>
  <c r="J56" i="31"/>
  <c r="K56" i="31" s="1"/>
  <c r="J55" i="31"/>
  <c r="K55" i="31" s="1"/>
  <c r="J54" i="31"/>
  <c r="K54" i="31" s="1"/>
  <c r="J53" i="31"/>
  <c r="K53" i="31" s="1"/>
  <c r="J52" i="31"/>
  <c r="K52" i="31" s="1"/>
  <c r="J51" i="31"/>
  <c r="K51" i="31" s="1"/>
  <c r="J50" i="31"/>
  <c r="K50" i="31" s="1"/>
  <c r="J49" i="31"/>
  <c r="K49" i="31" s="1"/>
  <c r="J48" i="31"/>
  <c r="K48" i="31" s="1"/>
  <c r="J47" i="31"/>
  <c r="K47" i="31" s="1"/>
  <c r="J46" i="31"/>
  <c r="K46" i="31" s="1"/>
  <c r="J45" i="31"/>
  <c r="K45" i="31" s="1"/>
  <c r="J44" i="31"/>
  <c r="K44" i="31" s="1"/>
  <c r="J43" i="31"/>
  <c r="K43" i="31" s="1"/>
  <c r="J42" i="31"/>
  <c r="K42" i="31" s="1"/>
  <c r="J41" i="31"/>
  <c r="K41" i="31" s="1"/>
  <c r="J40" i="31"/>
  <c r="K40" i="31" s="1"/>
  <c r="D35" i="31"/>
  <c r="D34" i="31"/>
  <c r="D33" i="31"/>
  <c r="D32" i="31"/>
  <c r="C12" i="31"/>
  <c r="D30" i="31"/>
  <c r="D29" i="31"/>
  <c r="D28" i="31"/>
  <c r="D27" i="31"/>
  <c r="D26" i="31"/>
  <c r="D25" i="31"/>
  <c r="D24" i="31"/>
  <c r="C10" i="31"/>
  <c r="C11" i="31"/>
  <c r="C16" i="34" l="1"/>
  <c r="R7" i="35"/>
  <c r="C16" i="33"/>
  <c r="E23" i="34"/>
  <c r="E27" i="31"/>
  <c r="R11" i="35"/>
  <c r="R13" i="35"/>
  <c r="R8" i="35"/>
  <c r="R12" i="35"/>
  <c r="R3" i="35"/>
  <c r="R2" i="35"/>
  <c r="R10" i="35"/>
  <c r="E28" i="33"/>
  <c r="F28" i="33"/>
  <c r="E25" i="31"/>
  <c r="F25" i="31" s="1"/>
  <c r="E32" i="31"/>
  <c r="F32" i="31" s="1"/>
  <c r="E26" i="33"/>
  <c r="F26" i="33" s="1"/>
  <c r="E28" i="31"/>
  <c r="F28" i="31" s="1"/>
  <c r="E26" i="31"/>
  <c r="E31" i="34"/>
  <c r="F31" i="34" s="1"/>
  <c r="E24" i="34"/>
  <c r="F24" i="34" s="1"/>
  <c r="E25" i="34"/>
  <c r="F25" i="34" s="1"/>
  <c r="E27" i="34"/>
  <c r="F27" i="34" s="1"/>
  <c r="E28" i="34"/>
  <c r="F28" i="34" s="1"/>
  <c r="E32" i="34"/>
  <c r="F32" i="34" s="1"/>
  <c r="E26" i="34"/>
  <c r="F26" i="34" s="1"/>
  <c r="F23" i="34"/>
  <c r="E35" i="34"/>
  <c r="F35" i="34" s="1"/>
  <c r="E34" i="34"/>
  <c r="F34" i="34" s="1"/>
  <c r="E33" i="34"/>
  <c r="F33" i="34" s="1"/>
  <c r="E29" i="34"/>
  <c r="F29" i="34" s="1"/>
  <c r="E30" i="34"/>
  <c r="F30" i="34" s="1"/>
  <c r="D4" i="34"/>
  <c r="C15" i="34" s="1"/>
  <c r="E34" i="33"/>
  <c r="F34" i="33" s="1"/>
  <c r="E24" i="33"/>
  <c r="F24" i="33" s="1"/>
  <c r="E33" i="33"/>
  <c r="F33" i="33" s="1"/>
  <c r="E29" i="33"/>
  <c r="F29" i="33" s="1"/>
  <c r="E30" i="33"/>
  <c r="F30" i="33" s="1"/>
  <c r="E25" i="33"/>
  <c r="F25" i="33" s="1"/>
  <c r="E32" i="33"/>
  <c r="F32" i="33"/>
  <c r="E23" i="33"/>
  <c r="F23" i="33" s="1"/>
  <c r="E35" i="33"/>
  <c r="F35" i="33" s="1"/>
  <c r="E27" i="33"/>
  <c r="F27" i="33" s="1"/>
  <c r="E31" i="33"/>
  <c r="F31" i="33" s="1"/>
  <c r="D4" i="33"/>
  <c r="C15" i="33" s="1"/>
  <c r="F26" i="31"/>
  <c r="E34" i="31"/>
  <c r="F34" i="31" s="1"/>
  <c r="F27" i="31"/>
  <c r="E24" i="31"/>
  <c r="F24" i="31" s="1"/>
  <c r="E33" i="31"/>
  <c r="F33" i="31" s="1"/>
  <c r="E29" i="31"/>
  <c r="F29" i="31"/>
  <c r="E23" i="31"/>
  <c r="E30" i="31"/>
  <c r="F30" i="31" s="1"/>
  <c r="E35" i="31"/>
  <c r="F35" i="31" s="1"/>
  <c r="E31" i="31"/>
  <c r="D23" i="31"/>
  <c r="D31" i="31"/>
  <c r="C16" i="31" l="1"/>
  <c r="D4" i="31"/>
  <c r="D3" i="34"/>
  <c r="D3" i="33"/>
  <c r="F31" i="31"/>
  <c r="F23" i="31"/>
  <c r="C15" i="31"/>
  <c r="D3" i="31" l="1"/>
  <c r="E90" i="17" l="1"/>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E62" i="17"/>
  <c r="E61" i="17"/>
  <c r="E60" i="17"/>
  <c r="E59" i="17"/>
  <c r="E58" i="17"/>
  <c r="E57" i="17"/>
  <c r="E56" i="17"/>
  <c r="E55" i="17"/>
  <c r="E54" i="17"/>
  <c r="E53" i="17"/>
  <c r="E52" i="17"/>
  <c r="E51" i="17"/>
  <c r="E50" i="17"/>
  <c r="E49" i="17"/>
  <c r="E48" i="17"/>
  <c r="E47" i="17"/>
  <c r="E46" i="17"/>
  <c r="E45" i="17"/>
  <c r="E44" i="17"/>
  <c r="E43" i="17"/>
  <c r="E42" i="17"/>
  <c r="E41" i="17"/>
  <c r="E40" i="17"/>
  <c r="E39" i="17"/>
  <c r="E38" i="17"/>
  <c r="E37" i="17"/>
  <c r="E36" i="17"/>
  <c r="E35" i="17"/>
  <c r="E34" i="17"/>
  <c r="E33" i="17"/>
  <c r="E32" i="17"/>
  <c r="E31" i="17"/>
  <c r="E30" i="17"/>
  <c r="E29" i="17"/>
  <c r="E28" i="17"/>
  <c r="E27" i="17"/>
  <c r="E26" i="17"/>
  <c r="E25" i="17"/>
  <c r="E24" i="17"/>
  <c r="E23" i="17"/>
  <c r="E22" i="17"/>
  <c r="E21" i="17"/>
  <c r="E20" i="17"/>
  <c r="E19" i="17"/>
  <c r="E18" i="17"/>
  <c r="E17" i="17"/>
  <c r="E16" i="17"/>
  <c r="E15" i="17"/>
  <c r="E14" i="17"/>
  <c r="E13" i="17"/>
  <c r="E12" i="17"/>
  <c r="E11" i="17"/>
  <c r="E10" i="17"/>
  <c r="E9" i="17"/>
  <c r="E8" i="17"/>
  <c r="E7" i="17"/>
  <c r="E6" i="17"/>
  <c r="E5" i="17"/>
  <c r="E4" i="17"/>
  <c r="E3" i="17"/>
  <c r="E2" i="17"/>
  <c r="B15" i="4"/>
  <c r="C4" i="18" l="1"/>
  <c r="D4" i="18" s="1"/>
  <c r="C4" i="11"/>
  <c r="D4" i="11" s="1"/>
  <c r="C3" i="4"/>
  <c r="C4" i="4"/>
  <c r="C5" i="4"/>
  <c r="C6" i="4"/>
  <c r="C7" i="4"/>
  <c r="C8" i="4"/>
  <c r="C9" i="4"/>
  <c r="C10" i="4"/>
  <c r="C11" i="4"/>
  <c r="C12" i="4"/>
  <c r="C13" i="4"/>
  <c r="C14" i="4"/>
  <c r="C2" i="4"/>
  <c r="E26" i="18"/>
  <c r="E30" i="18"/>
  <c r="E29" i="18"/>
  <c r="E32" i="18"/>
  <c r="E34" i="18"/>
  <c r="E35" i="18"/>
  <c r="E33" i="18"/>
  <c r="E31" i="18"/>
  <c r="E28" i="18"/>
  <c r="E23" i="18"/>
  <c r="E25" i="18"/>
  <c r="E24" i="18"/>
  <c r="E27" i="18"/>
  <c r="C33" i="18" l="1"/>
  <c r="D33" i="18" s="1"/>
  <c r="F33" i="18" s="1"/>
  <c r="C33" i="11"/>
  <c r="D33" i="11" s="1"/>
  <c r="F33" i="11" s="1"/>
  <c r="C24" i="18"/>
  <c r="D24" i="18" s="1"/>
  <c r="F24" i="18" s="1"/>
  <c r="C24" i="11"/>
  <c r="D24" i="11" s="1"/>
  <c r="F24" i="11" s="1"/>
  <c r="C27" i="18"/>
  <c r="D27" i="18" s="1"/>
  <c r="F27" i="18" s="1"/>
  <c r="C27" i="11"/>
  <c r="D27" i="11" s="1"/>
  <c r="F27" i="11" s="1"/>
  <c r="C23" i="18"/>
  <c r="C23" i="11"/>
  <c r="C30" i="18"/>
  <c r="D30" i="18" s="1"/>
  <c r="F30" i="18" s="1"/>
  <c r="C30" i="11"/>
  <c r="D30" i="11" s="1"/>
  <c r="F30" i="11" s="1"/>
  <c r="C29" i="18"/>
  <c r="D29" i="18" s="1"/>
  <c r="F29" i="18" s="1"/>
  <c r="C29" i="11"/>
  <c r="D29" i="11" s="1"/>
  <c r="F29" i="11" s="1"/>
  <c r="C32" i="18"/>
  <c r="D32" i="18" s="1"/>
  <c r="F32" i="18" s="1"/>
  <c r="C32" i="11"/>
  <c r="D32" i="11" s="1"/>
  <c r="F32" i="11" s="1"/>
  <c r="C28" i="18"/>
  <c r="D28" i="18" s="1"/>
  <c r="F28" i="18" s="1"/>
  <c r="C28" i="11"/>
  <c r="D28" i="11" s="1"/>
  <c r="F28" i="11" s="1"/>
  <c r="C25" i="18"/>
  <c r="D25" i="18" s="1"/>
  <c r="F25" i="18" s="1"/>
  <c r="C25" i="11"/>
  <c r="D25" i="11" s="1"/>
  <c r="F25" i="11" s="1"/>
  <c r="C26" i="18"/>
  <c r="D26" i="18" s="1"/>
  <c r="F26" i="18" s="1"/>
  <c r="C26" i="11"/>
  <c r="D26" i="11" s="1"/>
  <c r="F26" i="11" s="1"/>
  <c r="C35" i="18"/>
  <c r="D35" i="18" s="1"/>
  <c r="F35" i="18" s="1"/>
  <c r="C35" i="11"/>
  <c r="D35" i="11" s="1"/>
  <c r="F35" i="11" s="1"/>
  <c r="C34" i="18"/>
  <c r="C34" i="11"/>
  <c r="C31" i="18"/>
  <c r="C31" i="11"/>
  <c r="C12" i="11" l="1"/>
  <c r="D31" i="11"/>
  <c r="F31" i="11" s="1"/>
  <c r="D31" i="18"/>
  <c r="F31" i="18" s="1"/>
  <c r="C12" i="18"/>
  <c r="D34" i="11"/>
  <c r="F34" i="11" s="1"/>
  <c r="C11" i="11"/>
  <c r="C11" i="18"/>
  <c r="D34" i="18"/>
  <c r="F34" i="18" s="1"/>
  <c r="C10" i="11"/>
  <c r="D23" i="18"/>
  <c r="F23" i="18" s="1"/>
  <c r="D3" i="18" s="1"/>
  <c r="C10" i="18"/>
  <c r="D23" i="11"/>
  <c r="F23" i="11" s="1"/>
  <c r="D3" i="11" s="1"/>
  <c r="H80" i="56" l="1"/>
  <c r="H81" i="56"/>
  <c r="H82" i="56"/>
  <c r="C39" i="56" l="1"/>
  <c r="O39" i="56" s="1"/>
  <c r="C12" i="56" l="1"/>
  <c r="H39" i="5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Hui Wen Tan </author>
  </authors>
  <commentList>
    <comment ref="D4" authorId="0" shapeId="0" xr:uid="{DB5EED70-3802-4A94-8B0A-5D3EA77EBF7A}">
      <text>
        <r>
          <rPr>
            <sz val="9"/>
            <color indexed="81"/>
            <rFont val="Tahoma"/>
            <family val="2"/>
          </rPr>
          <t xml:space="preserve">(Assume the total food consumption per capita per year remains unchanged.)
</t>
        </r>
      </text>
    </comment>
    <comment ref="D15" authorId="0" shapeId="0" xr:uid="{F61C25F7-756B-4117-910C-B9B5C9A98FB4}">
      <text>
        <r>
          <rPr>
            <sz val="9"/>
            <color indexed="81"/>
            <rFont val="Tahoma"/>
            <family val="2"/>
          </rPr>
          <t xml:space="preserve">Consisting of 20% leafy vegetables, and 10% eggs and fish.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Hui Wen Tan </author>
  </authors>
  <commentList>
    <comment ref="D4" authorId="0" shapeId="0" xr:uid="{62B5685F-D092-4EAE-9C00-8DD5F6C247E8}">
      <text>
        <r>
          <rPr>
            <sz val="9"/>
            <color indexed="81"/>
            <rFont val="Tahoma"/>
            <family val="2"/>
          </rPr>
          <t xml:space="preserve">(Assume the total food consumption per capita per year remains unchanged.)
</t>
        </r>
      </text>
    </comment>
    <comment ref="D15" authorId="0" shapeId="0" xr:uid="{3588B87A-A6D4-4B1D-9873-9D2B7D93A98F}">
      <text>
        <r>
          <rPr>
            <sz val="9"/>
            <color indexed="81"/>
            <rFont val="Tahoma"/>
            <family val="2"/>
          </rPr>
          <t xml:space="preserve">Consisting of 20% leafy vegetables, and 10% eggs and fish.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Hui Wen Tan </author>
  </authors>
  <commentList>
    <comment ref="D4" authorId="0" shapeId="0" xr:uid="{74343D80-D601-4DA4-9C09-78C2779E0728}">
      <text>
        <r>
          <rPr>
            <sz val="9"/>
            <color indexed="81"/>
            <rFont val="Tahoma"/>
            <family val="2"/>
          </rPr>
          <t xml:space="preserve">(Assume the total food consumption per capita per year remains unchanged.)
</t>
        </r>
      </text>
    </comment>
    <comment ref="D15" authorId="0" shapeId="0" xr:uid="{58B0D302-D7AE-435A-9F30-12B966F63DE3}">
      <text>
        <r>
          <rPr>
            <sz val="9"/>
            <color indexed="81"/>
            <rFont val="Tahoma"/>
            <family val="2"/>
          </rPr>
          <t xml:space="preserve">Consisting of 20% leafy vegetables, and 10% eggs and fish.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Hui Wen Tan </author>
  </authors>
  <commentList>
    <comment ref="G1" authorId="0" shapeId="0" xr:uid="{503DEA8C-C3A0-49AE-8A7F-526C888693FE}">
      <text>
        <r>
          <rPr>
            <b/>
            <sz val="9"/>
            <color indexed="81"/>
            <rFont val="Tahoma"/>
            <family val="2"/>
          </rPr>
          <t>Assumption: 
Incorporate processing into production.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Hui Wen Tan </author>
  </authors>
  <commentList>
    <comment ref="D16" authorId="0" shapeId="0" xr:uid="{E66F36E2-95A1-4488-BB44-0CF3D9815A52}">
      <text>
        <r>
          <rPr>
            <sz val="9"/>
            <color indexed="81"/>
            <rFont val="Tahoma"/>
            <family val="2"/>
          </rPr>
          <t>Consisting of 20% leafy vegetables, and 10% eggs and fish.</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xml:space="preserve">Hui Wen Tan </author>
  </authors>
  <commentList>
    <comment ref="D16" authorId="0" shapeId="0" xr:uid="{5E0FD47E-E7ED-4101-AB34-1356C6F1467D}">
      <text>
        <r>
          <rPr>
            <sz val="9"/>
            <color rgb="FF000000"/>
            <rFont val="Tahoma"/>
            <family val="2"/>
          </rPr>
          <t>Consisting of 20% leafy vegetables, and 10% eggs and fish.</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xml:space="preserve">Hui Wen Tan </author>
  </authors>
  <commentList>
    <comment ref="G1" authorId="0" shapeId="0" xr:uid="{67CA20F2-796D-4198-B0C0-38A94FCF2086}">
      <text>
        <r>
          <rPr>
            <b/>
            <sz val="9"/>
            <color indexed="81"/>
            <rFont val="Tahoma"/>
            <family val="2"/>
          </rPr>
          <t>Assumption: 
Incorporate processing into production.</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xml:space="preserve">Hui Wen Tan </author>
  </authors>
  <commentList>
    <comment ref="D4" authorId="0" shapeId="0" xr:uid="{493631A7-56E3-4126-81B9-B26307B9F66B}">
      <text>
        <r>
          <rPr>
            <sz val="9"/>
            <color indexed="81"/>
            <rFont val="Tahoma"/>
            <family val="2"/>
          </rPr>
          <t xml:space="preserve">(Assume the total food consumption per capita per year remains unchanged.)
</t>
        </r>
      </text>
    </comment>
    <comment ref="D15" authorId="0" shapeId="0" xr:uid="{F1D5D998-417C-41FF-AA56-7DE462511B4C}">
      <text>
        <r>
          <rPr>
            <sz val="9"/>
            <color indexed="81"/>
            <rFont val="Tahoma"/>
            <family val="2"/>
          </rPr>
          <t>Consisting of 20% leafy vegetables, and 10% eggs and fish.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xml:space="preserve">Hui Wen Tan </author>
  </authors>
  <commentList>
    <comment ref="D16" authorId="0" shapeId="0" xr:uid="{C9F4973B-C472-4AE7-9C8A-FDCDEDF960F0}">
      <text>
        <r>
          <rPr>
            <sz val="9"/>
            <color indexed="81"/>
            <rFont val="Tahoma"/>
            <family val="2"/>
          </rPr>
          <t>Consisting of 20% leafy vegetables, and 10% eggs and fish.</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xml:space="preserve">Hui Wen Tan </author>
  </authors>
  <commentList>
    <comment ref="D4" authorId="0" shapeId="0" xr:uid="{D55E580D-1B94-4BD8-9CAD-193752A9860B}">
      <text>
        <r>
          <rPr>
            <sz val="9"/>
            <color rgb="FF000000"/>
            <rFont val="Tahoma"/>
            <family val="2"/>
          </rPr>
          <t xml:space="preserve">(Assume the total food consumption per capita per year remains unchanged.)
</t>
        </r>
      </text>
    </comment>
    <comment ref="D15" authorId="0" shapeId="0" xr:uid="{2A0C562A-327C-425C-BB8C-63DF5242D224}">
      <text>
        <r>
          <rPr>
            <sz val="9"/>
            <color rgb="FF000000"/>
            <rFont val="Tahoma"/>
            <family val="2"/>
          </rPr>
          <t>Consisting of 20% leafy vegetables, and 10% eggs and fish.</t>
        </r>
      </text>
    </comment>
  </commentList>
</comments>
</file>

<file path=xl/sharedStrings.xml><?xml version="1.0" encoding="utf-8"?>
<sst xmlns="http://schemas.openxmlformats.org/spreadsheetml/2006/main" count="3053" uniqueCount="272">
  <si>
    <t>Output</t>
  </si>
  <si>
    <t>Annual GHG Emission per capita (kg CO 2 eq)</t>
  </si>
  <si>
    <t>Total food consumption per capita (kg)</t>
  </si>
  <si>
    <t>Input</t>
  </si>
  <si>
    <t>Average Singapore Diet</t>
  </si>
  <si>
    <t>2030 (Optimal Health)</t>
  </si>
  <si>
    <t>Meat, eggs and seafood</t>
  </si>
  <si>
    <t>Grains</t>
  </si>
  <si>
    <t>Fruits and vegetables</t>
  </si>
  <si>
    <t>Food Supply Mix</t>
  </si>
  <si>
    <t>2030 (30 by 30 plan)</t>
  </si>
  <si>
    <t>Locally produced</t>
  </si>
  <si>
    <t>Imported</t>
  </si>
  <si>
    <t>Data Model</t>
  </si>
  <si>
    <t>Per capita in Year 2030</t>
  </si>
  <si>
    <t>Key Food Items</t>
  </si>
  <si>
    <t>Ratio of Respective Key Food Item (%)</t>
  </si>
  <si>
    <t>Amount of Key Food Item Consumed (kg)</t>
  </si>
  <si>
    <t>Average GHG Emission per kg of Key Food Item
(kg CO 2 eq per kg of food)</t>
  </si>
  <si>
    <t>Total GHG Emission per Key Food Item
(kg CO 2 eq)</t>
  </si>
  <si>
    <t>Beef</t>
  </si>
  <si>
    <t>Mutton</t>
  </si>
  <si>
    <t>Pork</t>
  </si>
  <si>
    <t>Chicken</t>
  </si>
  <si>
    <t>Duck</t>
  </si>
  <si>
    <t>Eggs</t>
  </si>
  <si>
    <t>Fish</t>
  </si>
  <si>
    <t>Other Seafood</t>
  </si>
  <si>
    <t>Fruits</t>
  </si>
  <si>
    <t>Leafy vegetables</t>
  </si>
  <si>
    <t>Other Vegetables</t>
  </si>
  <si>
    <t>Rice</t>
  </si>
  <si>
    <t>Wheat</t>
  </si>
  <si>
    <t>S/No</t>
  </si>
  <si>
    <t>Specific Food Items</t>
  </si>
  <si>
    <t>Country Source</t>
  </si>
  <si>
    <t>Total</t>
  </si>
  <si>
    <t>Production</t>
  </si>
  <si>
    <t>Processing</t>
  </si>
  <si>
    <t>Transportation</t>
  </si>
  <si>
    <t>Fresh</t>
  </si>
  <si>
    <t>Malaysia</t>
  </si>
  <si>
    <t>Frozen</t>
  </si>
  <si>
    <t>Brazil</t>
  </si>
  <si>
    <t>Chilled</t>
  </si>
  <si>
    <t>Australia</t>
  </si>
  <si>
    <t>Indonesia</t>
  </si>
  <si>
    <t>Netherlands</t>
  </si>
  <si>
    <t>Spain</t>
  </si>
  <si>
    <t>New Zealand</t>
  </si>
  <si>
    <t>Singapore</t>
  </si>
  <si>
    <t>Banana</t>
  </si>
  <si>
    <t>Philippines</t>
  </si>
  <si>
    <t>Watermelon</t>
  </si>
  <si>
    <t>Papaya</t>
  </si>
  <si>
    <t>Pineapple</t>
  </si>
  <si>
    <t>Orange</t>
  </si>
  <si>
    <t>USA</t>
  </si>
  <si>
    <t>South Africa</t>
  </si>
  <si>
    <t>Egypt</t>
  </si>
  <si>
    <t>Tomato</t>
  </si>
  <si>
    <t>Cabbage</t>
  </si>
  <si>
    <t>China</t>
  </si>
  <si>
    <t>Carrot</t>
  </si>
  <si>
    <t>Beansprout</t>
  </si>
  <si>
    <t>Onion</t>
  </si>
  <si>
    <t>India</t>
  </si>
  <si>
    <t>Potato</t>
  </si>
  <si>
    <t>Bangladesh</t>
  </si>
  <si>
    <t>Pakistan</t>
  </si>
  <si>
    <t>Thailiand</t>
  </si>
  <si>
    <t>Vietnam</t>
  </si>
  <si>
    <t xml:space="preserve">Leafy vegetables </t>
  </si>
  <si>
    <t>Chinese Cabbage</t>
  </si>
  <si>
    <t>Spinach</t>
  </si>
  <si>
    <t>Lettuce</t>
  </si>
  <si>
    <t>Singapore 
(Soil cultivated)</t>
  </si>
  <si>
    <t>Singapore
(Greenhouse soil cultivated)</t>
  </si>
  <si>
    <t>Singapore 
(Non greenhouse hydroponics)</t>
  </si>
  <si>
    <t>Singapore
(Greenhouse hydroponics vertical)</t>
  </si>
  <si>
    <t>Catfish</t>
  </si>
  <si>
    <t>Salmon (chilled)</t>
  </si>
  <si>
    <t>Norway</t>
  </si>
  <si>
    <t>Salmon (frozen)</t>
  </si>
  <si>
    <t>Myanmar</t>
  </si>
  <si>
    <t>Mackerel</t>
  </si>
  <si>
    <t>Japan</t>
  </si>
  <si>
    <t>Aquaculture</t>
  </si>
  <si>
    <t>Capture fishing</t>
  </si>
  <si>
    <t>Shrimp (frozen)</t>
  </si>
  <si>
    <t>Crab (frozen)</t>
  </si>
  <si>
    <t>Crab (fresh)</t>
  </si>
  <si>
    <t>Squid (fresh)</t>
  </si>
  <si>
    <t>Squid (frozen)</t>
  </si>
  <si>
    <t>Indicators</t>
  </si>
  <si>
    <t>Units</t>
  </si>
  <si>
    <t>Chicken
(kg meat)</t>
  </si>
  <si>
    <t>Malaysia +
processed in
Singapore</t>
  </si>
  <si>
    <t>GHG Emissions</t>
  </si>
  <si>
    <t>(kg CO 2 eq per kg of food)</t>
  </si>
  <si>
    <t>Duck
(kg meat)</t>
  </si>
  <si>
    <t>Mutton
(kg meat)</t>
  </si>
  <si>
    <t>Pork
(kg meat)</t>
  </si>
  <si>
    <t>Indonesia +
processed in
Singapore</t>
  </si>
  <si>
    <t>Beef
(kg meat)</t>
  </si>
  <si>
    <t>Eggs
(kg)</t>
  </si>
  <si>
    <t>Fruits
(kg)</t>
  </si>
  <si>
    <t>Other
Vegetables
(kg)</t>
  </si>
  <si>
    <t>Wheat
(kg)</t>
  </si>
  <si>
    <t>Rice
(kg)</t>
  </si>
  <si>
    <t>Leafy
vegetables (kg)</t>
  </si>
  <si>
    <t>Singapore (Soil
cultivated)</t>
  </si>
  <si>
    <t>Singapore
(Greenhouse
soil cultivated)</t>
  </si>
  <si>
    <t>Singapore (Non
greenhouse
hydroponics)</t>
  </si>
  <si>
    <t>Singapore
(Greenhouse
hydroponics
vertical)</t>
  </si>
  <si>
    <t>Fish
(kg meat)</t>
  </si>
  <si>
    <t>Other
Seafood
(kg meat)</t>
  </si>
  <si>
    <t>Key Food Items (kg meat)</t>
  </si>
  <si>
    <t>Average GHG/kg</t>
  </si>
  <si>
    <t>Average</t>
  </si>
  <si>
    <t>Other
Seafood</t>
  </si>
  <si>
    <t>Leafy
vegetables</t>
  </si>
  <si>
    <t>Other
Vegetables</t>
  </si>
  <si>
    <t>Annual food consumption per capita in 2018 
(kg/capita/year)</t>
  </si>
  <si>
    <t>Other vegetables</t>
  </si>
  <si>
    <t>Leafy Vegetables</t>
  </si>
  <si>
    <t>% Ratio of Respective Food per capita in 2018</t>
  </si>
  <si>
    <t>Total food consumption per capita 
(kg/capita/year)</t>
  </si>
  <si>
    <t>After Change</t>
  </si>
  <si>
    <t>Before change</t>
  </si>
  <si>
    <t>Avg GHG (with meat substitutes)</t>
  </si>
  <si>
    <t>Constraints</t>
  </si>
  <si>
    <t>Food Supply Mix (kg)</t>
  </si>
  <si>
    <t>Locally produced (kg)</t>
  </si>
  <si>
    <t>Imported (kg)</t>
  </si>
  <si>
    <t>Avg % reduction compared to meats</t>
  </si>
  <si>
    <t>% of meats substituted</t>
  </si>
  <si>
    <t>Plan based meats</t>
  </si>
  <si>
    <t>Cultivated meats (Conventional Energy)</t>
  </si>
  <si>
    <t>Only replace beef as it actually generates more GHG for other meats On conventional Energy</t>
  </si>
  <si>
    <t>Insects Substitute</t>
  </si>
  <si>
    <t>Currently no full substitute for meat, mainly added as a protein supplement</t>
  </si>
  <si>
    <t>Other Constraints (not expected to adjust for trade offs)</t>
  </si>
  <si>
    <t>Ratio of Respective Key Food Item (%) - AT LEAST</t>
  </si>
  <si>
    <t>% of total
/ Key food item - SUM</t>
  </si>
  <si>
    <t>Min % Change from 2018 values per Key Food Item</t>
  </si>
  <si>
    <t>Min per Specific Food Item</t>
  </si>
  <si>
    <t>Raw Data/Working</t>
  </si>
  <si>
    <t>% of total
/ Key food item</t>
  </si>
  <si>
    <t>Production GHG/kg
(kg CO 2 eq per kg of food)</t>
  </si>
  <si>
    <t>Processing GHG/kg
(kg CO 2 eq per kg of food)</t>
  </si>
  <si>
    <t>Transportation GHG/kg
(kg CO 2 eq per kg of food)</t>
  </si>
  <si>
    <t>Total GHG/kg per source
(kg CO 2 eq per kg of food)</t>
  </si>
  <si>
    <t>Contributing GHG/kg per source
(kg CO 2 eq per kg of food)</t>
  </si>
  <si>
    <t>Import</t>
  </si>
  <si>
    <t>Plant Based Meats</t>
  </si>
  <si>
    <t>Cultivated Meats (conventional</t>
  </si>
  <si>
    <t>Insect Substitutes</t>
  </si>
  <si>
    <t>Microsoft Excel 16.0 Feasibility Report</t>
  </si>
  <si>
    <t>Worksheet: [Food_Model_241022_SCLv4.xlsx]Optimal Diet + 30 by 30</t>
  </si>
  <si>
    <t>Report Created: 26/10/2022 11:57:31 pm</t>
  </si>
  <si>
    <t>Constraints Which Make the Problem Infeasible</t>
  </si>
  <si>
    <t>Cell</t>
  </si>
  <si>
    <t>Name</t>
  </si>
  <si>
    <t>Cell Value</t>
  </si>
  <si>
    <t>Formula</t>
  </si>
  <si>
    <t>Status</t>
  </si>
  <si>
    <t>Slack</t>
  </si>
  <si>
    <t>$C$11</t>
  </si>
  <si>
    <t>Meat, eggs and seafood After change</t>
  </si>
  <si>
    <t>$C$11=0.25</t>
  </si>
  <si>
    <t>Violated</t>
  </si>
  <si>
    <t>$C$16</t>
  </si>
  <si>
    <t>Locally produced (kg) After change</t>
  </si>
  <si>
    <t>$C$16=$D$16</t>
  </si>
  <si>
    <t>Binding</t>
  </si>
  <si>
    <t>$M$36</t>
  </si>
  <si>
    <t>Fruits % of total
/ Key food item - SUM</t>
  </si>
  <si>
    <t>$M$36=1</t>
  </si>
  <si>
    <t>$M$38:$M$40</t>
  </si>
  <si>
    <t>$M$38</t>
  </si>
  <si>
    <t>Other Vegetables % of total
/ Key food item - SUM</t>
  </si>
  <si>
    <t>$M$38=1</t>
  </si>
  <si>
    <t>$M$39</t>
  </si>
  <si>
    <t>Rice % of total
/ Key food item - SUM</t>
  </si>
  <si>
    <t>$M$39=1</t>
  </si>
  <si>
    <t>$M$40</t>
  </si>
  <si>
    <t>Wheat % of total
/ Key food item - SUM</t>
  </si>
  <si>
    <t>$M$40=1</t>
  </si>
  <si>
    <t>Report Created: 26/10/2022 11:57:44 pm</t>
  </si>
  <si>
    <t>Constraints (not including Variable Bounds) Which Make the Problem Infeasible</t>
  </si>
  <si>
    <t>After change</t>
  </si>
  <si>
    <t>before change</t>
  </si>
  <si>
    <t>% difference</t>
  </si>
  <si>
    <t>NEW Ratio of Respective Key Food Item (%)</t>
  </si>
  <si>
    <t>Original before change
Ratio of Respective Key Food Item (%)</t>
  </si>
  <si>
    <t>Difference</t>
  </si>
  <si>
    <t>Ratio of Respective Key Food Item (%) - THRESHOLD</t>
  </si>
  <si>
    <t>Min %</t>
  </si>
  <si>
    <t>Min per item</t>
  </si>
  <si>
    <t>Total weight of each type (kg)</t>
  </si>
  <si>
    <t>% of total weight of 365kg</t>
  </si>
  <si>
    <t>TOTAL GHG for total weight</t>
  </si>
  <si>
    <t>Original % of total
/ Key food item COPY to F column</t>
  </si>
  <si>
    <t>total GHG</t>
  </si>
  <si>
    <t>Majority Imports</t>
  </si>
  <si>
    <t>Before</t>
  </si>
  <si>
    <t>After</t>
  </si>
  <si>
    <t>55.4% frozen from Brazil</t>
  </si>
  <si>
    <t>78% fresh from Malaysia</t>
  </si>
  <si>
    <t>29.6% frozen from Brazil</t>
  </si>
  <si>
    <t>74% frozen from Brazil</t>
  </si>
  <si>
    <t>39.6% frozen from Brazil</t>
  </si>
  <si>
    <t>75% frozen from New Zealand</t>
  </si>
  <si>
    <t>81% from Malaysia</t>
  </si>
  <si>
    <t>108.3% from Singapore</t>
  </si>
  <si>
    <t>21.8% Watermelon from Malaysia</t>
  </si>
  <si>
    <t>130.9% Pineapple from Malaysia</t>
  </si>
  <si>
    <t>Other Veg</t>
  </si>
  <si>
    <t>97% from import</t>
  </si>
  <si>
    <t>86.2% from Singapore</t>
  </si>
  <si>
    <t>63.8% from Australia</t>
  </si>
  <si>
    <t>119.1% from Australia</t>
  </si>
  <si>
    <t>43.5% from Thailand</t>
  </si>
  <si>
    <t>78% from Vietnam</t>
  </si>
  <si>
    <t>Leafy Veg</t>
  </si>
  <si>
    <t>87% from Import</t>
  </si>
  <si>
    <t>79% from import</t>
  </si>
  <si>
    <t>95% from import</t>
  </si>
  <si>
    <t>79% from Singapore</t>
  </si>
  <si>
    <t>98% from import</t>
  </si>
  <si>
    <t>SCENARIO1_BEEF_AUS_DISEASE</t>
  </si>
  <si>
    <t>Ratio of Distribution to Another country</t>
  </si>
  <si>
    <t>Ratio of Distribution to Brazil</t>
  </si>
  <si>
    <t>AUS_STOP_BEEF</t>
  </si>
  <si>
    <t>CHILLED</t>
  </si>
  <si>
    <t>AUS</t>
  </si>
  <si>
    <t>BRAZIL_STOP_BEEF</t>
  </si>
  <si>
    <t>Ratio of Distribution to New Zealand</t>
  </si>
  <si>
    <t>NEW ZEALAND</t>
  </si>
  <si>
    <t>Input Model</t>
  </si>
  <si>
    <t>BRAZIL</t>
  </si>
  <si>
    <t>FROZEN</t>
  </si>
  <si>
    <t>TOTAL</t>
  </si>
  <si>
    <t>TOTAL GHG</t>
  </si>
  <si>
    <t xml:space="preserve">TOTAL GHG </t>
  </si>
  <si>
    <t>OPTIMAL EMISSION</t>
  </si>
  <si>
    <t>RESIDUAL</t>
  </si>
  <si>
    <t>SCENARIO2_BEEF_BRAZIL_DISEASE</t>
  </si>
  <si>
    <t>Ratio of Distribution to AUS</t>
  </si>
  <si>
    <t>Total GHG / kg</t>
  </si>
  <si>
    <t>Production GHG/KG</t>
  </si>
  <si>
    <t>Derived % of total
/ Key food item</t>
  </si>
  <si>
    <t>Original % of total
/ Specific Food item</t>
  </si>
  <si>
    <t>column E multiply by column I</t>
  </si>
  <si>
    <t>S/N</t>
  </si>
  <si>
    <t>Average GHG/kg
(from the report)</t>
  </si>
  <si>
    <t>Average GHG/kg
(from our calculations)</t>
  </si>
  <si>
    <t>Assumptions</t>
  </si>
  <si>
    <t>only data on food types from countires that make up around 80% of totol foods would be used</t>
  </si>
  <si>
    <t>data given</t>
  </si>
  <si>
    <t>import</t>
  </si>
  <si>
    <t>local</t>
  </si>
  <si>
    <t>FIsh</t>
  </si>
  <si>
    <t>Figures are based on LCA in US</t>
  </si>
  <si>
    <t>Much higher energy consumption, may not always be more climate friendly (kind of like the situation with EV cars), May also be more detrimental long term as CO2 stays in environment longer than methane, using processing figures from plant based meats</t>
  </si>
  <si>
    <t>one research puts it at 1% of pork, not viable as a full meat substitute currently</t>
  </si>
  <si>
    <t>Many of the research on meat laternatives had also not quantitatively factored in the opportunity cost due to freeingup land and resources</t>
  </si>
  <si>
    <t>Solve for optimal health:</t>
  </si>
  <si>
    <t>Aim: Optimal Health</t>
  </si>
  <si>
    <t>Aim: 30 by 30 plan</t>
  </si>
  <si>
    <t>Solve for 30 by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</si>
</sst>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000"/>
    <numFmt numFmtId="167" formatCode="0.000"/>
    <numFmt numFmtId="168" formatCode="0.0000%"/>
  </numFmts>
  <fonts count="27">
    <font>
      <sz val="11"/>
      <color theme="1"/>
      <name val="Calibri"/>
      <family val="2"/>
      <scheme val="minor"/>
    </font>
    <font>
      <b/>
      <sz val="11"/>
      <color theme="1"/>
      <name val="Calibri"/>
      <family val="2"/>
      <scheme val="minor"/>
    </font>
    <font>
      <sz val="10"/>
      <color theme="1"/>
      <name val="Calibri"/>
      <family val="2"/>
      <scheme val="minor"/>
    </font>
    <font>
      <b/>
      <sz val="11"/>
      <color rgb="FF3333FF"/>
      <name val="Calibri"/>
      <family val="2"/>
      <scheme val="minor"/>
    </font>
    <font>
      <b/>
      <sz val="14"/>
      <color rgb="FF3333FF"/>
      <name val="Calibri"/>
      <family val="2"/>
      <scheme val="minor"/>
    </font>
    <font>
      <b/>
      <sz val="11"/>
      <color theme="9" tint="-0.249977111117893"/>
      <name val="Calibri"/>
      <family val="2"/>
      <scheme val="minor"/>
    </font>
    <font>
      <i/>
      <sz val="10"/>
      <color rgb="FFFF0000"/>
      <name val="Calibri"/>
      <family val="2"/>
      <scheme val="minor"/>
    </font>
    <font>
      <b/>
      <sz val="10"/>
      <color theme="1"/>
      <name val="Calibri"/>
      <family val="2"/>
      <scheme val="minor"/>
    </font>
    <font>
      <sz val="10"/>
      <name val="Calibri"/>
      <family val="2"/>
      <scheme val="minor"/>
    </font>
    <font>
      <b/>
      <sz val="10"/>
      <name val="Calibri"/>
      <family val="2"/>
      <scheme val="minor"/>
    </font>
    <font>
      <b/>
      <sz val="10"/>
      <color theme="5" tint="-0.249977111117893"/>
      <name val="Calibri"/>
      <family val="2"/>
      <scheme val="minor"/>
    </font>
    <font>
      <sz val="9"/>
      <color indexed="81"/>
      <name val="Tahoma"/>
      <family val="2"/>
    </font>
    <font>
      <b/>
      <sz val="9"/>
      <color indexed="81"/>
      <name val="Tahoma"/>
      <family val="2"/>
    </font>
    <font>
      <sz val="11"/>
      <color theme="1"/>
      <name val="Calibri"/>
      <family val="2"/>
      <scheme val="minor"/>
    </font>
    <font>
      <sz val="11"/>
      <color rgb="FF3333FF"/>
      <name val="Calibri"/>
      <family val="2"/>
      <scheme val="minor"/>
    </font>
    <font>
      <sz val="10"/>
      <color rgb="FFFF0000"/>
      <name val="Calibri"/>
      <family val="2"/>
      <scheme val="minor"/>
    </font>
    <font>
      <b/>
      <sz val="11"/>
      <color indexed="18"/>
      <name val="Calibri"/>
      <family val="2"/>
      <scheme val="minor"/>
    </font>
    <font>
      <b/>
      <sz val="11"/>
      <name val="Calibri"/>
      <family val="2"/>
      <scheme val="minor"/>
    </font>
    <font>
      <b/>
      <sz val="20"/>
      <color theme="1"/>
      <name val="Calibri"/>
      <family val="2"/>
      <scheme val="minor"/>
    </font>
    <font>
      <sz val="16"/>
      <color theme="1"/>
      <name val="Calibri"/>
      <family val="2"/>
      <scheme val="minor"/>
    </font>
    <font>
      <b/>
      <sz val="16"/>
      <color theme="1"/>
      <name val="Calibri"/>
      <family val="2"/>
      <scheme val="minor"/>
    </font>
    <font>
      <i/>
      <sz val="20"/>
      <color theme="1"/>
      <name val="Calibri"/>
      <family val="2"/>
      <scheme val="minor"/>
    </font>
    <font>
      <b/>
      <sz val="16"/>
      <color rgb="FFFF0000"/>
      <name val="Calibri"/>
      <family val="2"/>
      <scheme val="minor"/>
    </font>
    <font>
      <b/>
      <i/>
      <sz val="16"/>
      <color rgb="FFFF0000"/>
      <name val="Calibri"/>
      <family val="2"/>
      <scheme val="minor"/>
    </font>
    <font>
      <sz val="16"/>
      <color rgb="FFFF0000"/>
      <name val="Calibri"/>
      <family val="2"/>
      <scheme val="minor"/>
    </font>
    <font>
      <sz val="9"/>
      <color rgb="FF000000"/>
      <name val="Tahoma"/>
      <family val="2"/>
    </font>
    <font>
      <b/>
      <i/>
      <sz val="14"/>
      <color theme="1"/>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FFDDFF"/>
        <bgColor indexed="64"/>
      </patternFill>
    </fill>
    <fill>
      <patternFill patternType="solid">
        <fgColor theme="8" tint="0.79998168889431442"/>
        <bgColor indexed="64"/>
      </patternFill>
    </fill>
    <fill>
      <patternFill patternType="solid">
        <fgColor rgb="FFCCFFCC"/>
        <bgColor indexed="64"/>
      </patternFill>
    </fill>
    <fill>
      <patternFill patternType="solid">
        <fgColor rgb="FF92D050"/>
        <bgColor indexed="64"/>
      </patternFill>
    </fill>
    <fill>
      <patternFill patternType="solid">
        <fgColor rgb="FFCCECFF"/>
        <bgColor indexed="64"/>
      </patternFill>
    </fill>
    <fill>
      <patternFill patternType="solid">
        <fgColor rgb="FFFFFF99"/>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00FF"/>
        <bgColor indexed="64"/>
      </patternFill>
    </fill>
    <fill>
      <patternFill patternType="solid">
        <fgColor theme="0" tint="-4.9989318521683403E-2"/>
        <bgColor indexed="64"/>
      </patternFill>
    </fill>
    <fill>
      <patternFill patternType="solid">
        <fgColor theme="2" tint="-9.9978637043366805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23"/>
      </top>
      <bottom style="medium">
        <color indexed="23"/>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s>
  <cellStyleXfs count="2">
    <xf numFmtId="0" fontId="0" fillId="0" borderId="0"/>
    <xf numFmtId="9" fontId="13" fillId="0" borderId="0" applyFont="0" applyFill="0" applyBorder="0" applyAlignment="0" applyProtection="0"/>
  </cellStyleXfs>
  <cellXfs count="272">
    <xf numFmtId="0" fontId="0" fillId="0" borderId="0" xfId="0"/>
    <xf numFmtId="0" fontId="1" fillId="0" borderId="0" xfId="0" applyFont="1"/>
    <xf numFmtId="0" fontId="1"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2" fillId="0" borderId="0" xfId="0" applyFont="1"/>
    <xf numFmtId="0" fontId="0" fillId="0" borderId="1" xfId="0" applyBorder="1" applyAlignment="1">
      <alignment horizontal="center" vertical="center" wrapText="1"/>
    </xf>
    <xf numFmtId="0" fontId="0" fillId="0" borderId="1" xfId="0" applyBorder="1" applyAlignment="1">
      <alignment horizontal="center" vertical="center"/>
    </xf>
    <xf numFmtId="11" fontId="0" fillId="0" borderId="1" xfId="0" applyNumberFormat="1" applyBorder="1" applyAlignment="1">
      <alignment horizontal="center" vertical="center" wrapText="1"/>
    </xf>
    <xf numFmtId="11" fontId="0" fillId="0" borderId="1" xfId="0" applyNumberFormat="1" applyBorder="1" applyAlignment="1">
      <alignment horizontal="center" vertical="center"/>
    </xf>
    <xf numFmtId="0" fontId="1" fillId="2" borderId="1" xfId="0" applyFont="1" applyFill="1" applyBorder="1"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xf>
    <xf numFmtId="164" fontId="0" fillId="0" borderId="1" xfId="0" applyNumberFormat="1" applyBorder="1" applyAlignment="1">
      <alignment horizontal="center"/>
    </xf>
    <xf numFmtId="0" fontId="2" fillId="0" borderId="0" xfId="0" applyFont="1" applyAlignment="1">
      <alignment horizontal="center"/>
    </xf>
    <xf numFmtId="9" fontId="8" fillId="0" borderId="1" xfId="0" applyNumberFormat="1" applyFont="1" applyBorder="1" applyAlignment="1">
      <alignment horizontal="center"/>
    </xf>
    <xf numFmtId="0" fontId="9" fillId="0" borderId="0" xfId="0" applyFont="1"/>
    <xf numFmtId="0" fontId="7" fillId="3" borderId="1" xfId="0" applyFont="1" applyFill="1" applyBorder="1" applyAlignment="1">
      <alignment horizontal="center"/>
    </xf>
    <xf numFmtId="0" fontId="7" fillId="3" borderId="1" xfId="0" applyFont="1" applyFill="1" applyBorder="1"/>
    <xf numFmtId="9" fontId="2" fillId="0" borderId="1" xfId="0" applyNumberFormat="1" applyFont="1" applyBorder="1" applyAlignment="1">
      <alignment horizontal="center"/>
    </xf>
    <xf numFmtId="0" fontId="2" fillId="0" borderId="1" xfId="0" applyFont="1" applyBorder="1" applyAlignment="1">
      <alignment horizontal="center" vertical="center" wrapText="1"/>
    </xf>
    <xf numFmtId="0" fontId="7" fillId="3" borderId="1" xfId="0" applyFont="1" applyFill="1" applyBorder="1" applyAlignment="1">
      <alignment horizontal="center" vertical="center"/>
    </xf>
    <xf numFmtId="0" fontId="6" fillId="0" borderId="0" xfId="0" applyFont="1" applyAlignment="1">
      <alignment vertical="top"/>
    </xf>
    <xf numFmtId="0" fontId="9" fillId="3" borderId="1" xfId="0" applyFont="1" applyFill="1" applyBorder="1" applyAlignment="1">
      <alignment horizontal="left"/>
    </xf>
    <xf numFmtId="165" fontId="2" fillId="0" borderId="1" xfId="0" applyNumberFormat="1" applyFont="1" applyBorder="1" applyAlignment="1">
      <alignment horizontal="center"/>
    </xf>
    <xf numFmtId="165" fontId="2" fillId="0" borderId="0" xfId="0" applyNumberFormat="1" applyFont="1"/>
    <xf numFmtId="0" fontId="7" fillId="3" borderId="1" xfId="0" applyFont="1" applyFill="1" applyBorder="1" applyAlignment="1">
      <alignment horizontal="center" vertical="center" wrapText="1"/>
    </xf>
    <xf numFmtId="10" fontId="2" fillId="0" borderId="1" xfId="0" applyNumberFormat="1" applyFont="1" applyBorder="1" applyAlignment="1">
      <alignment horizontal="center" vertical="center" wrapText="1"/>
    </xf>
    <xf numFmtId="0" fontId="2" fillId="0" borderId="0" xfId="0" applyFont="1" applyAlignment="1">
      <alignment horizontal="center" vertical="center"/>
    </xf>
    <xf numFmtId="165" fontId="8" fillId="0" borderId="1" xfId="0" applyNumberFormat="1" applyFont="1" applyBorder="1" applyAlignment="1">
      <alignment horizontal="center" vertical="center"/>
    </xf>
    <xf numFmtId="10" fontId="8" fillId="0" borderId="1" xfId="0" applyNumberFormat="1" applyFont="1" applyBorder="1" applyAlignment="1">
      <alignment horizontal="center"/>
    </xf>
    <xf numFmtId="0" fontId="7" fillId="0" borderId="0" xfId="0" applyFont="1" applyAlignment="1">
      <alignment horizontal="left" vertical="center" wrapText="1"/>
    </xf>
    <xf numFmtId="0" fontId="10" fillId="0" borderId="0" xfId="0" applyFont="1" applyAlignment="1">
      <alignment horizontal="left" vertical="center" wrapText="1"/>
    </xf>
    <xf numFmtId="0" fontId="7" fillId="3" borderId="2" xfId="0" applyFont="1" applyFill="1" applyBorder="1" applyAlignment="1">
      <alignment horizontal="left" vertical="center" wrapText="1"/>
    </xf>
    <xf numFmtId="165" fontId="8" fillId="0" borderId="0" xfId="0" applyNumberFormat="1" applyFont="1" applyAlignment="1">
      <alignment horizontal="center" vertical="center"/>
    </xf>
    <xf numFmtId="165" fontId="2" fillId="0" borderId="1" xfId="0" applyNumberFormat="1" applyFont="1" applyBorder="1" applyAlignment="1">
      <alignment horizontal="center" vertical="center"/>
    </xf>
    <xf numFmtId="0" fontId="7" fillId="0" borderId="0" xfId="0" applyFont="1" applyAlignment="1">
      <alignment horizontal="left"/>
    </xf>
    <xf numFmtId="10" fontId="8" fillId="0" borderId="0" xfId="0" applyNumberFormat="1" applyFont="1" applyAlignment="1">
      <alignment horizontal="center"/>
    </xf>
    <xf numFmtId="0" fontId="8" fillId="0" borderId="0" xfId="0" applyFont="1"/>
    <xf numFmtId="0" fontId="7" fillId="0" borderId="0" xfId="0" applyFont="1"/>
    <xf numFmtId="0" fontId="1" fillId="0" borderId="0" xfId="0" applyFont="1" applyAlignment="1">
      <alignment horizontal="left" vertical="center"/>
    </xf>
    <xf numFmtId="0" fontId="5" fillId="0" borderId="0" xfId="0" applyFont="1" applyAlignment="1">
      <alignment vertical="center"/>
    </xf>
    <xf numFmtId="0" fontId="0" fillId="0" borderId="0" xfId="0" applyAlignment="1">
      <alignment horizontal="left" vertical="center"/>
    </xf>
    <xf numFmtId="0" fontId="0" fillId="0" borderId="0" xfId="0" applyAlignment="1">
      <alignment vertical="center"/>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0" fillId="6" borderId="1" xfId="0" applyFill="1" applyBorder="1" applyAlignment="1">
      <alignment horizontal="center" vertical="center"/>
    </xf>
    <xf numFmtId="2" fontId="2" fillId="0" borderId="1" xfId="0" applyNumberFormat="1" applyFont="1" applyBorder="1" applyAlignment="1">
      <alignment horizontal="center"/>
    </xf>
    <xf numFmtId="2" fontId="2" fillId="0" borderId="1" xfId="0" applyNumberFormat="1" applyFont="1" applyBorder="1" applyAlignment="1">
      <alignment horizontal="center" vertical="center"/>
    </xf>
    <xf numFmtId="2" fontId="8" fillId="4" borderId="1" xfId="0" applyNumberFormat="1" applyFon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11" fontId="0" fillId="7" borderId="1" xfId="0" applyNumberFormat="1" applyFill="1" applyBorder="1" applyAlignment="1">
      <alignment horizontal="center" vertical="center" wrapText="1"/>
    </xf>
    <xf numFmtId="11" fontId="0" fillId="7" borderId="1" xfId="0" applyNumberFormat="1" applyFill="1" applyBorder="1" applyAlignment="1">
      <alignment horizontal="center" vertical="center"/>
    </xf>
    <xf numFmtId="0" fontId="0" fillId="6" borderId="1" xfId="0" applyFill="1" applyBorder="1" applyAlignment="1">
      <alignment horizontal="left" vertical="center"/>
    </xf>
    <xf numFmtId="0" fontId="0" fillId="0" borderId="0" xfId="0" applyAlignment="1">
      <alignment horizontal="center"/>
    </xf>
    <xf numFmtId="0" fontId="1" fillId="0" borderId="1" xfId="0" applyFont="1" applyBorder="1" applyAlignment="1">
      <alignment horizontal="center" vertical="center"/>
    </xf>
    <xf numFmtId="0" fontId="1" fillId="0" borderId="0" xfId="0" applyFont="1" applyAlignment="1">
      <alignment horizont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10" fontId="0" fillId="0" borderId="0" xfId="0" applyNumberFormat="1" applyAlignment="1">
      <alignment horizontal="center" vertical="center"/>
    </xf>
    <xf numFmtId="9" fontId="0" fillId="0" borderId="0" xfId="0" applyNumberFormat="1"/>
    <xf numFmtId="10" fontId="0" fillId="0" borderId="0" xfId="0" applyNumberFormat="1"/>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164" fontId="2" fillId="7" borderId="1" xfId="1" applyNumberFormat="1" applyFont="1" applyFill="1" applyBorder="1" applyAlignment="1">
      <alignment horizontal="center" vertical="center" wrapText="1"/>
    </xf>
    <xf numFmtId="164" fontId="2" fillId="7" borderId="1" xfId="1" applyNumberFormat="1" applyFont="1" applyFill="1" applyBorder="1" applyAlignment="1">
      <alignment horizontal="center" vertical="center"/>
    </xf>
    <xf numFmtId="0" fontId="2" fillId="9" borderId="1" xfId="0" applyFont="1" applyFill="1" applyBorder="1" applyAlignment="1">
      <alignment horizontal="center" vertical="center" wrapText="1"/>
    </xf>
    <xf numFmtId="0" fontId="2" fillId="9" borderId="1" xfId="0" applyFont="1" applyFill="1" applyBorder="1" applyAlignment="1">
      <alignment horizontal="center" vertical="center"/>
    </xf>
    <xf numFmtId="164" fontId="2" fillId="9" borderId="1" xfId="1" applyNumberFormat="1" applyFont="1" applyFill="1" applyBorder="1" applyAlignment="1">
      <alignment horizontal="center" vertical="center" wrapText="1"/>
    </xf>
    <xf numFmtId="164" fontId="2" fillId="9" borderId="1" xfId="1" applyNumberFormat="1" applyFont="1" applyFill="1" applyBorder="1" applyAlignment="1">
      <alignment horizontal="center" vertical="center"/>
    </xf>
    <xf numFmtId="10" fontId="2" fillId="0" borderId="0" xfId="0" applyNumberFormat="1" applyFont="1"/>
    <xf numFmtId="0" fontId="15" fillId="9" borderId="1" xfId="0" applyFont="1" applyFill="1" applyBorder="1" applyAlignment="1">
      <alignment horizontal="center" vertical="center"/>
    </xf>
    <xf numFmtId="0" fontId="15" fillId="9" borderId="1" xfId="0" applyFont="1" applyFill="1" applyBorder="1" applyAlignment="1">
      <alignment horizontal="center" vertical="center" wrapText="1"/>
    </xf>
    <xf numFmtId="164" fontId="15" fillId="9" borderId="1" xfId="1" applyNumberFormat="1" applyFont="1" applyFill="1" applyBorder="1" applyAlignment="1">
      <alignment horizontal="center" vertical="center"/>
    </xf>
    <xf numFmtId="0" fontId="15" fillId="0" borderId="0" xfId="0" applyFont="1"/>
    <xf numFmtId="0" fontId="15" fillId="7" borderId="1" xfId="0" applyFont="1" applyFill="1" applyBorder="1" applyAlignment="1">
      <alignment horizontal="center" vertical="center"/>
    </xf>
    <xf numFmtId="0" fontId="15" fillId="7" borderId="1" xfId="0" applyFont="1" applyFill="1" applyBorder="1" applyAlignment="1">
      <alignment horizontal="center" vertical="center" wrapText="1"/>
    </xf>
    <xf numFmtId="164" fontId="15" fillId="7" borderId="1" xfId="1" applyNumberFormat="1" applyFont="1" applyFill="1" applyBorder="1" applyAlignment="1">
      <alignment horizontal="center" vertical="center"/>
    </xf>
    <xf numFmtId="164" fontId="15" fillId="7" borderId="1" xfId="1" applyNumberFormat="1" applyFont="1" applyFill="1" applyBorder="1" applyAlignment="1">
      <alignment horizontal="center" vertical="center" wrapText="1"/>
    </xf>
    <xf numFmtId="0" fontId="2" fillId="0" borderId="0" xfId="0" quotePrefix="1" applyFont="1" applyAlignment="1">
      <alignment horizontal="center" vertical="center"/>
    </xf>
    <xf numFmtId="9" fontId="8" fillId="0" borderId="1" xfId="1" applyFont="1" applyBorder="1" applyAlignment="1">
      <alignment horizontal="center"/>
    </xf>
    <xf numFmtId="166" fontId="2" fillId="7" borderId="1" xfId="0" applyNumberFormat="1" applyFont="1" applyFill="1" applyBorder="1" applyAlignment="1">
      <alignment horizontal="center" vertical="center"/>
    </xf>
    <xf numFmtId="166" fontId="2" fillId="9" borderId="1" xfId="0" applyNumberFormat="1" applyFont="1" applyFill="1" applyBorder="1" applyAlignment="1">
      <alignment horizontal="center" vertical="center"/>
    </xf>
    <xf numFmtId="166" fontId="15" fillId="9" borderId="1" xfId="0" applyNumberFormat="1" applyFont="1" applyFill="1" applyBorder="1" applyAlignment="1">
      <alignment horizontal="center" vertical="center"/>
    </xf>
    <xf numFmtId="166" fontId="2" fillId="7" borderId="1" xfId="0" applyNumberFormat="1" applyFont="1" applyFill="1" applyBorder="1" applyAlignment="1">
      <alignment horizontal="center" vertical="center" wrapText="1"/>
    </xf>
    <xf numFmtId="166" fontId="15" fillId="7" borderId="1" xfId="0" applyNumberFormat="1" applyFont="1" applyFill="1" applyBorder="1" applyAlignment="1">
      <alignment horizontal="center" vertical="center"/>
    </xf>
    <xf numFmtId="166" fontId="2" fillId="7" borderId="1" xfId="0" applyNumberFormat="1" applyFont="1" applyFill="1" applyBorder="1" applyAlignment="1">
      <alignment horizontal="center"/>
    </xf>
    <xf numFmtId="166" fontId="2" fillId="9" borderId="1" xfId="0" applyNumberFormat="1" applyFont="1" applyFill="1" applyBorder="1" applyAlignment="1">
      <alignment horizontal="center"/>
    </xf>
    <xf numFmtId="166" fontId="15" fillId="9" borderId="1" xfId="0" applyNumberFormat="1" applyFont="1" applyFill="1" applyBorder="1" applyAlignment="1">
      <alignment horizontal="center"/>
    </xf>
    <xf numFmtId="166" fontId="15" fillId="7" borderId="1" xfId="0" applyNumberFormat="1" applyFont="1" applyFill="1" applyBorder="1" applyAlignment="1">
      <alignment horizontal="center"/>
    </xf>
    <xf numFmtId="164" fontId="2" fillId="0" borderId="1" xfId="0" applyNumberFormat="1" applyFont="1" applyBorder="1" applyAlignment="1">
      <alignment horizontal="center"/>
    </xf>
    <xf numFmtId="10" fontId="8" fillId="10" borderId="1" xfId="0" applyNumberFormat="1" applyFont="1" applyFill="1" applyBorder="1" applyAlignment="1">
      <alignment horizontal="center"/>
    </xf>
    <xf numFmtId="2" fontId="8" fillId="10" borderId="1" xfId="0" applyNumberFormat="1" applyFont="1" applyFill="1" applyBorder="1" applyAlignment="1">
      <alignment horizontal="center" vertical="center"/>
    </xf>
    <xf numFmtId="9" fontId="8" fillId="10" borderId="1" xfId="1" applyFont="1" applyFill="1" applyBorder="1" applyAlignment="1">
      <alignment horizontal="center"/>
    </xf>
    <xf numFmtId="0" fontId="7" fillId="10" borderId="1" xfId="0" applyFont="1" applyFill="1" applyBorder="1" applyAlignment="1">
      <alignment horizontal="center" vertical="center" wrapText="1"/>
    </xf>
    <xf numFmtId="2" fontId="8" fillId="0" borderId="1" xfId="0" applyNumberFormat="1" applyFont="1" applyBorder="1" applyAlignment="1">
      <alignment horizontal="center" vertical="center"/>
    </xf>
    <xf numFmtId="2" fontId="14" fillId="0" borderId="0" xfId="1" applyNumberFormat="1" applyFont="1" applyFill="1" applyBorder="1" applyAlignment="1">
      <alignment horizontal="center" vertical="center"/>
    </xf>
    <xf numFmtId="2" fontId="1" fillId="8" borderId="1" xfId="0" applyNumberFormat="1" applyFont="1" applyFill="1" applyBorder="1" applyAlignment="1">
      <alignment horizontal="center" vertical="center" wrapText="1"/>
    </xf>
    <xf numFmtId="0" fontId="1" fillId="0" borderId="1" xfId="0" applyFont="1" applyBorder="1" applyAlignment="1">
      <alignment horizontal="center" wrapText="1"/>
    </xf>
    <xf numFmtId="2" fontId="0" fillId="7" borderId="1" xfId="0" applyNumberFormat="1" applyFill="1" applyBorder="1" applyAlignment="1">
      <alignment horizontal="center" vertical="center"/>
    </xf>
    <xf numFmtId="10" fontId="0" fillId="11" borderId="1" xfId="1" applyNumberFormat="1" applyFont="1" applyFill="1" applyBorder="1" applyAlignment="1">
      <alignment horizontal="center" vertical="center"/>
    </xf>
    <xf numFmtId="10" fontId="0" fillId="3" borderId="1" xfId="1" applyNumberFormat="1" applyFont="1" applyFill="1" applyBorder="1" applyAlignment="1">
      <alignment horizontal="center" vertical="center"/>
    </xf>
    <xf numFmtId="0" fontId="0" fillId="0" borderId="1" xfId="0" applyBorder="1" applyAlignment="1">
      <alignment horizontal="center"/>
    </xf>
    <xf numFmtId="2" fontId="0" fillId="5" borderId="1" xfId="0" applyNumberFormat="1" applyFill="1" applyBorder="1" applyAlignment="1">
      <alignment horizontal="center" vertical="center"/>
    </xf>
    <xf numFmtId="0" fontId="0" fillId="3" borderId="0" xfId="0" applyFill="1"/>
    <xf numFmtId="0" fontId="0" fillId="11" borderId="0" xfId="0" applyFill="1"/>
    <xf numFmtId="10" fontId="0" fillId="12" borderId="1" xfId="1" applyNumberFormat="1" applyFont="1" applyFill="1" applyBorder="1" applyAlignment="1">
      <alignment horizontal="center" vertical="center"/>
    </xf>
    <xf numFmtId="0" fontId="0" fillId="12" borderId="0" xfId="0" applyFill="1"/>
    <xf numFmtId="2" fontId="0" fillId="7" borderId="1" xfId="0" applyNumberFormat="1" applyFill="1" applyBorder="1" applyAlignment="1">
      <alignment horizontal="center" vertical="center" wrapText="1"/>
    </xf>
    <xf numFmtId="9" fontId="0" fillId="11" borderId="1" xfId="1" applyFont="1" applyFill="1" applyBorder="1" applyAlignment="1">
      <alignment horizontal="center" vertical="center"/>
    </xf>
    <xf numFmtId="9" fontId="0" fillId="3" borderId="1" xfId="1" applyFont="1" applyFill="1" applyBorder="1" applyAlignment="1">
      <alignment horizontal="center" vertical="center"/>
    </xf>
    <xf numFmtId="9" fontId="0" fillId="12" borderId="1" xfId="1" applyFont="1" applyFill="1" applyBorder="1" applyAlignment="1">
      <alignment horizontal="center" vertical="center"/>
    </xf>
    <xf numFmtId="10" fontId="0" fillId="0" borderId="0" xfId="1" applyNumberFormat="1" applyFont="1" applyFill="1" applyBorder="1" applyAlignment="1">
      <alignment horizontal="center" vertical="center"/>
    </xf>
    <xf numFmtId="9" fontId="0" fillId="0" borderId="0" xfId="1" applyFont="1" applyFill="1" applyBorder="1" applyAlignment="1">
      <alignment horizontal="center" vertical="center"/>
    </xf>
    <xf numFmtId="2" fontId="0" fillId="0" borderId="0" xfId="0" applyNumberFormat="1" applyAlignment="1">
      <alignment horizontal="center"/>
    </xf>
    <xf numFmtId="0" fontId="1" fillId="0" borderId="0" xfId="0" applyFont="1" applyAlignment="1">
      <alignment horizontal="center" vertical="center" wrapText="1"/>
    </xf>
    <xf numFmtId="0" fontId="3" fillId="0" borderId="0" xfId="0" applyFont="1" applyAlignment="1">
      <alignment horizontal="center" vertical="center" wrapText="1"/>
    </xf>
    <xf numFmtId="2" fontId="14" fillId="0" borderId="1" xfId="0" applyNumberFormat="1" applyFont="1" applyBorder="1" applyAlignment="1">
      <alignment horizontal="center"/>
    </xf>
    <xf numFmtId="0" fontId="0" fillId="13" borderId="1" xfId="0" applyFill="1" applyBorder="1" applyAlignment="1">
      <alignment horizontal="center" vertical="center" wrapText="1"/>
    </xf>
    <xf numFmtId="0" fontId="0" fillId="13" borderId="1" xfId="0" applyFill="1" applyBorder="1" applyAlignment="1">
      <alignment horizontal="center" vertical="center"/>
    </xf>
    <xf numFmtId="2" fontId="0" fillId="13" borderId="1" xfId="0" applyNumberFormat="1" applyFill="1" applyBorder="1" applyAlignment="1">
      <alignment horizontal="center" vertical="center"/>
    </xf>
    <xf numFmtId="9" fontId="0" fillId="13" borderId="1" xfId="1" applyFont="1" applyFill="1" applyBorder="1" applyAlignment="1">
      <alignment horizontal="center" vertical="center"/>
    </xf>
    <xf numFmtId="165" fontId="2" fillId="4" borderId="1" xfId="0" applyNumberFormat="1" applyFont="1" applyFill="1" applyBorder="1" applyAlignment="1">
      <alignment horizontal="center" vertical="center"/>
    </xf>
    <xf numFmtId="2" fontId="8" fillId="14" borderId="1" xfId="0" applyNumberFormat="1" applyFont="1" applyFill="1" applyBorder="1" applyAlignment="1">
      <alignment horizontal="center" vertical="center"/>
    </xf>
    <xf numFmtId="9" fontId="8" fillId="4" borderId="1" xfId="0" applyNumberFormat="1" applyFont="1" applyFill="1" applyBorder="1" applyAlignment="1">
      <alignment horizontal="center"/>
    </xf>
    <xf numFmtId="9" fontId="2" fillId="4" borderId="1" xfId="0" applyNumberFormat="1" applyFont="1" applyFill="1" applyBorder="1" applyAlignment="1">
      <alignment horizontal="center"/>
    </xf>
    <xf numFmtId="0" fontId="7" fillId="0" borderId="0" xfId="0" applyFont="1" applyAlignment="1">
      <alignment horizont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9" fontId="8" fillId="0" borderId="0" xfId="1" applyFont="1" applyFill="1" applyBorder="1" applyAlignment="1">
      <alignment horizontal="center"/>
    </xf>
    <xf numFmtId="9" fontId="2" fillId="0" borderId="0" xfId="0" applyNumberFormat="1" applyFont="1" applyAlignment="1">
      <alignment horizontal="center"/>
    </xf>
    <xf numFmtId="2" fontId="0" fillId="0" borderId="0" xfId="0" applyNumberFormat="1" applyAlignment="1">
      <alignment horizontal="left"/>
    </xf>
    <xf numFmtId="2" fontId="0" fillId="0" borderId="0" xfId="0" applyNumberFormat="1" applyAlignment="1">
      <alignment horizontal="left" wrapText="1"/>
    </xf>
    <xf numFmtId="0" fontId="9" fillId="0" borderId="1" xfId="0" applyFont="1" applyBorder="1" applyAlignment="1">
      <alignment vertical="top"/>
    </xf>
    <xf numFmtId="0" fontId="7" fillId="3" borderId="1" xfId="0" applyFont="1" applyFill="1" applyBorder="1" applyAlignment="1">
      <alignment horizontal="left" vertical="center" wrapText="1"/>
    </xf>
    <xf numFmtId="0" fontId="9" fillId="0" borderId="1" xfId="0" applyFont="1" applyBorder="1" applyAlignment="1">
      <alignment vertical="top" wrapText="1"/>
    </xf>
    <xf numFmtId="0" fontId="15" fillId="7" borderId="1" xfId="0" applyFont="1" applyFill="1" applyBorder="1" applyAlignment="1">
      <alignment horizontal="center"/>
    </xf>
    <xf numFmtId="9" fontId="15" fillId="7" borderId="1" xfId="0" applyNumberFormat="1" applyFont="1" applyFill="1" applyBorder="1" applyAlignment="1">
      <alignment horizontal="center"/>
    </xf>
    <xf numFmtId="0" fontId="15" fillId="9" borderId="1" xfId="0" applyFont="1" applyFill="1" applyBorder="1" applyAlignment="1">
      <alignment horizontal="center"/>
    </xf>
    <xf numFmtId="9" fontId="15" fillId="9" borderId="1" xfId="0" applyNumberFormat="1" applyFont="1" applyFill="1" applyBorder="1" applyAlignment="1">
      <alignment horizontal="center"/>
    </xf>
    <xf numFmtId="165" fontId="2" fillId="0" borderId="0" xfId="0" applyNumberFormat="1" applyFont="1" applyAlignment="1">
      <alignment horizontal="center"/>
    </xf>
    <xf numFmtId="9" fontId="2" fillId="0" borderId="1" xfId="1" applyFont="1" applyBorder="1" applyAlignment="1">
      <alignment horizontal="center"/>
    </xf>
    <xf numFmtId="2" fontId="2" fillId="0" borderId="0" xfId="0" applyNumberFormat="1" applyFont="1"/>
    <xf numFmtId="0" fontId="7" fillId="2" borderId="1" xfId="0" applyFont="1" applyFill="1" applyBorder="1" applyAlignment="1">
      <alignment horizontal="center" vertical="center" wrapText="1"/>
    </xf>
    <xf numFmtId="0" fontId="2" fillId="7" borderId="1" xfId="1" applyNumberFormat="1" applyFont="1" applyFill="1" applyBorder="1" applyAlignment="1">
      <alignment horizontal="center" vertical="center" wrapText="1"/>
    </xf>
    <xf numFmtId="0" fontId="2" fillId="9" borderId="1" xfId="1" applyNumberFormat="1" applyFont="1" applyFill="1" applyBorder="1" applyAlignment="1">
      <alignment horizontal="center" vertical="center" wrapText="1"/>
    </xf>
    <xf numFmtId="167" fontId="2" fillId="7" borderId="1" xfId="1" applyNumberFormat="1" applyFont="1" applyFill="1" applyBorder="1" applyAlignment="1">
      <alignment horizontal="center" vertical="center" wrapText="1"/>
    </xf>
    <xf numFmtId="167" fontId="2" fillId="9" borderId="1" xfId="1" applyNumberFormat="1" applyFont="1" applyFill="1" applyBorder="1" applyAlignment="1">
      <alignment horizontal="center" vertical="center" wrapText="1"/>
    </xf>
    <xf numFmtId="167" fontId="2" fillId="7" borderId="1" xfId="1" applyNumberFormat="1" applyFont="1" applyFill="1" applyBorder="1" applyAlignment="1">
      <alignment horizontal="center" vertical="center"/>
    </xf>
    <xf numFmtId="167" fontId="2" fillId="9" borderId="1" xfId="1" applyNumberFormat="1" applyFont="1" applyFill="1" applyBorder="1" applyAlignment="1">
      <alignment horizontal="center" vertical="center"/>
    </xf>
    <xf numFmtId="168" fontId="2" fillId="7" borderId="1" xfId="1" applyNumberFormat="1" applyFont="1" applyFill="1" applyBorder="1" applyAlignment="1">
      <alignment horizontal="center" vertical="center" wrapText="1"/>
    </xf>
    <xf numFmtId="168" fontId="2" fillId="9" borderId="1" xfId="1" applyNumberFormat="1" applyFont="1" applyFill="1" applyBorder="1" applyAlignment="1">
      <alignment horizontal="center" vertical="center" wrapText="1"/>
    </xf>
    <xf numFmtId="10" fontId="2" fillId="2" borderId="1" xfId="1" applyNumberFormat="1" applyFont="1" applyFill="1" applyBorder="1" applyAlignment="1">
      <alignment horizontal="center" vertical="center" wrapText="1"/>
    </xf>
    <xf numFmtId="0" fontId="16" fillId="0" borderId="3" xfId="0" applyFont="1" applyBorder="1" applyAlignment="1">
      <alignment horizontal="center"/>
    </xf>
    <xf numFmtId="0" fontId="0" fillId="0" borderId="0" xfId="0" applyAlignment="1">
      <alignment wrapText="1"/>
    </xf>
    <xf numFmtId="164" fontId="0" fillId="0" borderId="0" xfId="0" applyNumberFormat="1"/>
    <xf numFmtId="0" fontId="17" fillId="0" borderId="0" xfId="0" applyFont="1" applyAlignment="1">
      <alignment horizontal="left"/>
    </xf>
    <xf numFmtId="10" fontId="2" fillId="5" borderId="1" xfId="0" applyNumberFormat="1" applyFont="1" applyFill="1" applyBorder="1" applyAlignment="1">
      <alignment horizontal="center" vertical="center" wrapText="1"/>
    </xf>
    <xf numFmtId="10" fontId="8" fillId="5" borderId="1" xfId="1" applyNumberFormat="1" applyFont="1" applyFill="1" applyBorder="1" applyAlignment="1">
      <alignment horizontal="center" vertical="center"/>
    </xf>
    <xf numFmtId="165" fontId="9" fillId="5" borderId="1" xfId="0" applyNumberFormat="1" applyFont="1" applyFill="1" applyBorder="1" applyAlignment="1">
      <alignment horizontal="center" vertical="center"/>
    </xf>
    <xf numFmtId="165" fontId="9" fillId="5" borderId="1" xfId="0" applyNumberFormat="1" applyFont="1" applyFill="1" applyBorder="1" applyAlignment="1">
      <alignment horizontal="center" vertical="center" wrapText="1"/>
    </xf>
    <xf numFmtId="10" fontId="0" fillId="2" borderId="1" xfId="1" applyNumberFormat="1" applyFont="1" applyFill="1" applyBorder="1" applyAlignment="1">
      <alignment horizontal="center" vertical="center"/>
    </xf>
    <xf numFmtId="2" fontId="2" fillId="0" borderId="0" xfId="0" applyNumberFormat="1" applyFont="1" applyAlignment="1">
      <alignment horizontal="center" vertical="center"/>
    </xf>
    <xf numFmtId="0" fontId="6" fillId="0" borderId="1" xfId="0" applyFont="1" applyBorder="1" applyAlignment="1">
      <alignment vertical="top"/>
    </xf>
    <xf numFmtId="0" fontId="7" fillId="3" borderId="2" xfId="0" applyFont="1" applyFill="1" applyBorder="1"/>
    <xf numFmtId="9" fontId="2" fillId="0" borderId="2" xfId="0" applyNumberFormat="1" applyFont="1" applyBorder="1" applyAlignment="1">
      <alignment horizontal="center"/>
    </xf>
    <xf numFmtId="0" fontId="2" fillId="0" borderId="1" xfId="0" applyFont="1" applyBorder="1" applyAlignment="1">
      <alignment horizontal="center" vertical="center"/>
    </xf>
    <xf numFmtId="10" fontId="2" fillId="0" borderId="1" xfId="0" applyNumberFormat="1" applyFont="1" applyBorder="1" applyAlignment="1">
      <alignment horizontal="center" vertical="center"/>
    </xf>
    <xf numFmtId="0" fontId="7" fillId="15"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16" borderId="1" xfId="0" applyFont="1" applyFill="1" applyBorder="1" applyAlignment="1">
      <alignment horizontal="center" vertical="center"/>
    </xf>
    <xf numFmtId="0" fontId="7" fillId="16" borderId="1" xfId="0" applyFont="1" applyFill="1" applyBorder="1" applyAlignment="1">
      <alignment horizontal="center" vertical="center" wrapText="1"/>
    </xf>
    <xf numFmtId="2" fontId="2" fillId="16" borderId="1" xfId="0" applyNumberFormat="1" applyFont="1" applyFill="1" applyBorder="1" applyAlignment="1">
      <alignment horizontal="center" vertical="center"/>
    </xf>
    <xf numFmtId="9" fontId="7" fillId="16" borderId="1" xfId="1" applyFont="1" applyFill="1" applyBorder="1" applyAlignment="1">
      <alignment horizontal="center" vertical="center" wrapText="1"/>
    </xf>
    <xf numFmtId="9" fontId="0" fillId="7" borderId="1" xfId="1" applyFont="1" applyFill="1" applyBorder="1" applyAlignment="1">
      <alignment horizontal="center" vertical="center"/>
    </xf>
    <xf numFmtId="0" fontId="19" fillId="0" borderId="0" xfId="0" applyFont="1"/>
    <xf numFmtId="0" fontId="20" fillId="7" borderId="1" xfId="0" applyFont="1" applyFill="1" applyBorder="1" applyAlignment="1">
      <alignment horizontal="center" vertical="center"/>
    </xf>
    <xf numFmtId="0" fontId="22" fillId="0" borderId="0" xfId="0" applyFont="1" applyAlignment="1">
      <alignment horizontal="center" vertical="center"/>
    </xf>
    <xf numFmtId="0" fontId="23" fillId="7" borderId="1" xfId="0" applyFont="1" applyFill="1" applyBorder="1" applyAlignment="1">
      <alignment horizontal="center" vertical="center"/>
    </xf>
    <xf numFmtId="9" fontId="19" fillId="7" borderId="1" xfId="0" applyNumberFormat="1" applyFont="1" applyFill="1" applyBorder="1" applyAlignment="1">
      <alignment horizontal="center" vertical="center"/>
    </xf>
    <xf numFmtId="0" fontId="19" fillId="7" borderId="1" xfId="0" applyFont="1" applyFill="1" applyBorder="1" applyAlignment="1">
      <alignment horizontal="center" vertical="center"/>
    </xf>
    <xf numFmtId="10" fontId="19" fillId="7" borderId="1" xfId="0" applyNumberFormat="1" applyFont="1" applyFill="1" applyBorder="1" applyAlignment="1">
      <alignment horizontal="center" vertical="center"/>
    </xf>
    <xf numFmtId="10" fontId="19" fillId="2" borderId="1" xfId="0" applyNumberFormat="1" applyFont="1" applyFill="1" applyBorder="1" applyAlignment="1">
      <alignment horizontal="center" vertical="center"/>
    </xf>
    <xf numFmtId="0" fontId="19" fillId="17" borderId="1" xfId="0" applyFont="1" applyFill="1" applyBorder="1" applyAlignment="1">
      <alignment horizontal="center" vertical="center"/>
    </xf>
    <xf numFmtId="9" fontId="19" fillId="17" borderId="1" xfId="0" applyNumberFormat="1" applyFont="1" applyFill="1" applyBorder="1" applyAlignment="1">
      <alignment horizontal="center" vertical="center"/>
    </xf>
    <xf numFmtId="10" fontId="19" fillId="17" borderId="1" xfId="0" applyNumberFormat="1" applyFont="1" applyFill="1" applyBorder="1" applyAlignment="1">
      <alignment horizontal="center"/>
    </xf>
    <xf numFmtId="9" fontId="19" fillId="2" borderId="1" xfId="0" applyNumberFormat="1" applyFont="1" applyFill="1" applyBorder="1" applyAlignment="1">
      <alignment horizontal="center" vertical="center"/>
    </xf>
    <xf numFmtId="10" fontId="19" fillId="2" borderId="1" xfId="1" applyNumberFormat="1" applyFont="1" applyFill="1" applyBorder="1" applyAlignment="1">
      <alignment horizontal="center" vertical="center"/>
    </xf>
    <xf numFmtId="10" fontId="19" fillId="9" borderId="1" xfId="0" applyNumberFormat="1" applyFont="1" applyFill="1" applyBorder="1" applyAlignment="1">
      <alignment horizontal="center"/>
    </xf>
    <xf numFmtId="9" fontId="19" fillId="9" borderId="1" xfId="0" applyNumberFormat="1" applyFont="1" applyFill="1" applyBorder="1" applyAlignment="1">
      <alignment horizontal="center" vertical="center"/>
    </xf>
    <xf numFmtId="10" fontId="19" fillId="9" borderId="1" xfId="0" applyNumberFormat="1" applyFont="1" applyFill="1" applyBorder="1" applyAlignment="1">
      <alignment horizontal="center" vertical="center"/>
    </xf>
    <xf numFmtId="10" fontId="19" fillId="2" borderId="1" xfId="0" applyNumberFormat="1" applyFont="1" applyFill="1" applyBorder="1" applyAlignment="1">
      <alignment horizontal="center"/>
    </xf>
    <xf numFmtId="9" fontId="19" fillId="0" borderId="9" xfId="0" applyNumberFormat="1" applyFont="1" applyBorder="1" applyAlignment="1">
      <alignment horizontal="center" vertical="center"/>
    </xf>
    <xf numFmtId="164" fontId="19" fillId="2" borderId="1" xfId="0" applyNumberFormat="1" applyFont="1" applyFill="1" applyBorder="1" applyAlignment="1">
      <alignment horizontal="center" vertical="center"/>
    </xf>
    <xf numFmtId="10" fontId="24" fillId="17" borderId="1" xfId="0" applyNumberFormat="1" applyFont="1" applyFill="1" applyBorder="1" applyAlignment="1">
      <alignment horizontal="center" vertical="center"/>
    </xf>
    <xf numFmtId="10" fontId="19" fillId="2" borderId="1" xfId="1" applyNumberFormat="1" applyFont="1" applyFill="1" applyBorder="1" applyAlignment="1">
      <alignment horizontal="center"/>
    </xf>
    <xf numFmtId="10" fontId="19" fillId="9" borderId="1" xfId="1" applyNumberFormat="1" applyFont="1" applyFill="1" applyBorder="1" applyAlignment="1">
      <alignment horizontal="center" vertical="center"/>
    </xf>
    <xf numFmtId="10" fontId="19" fillId="17" borderId="1" xfId="0" applyNumberFormat="1" applyFont="1" applyFill="1" applyBorder="1" applyAlignment="1">
      <alignment horizontal="center" vertical="center"/>
    </xf>
    <xf numFmtId="10" fontId="24" fillId="17" borderId="1" xfId="0" applyNumberFormat="1" applyFont="1" applyFill="1" applyBorder="1" applyAlignment="1">
      <alignment horizontal="center"/>
    </xf>
    <xf numFmtId="9" fontId="21" fillId="7" borderId="1" xfId="1" applyFont="1" applyFill="1" applyBorder="1" applyAlignment="1">
      <alignment vertical="center" textRotation="90" wrapText="1"/>
    </xf>
    <xf numFmtId="0" fontId="23" fillId="7" borderId="2" xfId="0" applyFont="1" applyFill="1" applyBorder="1" applyAlignment="1">
      <alignment horizontal="center" vertical="center"/>
    </xf>
    <xf numFmtId="10" fontId="19" fillId="7" borderId="1" xfId="1" applyNumberFormat="1" applyFont="1" applyFill="1" applyBorder="1" applyAlignment="1">
      <alignment horizontal="center" vertical="center"/>
    </xf>
    <xf numFmtId="0" fontId="19" fillId="17" borderId="1" xfId="0" applyFont="1" applyFill="1" applyBorder="1" applyAlignment="1">
      <alignment horizontal="center"/>
    </xf>
    <xf numFmtId="0" fontId="24" fillId="17" borderId="1" xfId="0" applyFont="1" applyFill="1" applyBorder="1" applyAlignment="1">
      <alignment horizontal="center"/>
    </xf>
    <xf numFmtId="10" fontId="20" fillId="7" borderId="1" xfId="0" applyNumberFormat="1" applyFont="1" applyFill="1" applyBorder="1" applyAlignment="1">
      <alignment horizontal="center" vertical="center"/>
    </xf>
    <xf numFmtId="0" fontId="0" fillId="7" borderId="1" xfId="0" applyFill="1" applyBorder="1" applyAlignment="1">
      <alignment horizontal="center"/>
    </xf>
    <xf numFmtId="0" fontId="22" fillId="9" borderId="1" xfId="0" applyFont="1" applyFill="1" applyBorder="1" applyAlignment="1">
      <alignment horizontal="center" vertical="center"/>
    </xf>
    <xf numFmtId="2" fontId="20" fillId="9" borderId="1" xfId="0" applyNumberFormat="1" applyFont="1" applyFill="1" applyBorder="1" applyAlignment="1">
      <alignment horizontal="center" vertical="center"/>
    </xf>
    <xf numFmtId="2" fontId="19" fillId="2" borderId="1" xfId="0" applyNumberFormat="1" applyFont="1" applyFill="1" applyBorder="1" applyAlignment="1">
      <alignment horizontal="center" vertical="center"/>
    </xf>
    <xf numFmtId="2" fontId="19" fillId="17" borderId="1" xfId="0" applyNumberFormat="1" applyFont="1" applyFill="1" applyBorder="1" applyAlignment="1">
      <alignment horizontal="center" vertical="center"/>
    </xf>
    <xf numFmtId="2" fontId="19" fillId="17" borderId="1" xfId="0" applyNumberFormat="1" applyFont="1" applyFill="1" applyBorder="1" applyAlignment="1">
      <alignment horizontal="center"/>
    </xf>
    <xf numFmtId="2" fontId="19" fillId="9" borderId="1" xfId="0" applyNumberFormat="1" applyFont="1" applyFill="1" applyBorder="1" applyAlignment="1">
      <alignment horizontal="center"/>
    </xf>
    <xf numFmtId="2" fontId="19" fillId="2" borderId="1" xfId="0" applyNumberFormat="1" applyFont="1" applyFill="1" applyBorder="1" applyAlignment="1">
      <alignment horizontal="center"/>
    </xf>
    <xf numFmtId="2" fontId="19" fillId="9" borderId="1" xfId="0" applyNumberFormat="1" applyFont="1" applyFill="1" applyBorder="1" applyAlignment="1">
      <alignment horizontal="center" vertical="center"/>
    </xf>
    <xf numFmtId="2" fontId="24" fillId="17" borderId="1" xfId="0" applyNumberFormat="1" applyFont="1" applyFill="1" applyBorder="1" applyAlignment="1">
      <alignment horizontal="center" vertical="center"/>
    </xf>
    <xf numFmtId="2" fontId="24" fillId="17" borderId="1" xfId="0" applyNumberFormat="1" applyFont="1" applyFill="1" applyBorder="1" applyAlignment="1">
      <alignment horizontal="center"/>
    </xf>
    <xf numFmtId="165" fontId="19" fillId="2" borderId="1" xfId="0" applyNumberFormat="1" applyFont="1" applyFill="1" applyBorder="1" applyAlignment="1">
      <alignment horizontal="center" vertical="center"/>
    </xf>
    <xf numFmtId="165" fontId="19" fillId="17" borderId="1" xfId="0" applyNumberFormat="1" applyFont="1" applyFill="1" applyBorder="1" applyAlignment="1">
      <alignment horizontal="center" vertical="center"/>
    </xf>
    <xf numFmtId="165" fontId="19" fillId="17" borderId="1" xfId="0" applyNumberFormat="1" applyFont="1" applyFill="1" applyBorder="1" applyAlignment="1">
      <alignment horizontal="center"/>
    </xf>
    <xf numFmtId="165" fontId="19" fillId="9" borderId="1" xfId="0" applyNumberFormat="1" applyFont="1" applyFill="1" applyBorder="1" applyAlignment="1">
      <alignment horizontal="center"/>
    </xf>
    <xf numFmtId="165" fontId="19" fillId="2" borderId="1" xfId="0" applyNumberFormat="1" applyFont="1" applyFill="1" applyBorder="1" applyAlignment="1">
      <alignment horizontal="center"/>
    </xf>
    <xf numFmtId="165" fontId="19" fillId="9" borderId="1" xfId="0" applyNumberFormat="1" applyFont="1" applyFill="1" applyBorder="1" applyAlignment="1">
      <alignment horizontal="center" vertical="center"/>
    </xf>
    <xf numFmtId="165" fontId="24" fillId="17" borderId="1" xfId="0" applyNumberFormat="1" applyFont="1" applyFill="1" applyBorder="1" applyAlignment="1">
      <alignment horizontal="center" vertical="center"/>
    </xf>
    <xf numFmtId="165" fontId="19" fillId="2" borderId="1" xfId="1" applyNumberFormat="1" applyFont="1" applyFill="1" applyBorder="1" applyAlignment="1">
      <alignment horizontal="center"/>
    </xf>
    <xf numFmtId="165" fontId="19" fillId="9" borderId="1" xfId="1" applyNumberFormat="1" applyFont="1" applyFill="1" applyBorder="1" applyAlignment="1">
      <alignment horizontal="center" vertical="center"/>
    </xf>
    <xf numFmtId="165" fontId="24" fillId="17" borderId="1" xfId="0" applyNumberFormat="1" applyFont="1" applyFill="1" applyBorder="1" applyAlignment="1">
      <alignment horizontal="center"/>
    </xf>
    <xf numFmtId="165" fontId="20" fillId="7" borderId="1" xfId="0" applyNumberFormat="1" applyFont="1" applyFill="1" applyBorder="1" applyAlignment="1">
      <alignment horizontal="center" vertical="center"/>
    </xf>
    <xf numFmtId="2" fontId="19" fillId="9" borderId="1" xfId="1" applyNumberFormat="1" applyFont="1" applyFill="1" applyBorder="1" applyAlignment="1">
      <alignment horizontal="center" vertical="center" wrapText="1"/>
    </xf>
    <xf numFmtId="2" fontId="20" fillId="7" borderId="1" xfId="0" applyNumberFormat="1" applyFont="1" applyFill="1" applyBorder="1" applyAlignment="1">
      <alignment horizontal="center" vertical="center"/>
    </xf>
    <xf numFmtId="2" fontId="20" fillId="2" borderId="1" xfId="0" applyNumberFormat="1" applyFont="1" applyFill="1" applyBorder="1" applyAlignment="1">
      <alignment horizontal="center" vertical="center"/>
    </xf>
    <xf numFmtId="2" fontId="22" fillId="9" borderId="1" xfId="0" applyNumberFormat="1" applyFont="1" applyFill="1" applyBorder="1" applyAlignment="1">
      <alignment horizontal="center" vertical="center"/>
    </xf>
    <xf numFmtId="0" fontId="0" fillId="7" borderId="10" xfId="0" applyFill="1" applyBorder="1" applyAlignment="1">
      <alignment horizontal="center"/>
    </xf>
    <xf numFmtId="0" fontId="0" fillId="7" borderId="12" xfId="0" applyFill="1" applyBorder="1" applyAlignment="1">
      <alignment horizontal="center"/>
    </xf>
    <xf numFmtId="0" fontId="20" fillId="0" borderId="9" xfId="0" applyFont="1" applyBorder="1" applyAlignment="1">
      <alignment horizontal="center" vertical="center"/>
    </xf>
    <xf numFmtId="2" fontId="20" fillId="0" borderId="0" xfId="0" applyNumberFormat="1" applyFont="1" applyAlignment="1">
      <alignment horizontal="center" vertical="center"/>
    </xf>
    <xf numFmtId="2" fontId="22" fillId="0" borderId="0" xfId="0" applyNumberFormat="1" applyFont="1" applyAlignment="1">
      <alignment horizontal="center" vertical="center"/>
    </xf>
    <xf numFmtId="0" fontId="20" fillId="0" borderId="0" xfId="0" applyFont="1" applyAlignment="1">
      <alignment horizontal="center" vertical="center"/>
    </xf>
    <xf numFmtId="0" fontId="23" fillId="0" borderId="0" xfId="0" applyFont="1" applyAlignment="1">
      <alignment horizontal="center" vertical="center"/>
    </xf>
    <xf numFmtId="0" fontId="19" fillId="0" borderId="9" xfId="0" applyFont="1" applyBorder="1" applyAlignment="1">
      <alignment horizontal="center" vertical="center"/>
    </xf>
    <xf numFmtId="10" fontId="19" fillId="0" borderId="0" xfId="0" applyNumberFormat="1" applyFont="1" applyAlignment="1">
      <alignment horizontal="center" vertical="center"/>
    </xf>
    <xf numFmtId="10" fontId="19" fillId="0" borderId="0" xfId="1" applyNumberFormat="1" applyFont="1" applyFill="1" applyBorder="1" applyAlignment="1">
      <alignment horizontal="center" vertical="center"/>
    </xf>
    <xf numFmtId="0" fontId="19" fillId="9" borderId="1" xfId="0" applyFont="1" applyFill="1" applyBorder="1" applyAlignment="1">
      <alignment horizontal="center" vertical="center"/>
    </xf>
    <xf numFmtId="165" fontId="20" fillId="9" borderId="1" xfId="0" applyNumberFormat="1" applyFont="1" applyFill="1" applyBorder="1" applyAlignment="1">
      <alignment horizontal="center" vertical="center"/>
    </xf>
    <xf numFmtId="165" fontId="23" fillId="9" borderId="1" xfId="0" applyNumberFormat="1" applyFont="1" applyFill="1" applyBorder="1" applyAlignment="1">
      <alignment horizontal="center" vertical="center"/>
    </xf>
    <xf numFmtId="0" fontId="26" fillId="0" borderId="1" xfId="0" applyFont="1" applyBorder="1" applyAlignment="1">
      <alignment horizontal="center" wrapText="1"/>
    </xf>
    <xf numFmtId="165" fontId="20" fillId="0" borderId="1" xfId="0" applyNumberFormat="1" applyFont="1" applyBorder="1" applyAlignment="1">
      <alignment horizontal="center" vertical="center"/>
    </xf>
    <xf numFmtId="165" fontId="23" fillId="0" borderId="1" xfId="0" applyNumberFormat="1" applyFont="1" applyBorder="1" applyAlignment="1">
      <alignment horizontal="center" vertical="center"/>
    </xf>
    <xf numFmtId="2" fontId="20" fillId="0" borderId="11" xfId="0" applyNumberFormat="1" applyFont="1" applyBorder="1" applyAlignment="1">
      <alignment horizontal="center" vertical="center"/>
    </xf>
    <xf numFmtId="2" fontId="22" fillId="0" borderId="11" xfId="0" applyNumberFormat="1" applyFont="1" applyBorder="1" applyAlignment="1">
      <alignment horizontal="center" vertical="center"/>
    </xf>
    <xf numFmtId="0" fontId="22" fillId="0" borderId="11" xfId="0" applyFont="1" applyBorder="1" applyAlignment="1">
      <alignment horizontal="center" vertical="center"/>
    </xf>
    <xf numFmtId="0" fontId="2" fillId="0" borderId="1" xfId="0" applyFont="1" applyBorder="1" applyAlignment="1">
      <alignment horizontal="center" vertical="center"/>
    </xf>
    <xf numFmtId="0" fontId="18" fillId="9" borderId="2" xfId="0" applyFont="1" applyFill="1" applyBorder="1" applyAlignment="1">
      <alignment horizontal="center" vertical="center"/>
    </xf>
    <xf numFmtId="0" fontId="18" fillId="9" borderId="4" xfId="0" applyFont="1" applyFill="1" applyBorder="1" applyAlignment="1">
      <alignment horizontal="center" vertical="center"/>
    </xf>
    <xf numFmtId="0" fontId="18" fillId="9" borderId="5" xfId="0" applyFont="1" applyFill="1" applyBorder="1" applyAlignment="1">
      <alignment horizontal="center" vertical="center"/>
    </xf>
    <xf numFmtId="0" fontId="21" fillId="7" borderId="1" xfId="0" applyFont="1" applyFill="1" applyBorder="1" applyAlignment="1">
      <alignment horizontal="center" vertical="center"/>
    </xf>
    <xf numFmtId="9" fontId="21" fillId="7" borderId="6" xfId="1" applyFont="1" applyFill="1" applyBorder="1" applyAlignment="1">
      <alignment horizontal="center" vertical="center" textRotation="90" wrapText="1"/>
    </xf>
    <xf numFmtId="9" fontId="21" fillId="7" borderId="7" xfId="1" applyFont="1" applyFill="1" applyBorder="1" applyAlignment="1">
      <alignment horizontal="center" vertical="center" textRotation="90" wrapText="1"/>
    </xf>
    <xf numFmtId="9" fontId="21" fillId="7" borderId="8" xfId="1" applyFont="1" applyFill="1" applyBorder="1" applyAlignment="1">
      <alignment horizontal="center" vertical="center" textRotation="90" wrapText="1"/>
    </xf>
    <xf numFmtId="9" fontId="19" fillId="7" borderId="6" xfId="0" applyNumberFormat="1" applyFont="1" applyFill="1" applyBorder="1" applyAlignment="1">
      <alignment horizontal="center" vertical="center"/>
    </xf>
    <xf numFmtId="9" fontId="19" fillId="7" borderId="8" xfId="0" applyNumberFormat="1" applyFont="1" applyFill="1" applyBorder="1" applyAlignment="1">
      <alignment horizontal="center" vertical="center"/>
    </xf>
    <xf numFmtId="0" fontId="0" fillId="2" borderId="2"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cellXfs>
  <cellStyles count="2">
    <cellStyle name="Normal" xfId="0" builtinId="0"/>
    <cellStyle name="Percent" xfId="1" builtinId="5"/>
  </cellStyles>
  <dxfs count="18">
    <dxf>
      <font>
        <color rgb="FF9C0006"/>
      </font>
    </dxf>
    <dxf>
      <font>
        <color rgb="FFFF0000"/>
      </font>
    </dxf>
    <dxf>
      <font>
        <color rgb="FFFF0000"/>
      </font>
    </dxf>
    <dxf>
      <font>
        <color rgb="FFFF0000"/>
      </font>
    </dxf>
    <dxf>
      <font>
        <color rgb="FF9C0006"/>
      </font>
    </dxf>
    <dxf>
      <font>
        <color rgb="FFFF0000"/>
      </font>
    </dxf>
    <dxf>
      <font>
        <color rgb="FFFF0000"/>
      </font>
    </dxf>
    <dxf>
      <font>
        <color rgb="FFFF0000"/>
      </font>
    </dxf>
    <dxf>
      <font>
        <color rgb="FFFF0000"/>
      </font>
    </dxf>
    <dxf>
      <font>
        <color rgb="FFFF0000"/>
      </font>
    </dxf>
    <dxf>
      <font>
        <color rgb="FFFF0000"/>
      </font>
    </dxf>
    <dxf>
      <font>
        <color rgb="FF9C0006"/>
      </font>
    </dxf>
    <dxf>
      <font>
        <color rgb="FFFF0000"/>
      </font>
    </dxf>
    <dxf>
      <font>
        <color rgb="FFFF0000"/>
      </font>
    </dxf>
    <dxf>
      <font>
        <color rgb="FFFF0000"/>
      </font>
    </dxf>
    <dxf>
      <font>
        <color rgb="FFFF0000"/>
      </font>
    </dxf>
    <dxf>
      <font>
        <color rgb="FF9C0006"/>
      </font>
    </dxf>
    <dxf>
      <font>
        <color rgb="FFFF0000"/>
      </font>
    </dxf>
  </dxfs>
  <tableStyles count="0" defaultTableStyle="TableStyleMedium2" defaultPivotStyle="PivotStyleLight16"/>
  <colors>
    <mruColors>
      <color rgb="FFCCFFCC"/>
      <color rgb="FFCCECFF"/>
      <color rgb="FFFF00FF"/>
      <color rgb="FFFFDDFF"/>
      <color rgb="FF3333FF"/>
      <color rgb="FFFFFF99"/>
      <color rgb="FFFFFFCC"/>
      <color rgb="FFFFCCFF"/>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1">
                    <a:lumMod val="65000"/>
                    <a:lumOff val="35000"/>
                  </a:schemeClr>
                </a:solidFill>
                <a:latin typeface="+mn-lt"/>
                <a:ea typeface="+mn-ea"/>
                <a:cs typeface="+mn-cs"/>
              </a:defRPr>
            </a:pPr>
            <a:r>
              <a:rPr lang="en-US"/>
              <a:t>What If a Country Stops Exporting</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'Sensitivity Analysis'!$W$2</c:f>
              <c:strCache>
                <c:ptCount val="1"/>
                <c:pt idx="0">
                  <c:v>AUS_STOP_BEEF</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'Sensitivity Analysis'!$X$1:$AC$1</c:f>
              <c:numCache>
                <c:formatCode>0%</c:formatCode>
                <c:ptCount val="6"/>
                <c:pt idx="0">
                  <c:v>1</c:v>
                </c:pt>
                <c:pt idx="1">
                  <c:v>0.8</c:v>
                </c:pt>
                <c:pt idx="2">
                  <c:v>0.6</c:v>
                </c:pt>
                <c:pt idx="3">
                  <c:v>0.4</c:v>
                </c:pt>
                <c:pt idx="4">
                  <c:v>0.19999999999999996</c:v>
                </c:pt>
                <c:pt idx="5">
                  <c:v>0</c:v>
                </c:pt>
              </c:numCache>
            </c:numRef>
          </c:cat>
          <c:val>
            <c:numRef>
              <c:f>'Sensitivity Analysis'!$X$2:$AC$2</c:f>
              <c:numCache>
                <c:formatCode>0.0</c:formatCode>
                <c:ptCount val="6"/>
                <c:pt idx="0">
                  <c:v>931.85803025031021</c:v>
                </c:pt>
                <c:pt idx="1">
                  <c:v>931.33758010101099</c:v>
                </c:pt>
                <c:pt idx="2">
                  <c:v>930.81494545077078</c:v>
                </c:pt>
                <c:pt idx="3">
                  <c:v>930.2923108005308</c:v>
                </c:pt>
                <c:pt idx="4">
                  <c:v>929.76967615029082</c:v>
                </c:pt>
                <c:pt idx="5">
                  <c:v>929.24704150005084</c:v>
                </c:pt>
              </c:numCache>
            </c:numRef>
          </c:val>
          <c:smooth val="0"/>
          <c:extLst>
            <c:ext xmlns:c16="http://schemas.microsoft.com/office/drawing/2014/chart" uri="{C3380CC4-5D6E-409C-BE32-E72D297353CC}">
              <c16:uniqueId val="{00000000-7F30-A140-9B24-2338F4D79C35}"/>
            </c:ext>
          </c:extLst>
        </c:ser>
        <c:ser>
          <c:idx val="1"/>
          <c:order val="1"/>
          <c:tx>
            <c:strRef>
              <c:f>'Sensitivity Analysis'!$W$3</c:f>
              <c:strCache>
                <c:ptCount val="1"/>
                <c:pt idx="0">
                  <c:v>BRAZIL_STOP_BEEF</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'Sensitivity Analysis'!$X$1:$AC$1</c:f>
              <c:numCache>
                <c:formatCode>0%</c:formatCode>
                <c:ptCount val="6"/>
                <c:pt idx="0">
                  <c:v>1</c:v>
                </c:pt>
                <c:pt idx="1">
                  <c:v>0.8</c:v>
                </c:pt>
                <c:pt idx="2">
                  <c:v>0.6</c:v>
                </c:pt>
                <c:pt idx="3">
                  <c:v>0.4</c:v>
                </c:pt>
                <c:pt idx="4">
                  <c:v>0.19999999999999996</c:v>
                </c:pt>
                <c:pt idx="5">
                  <c:v>0</c:v>
                </c:pt>
              </c:numCache>
            </c:numRef>
          </c:cat>
          <c:val>
            <c:numRef>
              <c:f>'Sensitivity Analysis'!$X$3:$AC$3</c:f>
              <c:numCache>
                <c:formatCode>0.0</c:formatCode>
                <c:ptCount val="6"/>
                <c:pt idx="0">
                  <c:v>924.52892384025097</c:v>
                </c:pt>
                <c:pt idx="1">
                  <c:v>924.40223455443095</c:v>
                </c:pt>
                <c:pt idx="2">
                  <c:v>924.36004020231087</c:v>
                </c:pt>
                <c:pt idx="3">
                  <c:v>924.31784585019079</c:v>
                </c:pt>
                <c:pt idx="4">
                  <c:v>924.27565149807094</c:v>
                </c:pt>
                <c:pt idx="5">
                  <c:v>924.23345714595087</c:v>
                </c:pt>
              </c:numCache>
            </c:numRef>
          </c:val>
          <c:smooth val="0"/>
          <c:extLst>
            <c:ext xmlns:c16="http://schemas.microsoft.com/office/drawing/2014/chart" uri="{C3380CC4-5D6E-409C-BE32-E72D297353CC}">
              <c16:uniqueId val="{00000001-7F30-A140-9B24-2338F4D79C35}"/>
            </c:ext>
          </c:extLst>
        </c:ser>
        <c:ser>
          <c:idx val="2"/>
          <c:order val="2"/>
          <c:tx>
            <c:strRef>
              <c:f>'Sensitivity Analysis'!$W$4</c:f>
              <c:strCache>
                <c:ptCount val="1"/>
                <c:pt idx="0">
                  <c:v>Input Model</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delete val="1"/>
          </c:dLbls>
          <c:cat>
            <c:numRef>
              <c:f>'Sensitivity Analysis'!$X$1:$AC$1</c:f>
              <c:numCache>
                <c:formatCode>0%</c:formatCode>
                <c:ptCount val="6"/>
                <c:pt idx="0">
                  <c:v>1</c:v>
                </c:pt>
                <c:pt idx="1">
                  <c:v>0.8</c:v>
                </c:pt>
                <c:pt idx="2">
                  <c:v>0.6</c:v>
                </c:pt>
                <c:pt idx="3">
                  <c:v>0.4</c:v>
                </c:pt>
                <c:pt idx="4">
                  <c:v>0.19999999999999996</c:v>
                </c:pt>
                <c:pt idx="5">
                  <c:v>0</c:v>
                </c:pt>
              </c:numCache>
            </c:numRef>
          </c:cat>
          <c:val>
            <c:numRef>
              <c:f>'Sensitivity Analysis'!$X$4:$AC$4</c:f>
              <c:numCache>
                <c:formatCode>0.0</c:formatCode>
                <c:ptCount val="6"/>
                <c:pt idx="0">
                  <c:v>929.41751284347936</c:v>
                </c:pt>
                <c:pt idx="1">
                  <c:v>929.41751284347936</c:v>
                </c:pt>
                <c:pt idx="2">
                  <c:v>929.41751284347936</c:v>
                </c:pt>
                <c:pt idx="3">
                  <c:v>929.41751284347936</c:v>
                </c:pt>
                <c:pt idx="4">
                  <c:v>929.41751284347936</c:v>
                </c:pt>
                <c:pt idx="5">
                  <c:v>929.41751284347936</c:v>
                </c:pt>
              </c:numCache>
            </c:numRef>
          </c:val>
          <c:smooth val="0"/>
          <c:extLst>
            <c:ext xmlns:c16="http://schemas.microsoft.com/office/drawing/2014/chart" uri="{C3380CC4-5D6E-409C-BE32-E72D297353CC}">
              <c16:uniqueId val="{00000002-7F30-A140-9B24-2338F4D79C35}"/>
            </c:ext>
          </c:extLst>
        </c:ser>
        <c:dLbls>
          <c:dLblPos val="t"/>
          <c:showLegendKey val="0"/>
          <c:showVal val="1"/>
          <c:showCatName val="0"/>
          <c:showSerName val="0"/>
          <c:showPercent val="0"/>
          <c:showBubbleSize val="0"/>
        </c:dLbls>
        <c:smooth val="0"/>
        <c:axId val="1360964144"/>
        <c:axId val="1360964960"/>
      </c:lineChart>
      <c:catAx>
        <c:axId val="136096414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Ratio of distribution to another country</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60964960"/>
        <c:crosses val="autoZero"/>
        <c:auto val="1"/>
        <c:lblAlgn val="ctr"/>
        <c:lblOffset val="100"/>
        <c:noMultiLvlLbl val="0"/>
      </c:catAx>
      <c:valAx>
        <c:axId val="136096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 TOTAL GHG</a:t>
                </a:r>
              </a:p>
              <a:p>
                <a:pPr>
                  <a:defRPr/>
                </a:pPr>
                <a:endParaRPr lang="en-GB"/>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60964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21</xdr:col>
      <xdr:colOff>1019175</xdr:colOff>
      <xdr:row>5</xdr:row>
      <xdr:rowOff>200025</xdr:rowOff>
    </xdr:from>
    <xdr:to>
      <xdr:col>30</xdr:col>
      <xdr:colOff>171450</xdr:colOff>
      <xdr:row>37</xdr:row>
      <xdr:rowOff>238125</xdr:rowOff>
    </xdr:to>
    <xdr:graphicFrame macro="">
      <xdr:nvGraphicFramePr>
        <xdr:cNvPr id="5" name="Chart 4">
          <a:extLst>
            <a:ext uri="{FF2B5EF4-FFF2-40B4-BE49-F238E27FC236}">
              <a16:creationId xmlns:a16="http://schemas.microsoft.com/office/drawing/2014/main" id="{00000000-0008-0000-0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635000</xdr:colOff>
          <xdr:row>2</xdr:row>
          <xdr:rowOff>50800</xdr:rowOff>
        </xdr:from>
        <xdr:to>
          <xdr:col>19</xdr:col>
          <xdr:colOff>114300</xdr:colOff>
          <xdr:row>33</xdr:row>
          <xdr:rowOff>101600</xdr:rowOff>
        </xdr:to>
        <xdr:sp macro="" textlink="">
          <xdr:nvSpPr>
            <xdr:cNvPr id="69635" name="Object 3" hidden="1">
              <a:extLst>
                <a:ext uri="{63B3BB69-23CF-44E3-9099-C40C66FF867C}">
                  <a14:compatExt spid="_x0000_s69635"/>
                </a:ext>
                <a:ext uri="{FF2B5EF4-FFF2-40B4-BE49-F238E27FC236}">
                  <a16:creationId xmlns:a16="http://schemas.microsoft.com/office/drawing/2014/main" id="{00000000-0008-0000-0D00-0000031001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266700</xdr:colOff>
          <xdr:row>2</xdr:row>
          <xdr:rowOff>88900</xdr:rowOff>
        </xdr:from>
        <xdr:to>
          <xdr:col>18</xdr:col>
          <xdr:colOff>330200</xdr:colOff>
          <xdr:row>34</xdr:row>
          <xdr:rowOff>63500</xdr:rowOff>
        </xdr:to>
        <xdr:sp macro="" textlink="">
          <xdr:nvSpPr>
            <xdr:cNvPr id="70659" name="Object 3" hidden="1">
              <a:extLst>
                <a:ext uri="{63B3BB69-23CF-44E3-9099-C40C66FF867C}">
                  <a14:compatExt spid="_x0000_s70659"/>
                </a:ext>
                <a:ext uri="{FF2B5EF4-FFF2-40B4-BE49-F238E27FC236}">
                  <a16:creationId xmlns:a16="http://schemas.microsoft.com/office/drawing/2014/main" id="{00000000-0008-0000-0E00-0000031401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2.xml"/><Relationship Id="rId1" Type="http://schemas.openxmlformats.org/officeDocument/2006/relationships/printerSettings" Target="../printerSettings/printerSettings6.bin"/><Relationship Id="rId6" Type="http://schemas.openxmlformats.org/officeDocument/2006/relationships/comments" Target="../comments9.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6.xml.rels><?xml version="1.0" encoding="UTF-8" standalone="yes"?>
<Relationships xmlns="http://schemas.openxmlformats.org/package/2006/relationships"><Relationship Id="rId3" Type="http://schemas.openxmlformats.org/officeDocument/2006/relationships/oleObject" Target="../embeddings/oleObject2.bin"/><Relationship Id="rId2" Type="http://schemas.openxmlformats.org/officeDocument/2006/relationships/vmlDrawing" Target="../drawings/vmlDrawing10.vml"/><Relationship Id="rId1" Type="http://schemas.openxmlformats.org/officeDocument/2006/relationships/drawing" Target="../drawings/drawing3.xml"/><Relationship Id="rId5" Type="http://schemas.openxmlformats.org/officeDocument/2006/relationships/comments" Target="../comments10.xml"/><Relationship Id="rId4" Type="http://schemas.openxmlformats.org/officeDocument/2006/relationships/image" Target="../media/image2.emf"/></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32801-DBAB-4555-9E73-EC7495D0A3A8}">
  <dimension ref="B1:I38"/>
  <sheetViews>
    <sheetView workbookViewId="0">
      <selection activeCell="F11" sqref="F11"/>
    </sheetView>
  </sheetViews>
  <sheetFormatPr defaultColWidth="8.7109375" defaultRowHeight="14.1"/>
  <cols>
    <col min="1" max="1" width="2.28515625" style="5" customWidth="1"/>
    <col min="2" max="4" width="28.85546875" style="5" customWidth="1"/>
    <col min="5" max="5" width="37.140625" style="5" bestFit="1" customWidth="1"/>
    <col min="6" max="6" width="30.7109375" style="5" bestFit="1" customWidth="1"/>
    <col min="7" max="7" width="15.28515625" style="5" customWidth="1"/>
    <col min="8" max="8" width="14.28515625" style="5" customWidth="1"/>
    <col min="9" max="16384" width="8.7109375" style="5"/>
  </cols>
  <sheetData>
    <row r="1" spans="2:7">
      <c r="B1" s="22" t="s">
        <v>0</v>
      </c>
    </row>
    <row r="2" spans="2:7">
      <c r="B2" s="22"/>
      <c r="C2" s="21">
        <v>2018</v>
      </c>
      <c r="D2" s="21">
        <v>2030</v>
      </c>
    </row>
    <row r="3" spans="2:7" ht="30">
      <c r="B3" s="33" t="s">
        <v>1</v>
      </c>
      <c r="C3" s="50">
        <v>963.18</v>
      </c>
      <c r="D3" s="51">
        <f>SUM(F23:F35)</f>
        <v>963.18000000000006</v>
      </c>
    </row>
    <row r="4" spans="2:7" ht="15">
      <c r="B4" s="33" t="s">
        <v>2</v>
      </c>
      <c r="C4" s="35">
        <f>'2018 (food consumption)'!$B$15</f>
        <v>365</v>
      </c>
      <c r="D4" s="29">
        <f>C4</f>
        <v>365</v>
      </c>
      <c r="E4" s="32"/>
    </row>
    <row r="7" spans="2:7">
      <c r="B7" s="22" t="s">
        <v>3</v>
      </c>
      <c r="E7" s="31"/>
      <c r="F7" s="34"/>
      <c r="G7" s="28"/>
    </row>
    <row r="8" spans="2:7">
      <c r="B8" s="22"/>
      <c r="E8" s="31"/>
      <c r="F8" s="34"/>
      <c r="G8" s="28"/>
    </row>
    <row r="9" spans="2:7">
      <c r="B9" s="16" t="s">
        <v>4</v>
      </c>
      <c r="C9" s="17">
        <v>2018</v>
      </c>
      <c r="D9" s="17" t="s">
        <v>5</v>
      </c>
      <c r="E9" s="31"/>
      <c r="F9" s="34"/>
      <c r="G9" s="28"/>
    </row>
    <row r="10" spans="2:7">
      <c r="B10" s="23" t="s">
        <v>6</v>
      </c>
      <c r="C10" s="30">
        <f>C23+C24+C25+C26+C27+C28+C29+C30</f>
        <v>0.29041095890410956</v>
      </c>
      <c r="D10" s="15">
        <v>0.25</v>
      </c>
      <c r="E10" s="31"/>
      <c r="F10" s="34"/>
      <c r="G10" s="28"/>
    </row>
    <row r="11" spans="2:7">
      <c r="B11" s="23" t="s">
        <v>7</v>
      </c>
      <c r="C11" s="30">
        <f>C34+C35</f>
        <v>0.24931506849315069</v>
      </c>
      <c r="D11" s="15">
        <v>0.25</v>
      </c>
      <c r="E11" s="31"/>
      <c r="F11" s="34"/>
      <c r="G11" s="28"/>
    </row>
    <row r="12" spans="2:7">
      <c r="B12" s="23" t="s">
        <v>8</v>
      </c>
      <c r="C12" s="30">
        <f>C31+C32+C33</f>
        <v>0.46027397260273972</v>
      </c>
      <c r="D12" s="15">
        <v>0.5</v>
      </c>
      <c r="E12" s="31"/>
      <c r="F12" s="34"/>
      <c r="G12" s="28"/>
    </row>
    <row r="13" spans="2:7">
      <c r="E13" s="31"/>
      <c r="F13" s="34"/>
      <c r="G13" s="28"/>
    </row>
    <row r="14" spans="2:7">
      <c r="B14" s="16" t="s">
        <v>9</v>
      </c>
      <c r="C14" s="17">
        <v>2018</v>
      </c>
      <c r="D14" s="17" t="s">
        <v>10</v>
      </c>
      <c r="E14" s="31"/>
      <c r="F14" s="34"/>
      <c r="G14" s="28"/>
    </row>
    <row r="15" spans="2:7">
      <c r="B15" s="18" t="s">
        <v>11</v>
      </c>
      <c r="C15" s="15">
        <v>0.1</v>
      </c>
      <c r="D15" s="19">
        <v>0.3</v>
      </c>
      <c r="E15" s="31"/>
      <c r="F15" s="34"/>
      <c r="G15" s="28"/>
    </row>
    <row r="16" spans="2:7">
      <c r="B16" s="18" t="s">
        <v>12</v>
      </c>
      <c r="C16" s="15">
        <v>0.9</v>
      </c>
      <c r="D16" s="19">
        <v>0.7</v>
      </c>
      <c r="E16" s="31"/>
      <c r="F16" s="34"/>
      <c r="G16" s="28"/>
    </row>
    <row r="17" spans="2:9">
      <c r="B17" s="22"/>
      <c r="E17" s="31"/>
      <c r="F17" s="34"/>
      <c r="G17" s="28"/>
    </row>
    <row r="18" spans="2:9">
      <c r="B18" s="36"/>
      <c r="C18" s="37"/>
      <c r="G18" s="38"/>
    </row>
    <row r="19" spans="2:9">
      <c r="B19" s="22" t="s">
        <v>13</v>
      </c>
      <c r="C19" s="37"/>
      <c r="G19" s="38"/>
    </row>
    <row r="20" spans="2:9">
      <c r="B20" s="36"/>
      <c r="C20" s="37"/>
      <c r="G20" s="38"/>
    </row>
    <row r="21" spans="2:9">
      <c r="B21" s="39" t="s">
        <v>14</v>
      </c>
    </row>
    <row r="22" spans="2:9" ht="30">
      <c r="B22" s="21" t="s">
        <v>15</v>
      </c>
      <c r="C22" s="26" t="s">
        <v>16</v>
      </c>
      <c r="D22" s="26" t="s">
        <v>17</v>
      </c>
      <c r="E22" s="26" t="s">
        <v>18</v>
      </c>
      <c r="F22" s="26" t="s">
        <v>19</v>
      </c>
    </row>
    <row r="23" spans="2:9" ht="15">
      <c r="B23" s="20" t="s">
        <v>20</v>
      </c>
      <c r="C23" s="27">
        <f>VLOOKUP(B23,'2018 (food consumption)'!$A$2:$C$14,3,FALSE)</f>
        <v>8.21917808219178E-3</v>
      </c>
      <c r="D23" s="24">
        <f>C23*$D$4</f>
        <v>2.9999999999999996</v>
      </c>
      <c r="E23" s="49">
        <v>24.41</v>
      </c>
      <c r="F23" s="49">
        <f>D23*E23</f>
        <v>73.22999999999999</v>
      </c>
      <c r="H23" s="3"/>
      <c r="I23" s="4"/>
    </row>
    <row r="24" spans="2:9" ht="15">
      <c r="B24" s="20" t="s">
        <v>21</v>
      </c>
      <c r="C24" s="27">
        <f>VLOOKUP(B24,'2018 (food consumption)'!$A$2:$C$14,3,FALSE)</f>
        <v>5.4794520547945206E-3</v>
      </c>
      <c r="D24" s="24">
        <f t="shared" ref="D24:D35" si="0">C24*$D$4</f>
        <v>2</v>
      </c>
      <c r="E24" s="49">
        <v>16.47</v>
      </c>
      <c r="F24" s="49">
        <f t="shared" ref="F24:F35" si="1">D24*E24</f>
        <v>32.94</v>
      </c>
      <c r="H24" s="3"/>
      <c r="I24" s="4"/>
    </row>
    <row r="25" spans="2:9" ht="15">
      <c r="B25" s="20" t="s">
        <v>22</v>
      </c>
      <c r="C25" s="27">
        <f>VLOOKUP(B25,'2018 (food consumption)'!$A$2:$C$14,3,FALSE)</f>
        <v>6.0273972602739728E-2</v>
      </c>
      <c r="D25" s="24">
        <f t="shared" si="0"/>
        <v>22</v>
      </c>
      <c r="E25" s="49">
        <v>12.77</v>
      </c>
      <c r="F25" s="49">
        <f t="shared" si="1"/>
        <v>280.94</v>
      </c>
      <c r="H25" s="3"/>
      <c r="I25" s="4"/>
    </row>
    <row r="26" spans="2:9" ht="15">
      <c r="B26" s="20" t="s">
        <v>23</v>
      </c>
      <c r="C26" s="27">
        <f>VLOOKUP(B26,'2018 (food consumption)'!$A$2:$C$14,3,FALSE)</f>
        <v>9.3150684931506855E-2</v>
      </c>
      <c r="D26" s="24">
        <f t="shared" si="0"/>
        <v>34</v>
      </c>
      <c r="E26" s="49">
        <v>3.54</v>
      </c>
      <c r="F26" s="49">
        <f t="shared" si="1"/>
        <v>120.36</v>
      </c>
      <c r="H26" s="3"/>
      <c r="I26" s="4"/>
    </row>
    <row r="27" spans="2:9" ht="15">
      <c r="B27" s="20" t="s">
        <v>24</v>
      </c>
      <c r="C27" s="27">
        <f>VLOOKUP(B27,'2018 (food consumption)'!$A$2:$C$14,3,FALSE)</f>
        <v>5.4794520547945206E-3</v>
      </c>
      <c r="D27" s="24">
        <f t="shared" si="0"/>
        <v>2</v>
      </c>
      <c r="E27" s="49">
        <v>4.21</v>
      </c>
      <c r="F27" s="49">
        <f t="shared" si="1"/>
        <v>8.42</v>
      </c>
      <c r="H27" s="3"/>
      <c r="I27" s="4"/>
    </row>
    <row r="28" spans="2:9" ht="15">
      <c r="B28" s="20" t="s">
        <v>25</v>
      </c>
      <c r="C28" s="27">
        <f>VLOOKUP(B28,'2018 (food consumption)'!$A$2:$C$14,3,FALSE)</f>
        <v>6.0273972602739728E-2</v>
      </c>
      <c r="D28" s="24">
        <f t="shared" si="0"/>
        <v>22</v>
      </c>
      <c r="E28" s="49">
        <v>3.08</v>
      </c>
      <c r="F28" s="49">
        <f t="shared" si="1"/>
        <v>67.760000000000005</v>
      </c>
      <c r="H28" s="3"/>
      <c r="I28" s="4"/>
    </row>
    <row r="29" spans="2:9" ht="15">
      <c r="B29" s="20" t="s">
        <v>26</v>
      </c>
      <c r="C29" s="27">
        <f>VLOOKUP(B29,'2018 (food consumption)'!$A$2:$C$14,3,FALSE)</f>
        <v>4.1095890410958902E-2</v>
      </c>
      <c r="D29" s="24">
        <f t="shared" si="0"/>
        <v>15</v>
      </c>
      <c r="E29" s="49">
        <v>6.28</v>
      </c>
      <c r="F29" s="49">
        <f t="shared" si="1"/>
        <v>94.2</v>
      </c>
      <c r="H29" s="3"/>
      <c r="I29" s="4"/>
    </row>
    <row r="30" spans="2:9" ht="15">
      <c r="B30" s="20" t="s">
        <v>27</v>
      </c>
      <c r="C30" s="27">
        <f>VLOOKUP(B30,'2018 (food consumption)'!$A$2:$C$14,3,FALSE)</f>
        <v>1.643835616438356E-2</v>
      </c>
      <c r="D30" s="24">
        <f t="shared" si="0"/>
        <v>5.9999999999999991</v>
      </c>
      <c r="E30" s="49">
        <v>5.72</v>
      </c>
      <c r="F30" s="49">
        <f t="shared" si="1"/>
        <v>34.319999999999993</v>
      </c>
      <c r="H30" s="3"/>
      <c r="I30" s="4"/>
    </row>
    <row r="31" spans="2:9" ht="15">
      <c r="B31" s="20" t="s">
        <v>28</v>
      </c>
      <c r="C31" s="27">
        <f>VLOOKUP(B31,'2018 (food consumption)'!$A$2:$C$14,3,FALSE)</f>
        <v>0.19726027397260273</v>
      </c>
      <c r="D31" s="24">
        <f t="shared" si="0"/>
        <v>72</v>
      </c>
      <c r="E31" s="49">
        <v>0.42</v>
      </c>
      <c r="F31" s="49">
        <f t="shared" si="1"/>
        <v>30.24</v>
      </c>
      <c r="H31" s="3"/>
      <c r="I31" s="4"/>
    </row>
    <row r="32" spans="2:9" ht="15">
      <c r="B32" s="20" t="s">
        <v>29</v>
      </c>
      <c r="C32" s="27">
        <f>VLOOKUP(B32,'2018 (food consumption)'!$A$2:$C$14,3,FALSE)</f>
        <v>4.3835616438356165E-2</v>
      </c>
      <c r="D32" s="24">
        <f t="shared" si="0"/>
        <v>16</v>
      </c>
      <c r="E32" s="49">
        <v>0.4</v>
      </c>
      <c r="F32" s="49">
        <f t="shared" si="1"/>
        <v>6.4</v>
      </c>
      <c r="H32" s="3"/>
      <c r="I32" s="4"/>
    </row>
    <row r="33" spans="2:9" ht="15">
      <c r="B33" s="20" t="s">
        <v>30</v>
      </c>
      <c r="C33" s="27">
        <f>VLOOKUP(B33,'2018 (food consumption)'!$A$2:$C$14,3,FALSE)</f>
        <v>0.21917808219178081</v>
      </c>
      <c r="D33" s="24">
        <f t="shared" si="0"/>
        <v>80</v>
      </c>
      <c r="E33" s="49">
        <v>0.82</v>
      </c>
      <c r="F33" s="49">
        <f t="shared" si="1"/>
        <v>65.599999999999994</v>
      </c>
      <c r="H33" s="3"/>
      <c r="I33" s="4"/>
    </row>
    <row r="34" spans="2:9" ht="15">
      <c r="B34" s="20" t="s">
        <v>31</v>
      </c>
      <c r="C34" s="27">
        <f>VLOOKUP(B34,'2018 (food consumption)'!$A$2:$C$14,3,FALSE)</f>
        <v>0.12328767123287671</v>
      </c>
      <c r="D34" s="24">
        <f t="shared" si="0"/>
        <v>45</v>
      </c>
      <c r="E34" s="49">
        <v>2.57</v>
      </c>
      <c r="F34" s="49">
        <f t="shared" si="1"/>
        <v>115.64999999999999</v>
      </c>
      <c r="H34" s="3"/>
      <c r="I34" s="4"/>
    </row>
    <row r="35" spans="2:9" ht="15">
      <c r="B35" s="20" t="s">
        <v>32</v>
      </c>
      <c r="C35" s="27">
        <f>VLOOKUP(B35,'2018 (food consumption)'!$A$2:$C$14,3,FALSE)</f>
        <v>0.12602739726027398</v>
      </c>
      <c r="D35" s="24">
        <f t="shared" si="0"/>
        <v>46</v>
      </c>
      <c r="E35" s="49">
        <v>0.72</v>
      </c>
      <c r="F35" s="49">
        <f t="shared" si="1"/>
        <v>33.119999999999997</v>
      </c>
      <c r="H35" s="3"/>
      <c r="I35" s="4"/>
    </row>
    <row r="36" spans="2:9" s="14" customFormat="1"/>
    <row r="38" spans="2:9">
      <c r="G38" s="25"/>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C1733-6782-4403-A3E4-80D29FC0FD1C}">
  <sheetPr>
    <tabColor rgb="FFFFFF00"/>
  </sheetPr>
  <dimension ref="B1:T91"/>
  <sheetViews>
    <sheetView zoomScaleNormal="100" workbookViewId="0">
      <selection activeCell="E11" sqref="E11"/>
    </sheetView>
  </sheetViews>
  <sheetFormatPr defaultColWidth="8.7109375" defaultRowHeight="14.1"/>
  <cols>
    <col min="1" max="1" width="2.28515625" style="5" customWidth="1"/>
    <col min="2" max="2" width="28.85546875" style="5" customWidth="1"/>
    <col min="3" max="3" width="27.7109375" style="5" bestFit="1" customWidth="1"/>
    <col min="4" max="4" width="21" style="5" customWidth="1"/>
    <col min="5" max="5" width="31" style="5" customWidth="1"/>
    <col min="6" max="6" width="30.7109375" style="5" customWidth="1"/>
    <col min="7" max="7" width="25.28515625" style="5" customWidth="1"/>
    <col min="8" max="10" width="30.7109375" style="5" customWidth="1"/>
    <col min="11" max="14" width="21.7109375" style="5" hidden="1" customWidth="1"/>
    <col min="15" max="15" width="25.85546875" style="5" hidden="1" customWidth="1"/>
    <col min="16" max="16" width="11.28515625" style="5" hidden="1" customWidth="1"/>
    <col min="17" max="17" width="8.7109375" style="5"/>
    <col min="18" max="18" width="12.140625" style="5" customWidth="1"/>
    <col min="19" max="19" width="28.28515625" style="5" customWidth="1"/>
    <col min="20" max="20" width="27.7109375" style="5" customWidth="1"/>
    <col min="21" max="16384" width="8.7109375" style="5"/>
  </cols>
  <sheetData>
    <row r="1" spans="2:15">
      <c r="B1" s="22" t="s">
        <v>0</v>
      </c>
      <c r="E1" s="31"/>
      <c r="F1" s="31"/>
      <c r="G1" s="31"/>
    </row>
    <row r="2" spans="2:15" ht="15">
      <c r="B2" s="171"/>
      <c r="C2" s="178" t="s">
        <v>191</v>
      </c>
      <c r="D2" s="179" t="s">
        <v>192</v>
      </c>
      <c r="E2" s="180" t="s">
        <v>193</v>
      </c>
      <c r="F2" s="31"/>
      <c r="G2" s="31"/>
    </row>
    <row r="3" spans="2:15" ht="30">
      <c r="B3" s="142" t="s">
        <v>1</v>
      </c>
      <c r="C3" s="130">
        <f>SUM(F28:F40)</f>
        <v>929.41751284347936</v>
      </c>
      <c r="D3" s="181">
        <v>929.41751284347959</v>
      </c>
      <c r="E3" s="182">
        <f>(D3-C3)/D3</f>
        <v>2.4464104915303375E-16</v>
      </c>
      <c r="F3" s="31"/>
      <c r="G3" s="31"/>
      <c r="K3" s="170">
        <v>929.41751284347959</v>
      </c>
      <c r="L3" s="28"/>
      <c r="M3" s="28"/>
      <c r="N3" s="28"/>
      <c r="O3" s="28">
        <f>(K3-C3)/K3*100</f>
        <v>2.4464104915303375E-14</v>
      </c>
    </row>
    <row r="4" spans="2:15" ht="15">
      <c r="B4" s="142" t="s">
        <v>130</v>
      </c>
      <c r="C4" s="130">
        <f>SUM(F28:F40)-SUM(F28:F35)*D22-F28*D21-SUM(F28:F35)*D20+SUM(C28:C35)*D20*SUM(D28:D35)*O89+C28*D21*D28*O90+SUM(C28:C35)*D22*SUM(D28:D35)*O91</f>
        <v>929.41751284347936</v>
      </c>
      <c r="D4" s="179"/>
      <c r="E4" s="180"/>
      <c r="F4" s="31"/>
      <c r="G4" s="31"/>
    </row>
    <row r="5" spans="2:15">
      <c r="E5" s="31"/>
      <c r="F5" s="31"/>
      <c r="G5" s="31"/>
    </row>
    <row r="6" spans="2:15">
      <c r="B6" s="22" t="s">
        <v>3</v>
      </c>
      <c r="E6" s="31"/>
      <c r="F6" s="31"/>
      <c r="G6" s="31"/>
      <c r="H6" s="34"/>
      <c r="I6" s="34"/>
      <c r="J6" s="34"/>
      <c r="K6" s="28"/>
    </row>
    <row r="7" spans="2:15">
      <c r="B7" s="22"/>
      <c r="E7" s="31"/>
      <c r="F7" s="31"/>
      <c r="G7" s="31"/>
      <c r="H7" s="34"/>
      <c r="I7" s="34"/>
      <c r="J7" s="34"/>
      <c r="K7" s="28"/>
    </row>
    <row r="8" spans="2:15" ht="15">
      <c r="B8" s="33" t="s">
        <v>2</v>
      </c>
      <c r="C8" s="129">
        <v>365</v>
      </c>
      <c r="D8" s="32"/>
    </row>
    <row r="9" spans="2:15">
      <c r="B9" s="22"/>
      <c r="E9" s="31"/>
      <c r="F9" s="34"/>
      <c r="G9" s="34"/>
      <c r="H9" s="34"/>
      <c r="I9" s="34"/>
      <c r="J9" s="34"/>
      <c r="K9" s="28"/>
    </row>
    <row r="10" spans="2:15">
      <c r="B10" s="16" t="s">
        <v>4</v>
      </c>
      <c r="D10" s="133" t="s">
        <v>131</v>
      </c>
      <c r="E10" s="31"/>
      <c r="F10" s="34"/>
      <c r="G10" s="34"/>
      <c r="H10" s="34"/>
      <c r="I10" s="34"/>
      <c r="J10" s="34"/>
      <c r="K10" s="28"/>
    </row>
    <row r="11" spans="2:15">
      <c r="B11" s="23" t="s">
        <v>6</v>
      </c>
      <c r="C11" s="30">
        <f>SUM(C28:C35)</f>
        <v>0.29041095890410956</v>
      </c>
      <c r="D11" s="131">
        <v>0.25</v>
      </c>
      <c r="E11" s="31"/>
      <c r="F11" s="34"/>
      <c r="G11" s="34"/>
      <c r="H11" s="34"/>
      <c r="I11" s="34"/>
      <c r="J11" s="34"/>
      <c r="K11" s="28"/>
    </row>
    <row r="12" spans="2:15">
      <c r="B12" s="23" t="s">
        <v>7</v>
      </c>
      <c r="C12" s="30">
        <f>SUM(C39:C40)</f>
        <v>0.24931506849315072</v>
      </c>
      <c r="D12" s="131">
        <v>0.25</v>
      </c>
      <c r="E12" s="31"/>
      <c r="F12" s="34"/>
      <c r="G12" s="34"/>
      <c r="H12" s="34"/>
      <c r="I12" s="34"/>
      <c r="J12" s="34"/>
      <c r="K12" s="28"/>
    </row>
    <row r="13" spans="2:15">
      <c r="B13" s="23" t="s">
        <v>8</v>
      </c>
      <c r="C13" s="30">
        <f>SUM(C36:C38)</f>
        <v>0.46027397260273972</v>
      </c>
      <c r="D13" s="131">
        <v>0.5</v>
      </c>
      <c r="E13" s="31"/>
      <c r="F13" s="34"/>
      <c r="G13" s="34"/>
      <c r="H13" s="34"/>
      <c r="I13" s="34"/>
      <c r="J13" s="34"/>
      <c r="K13" s="28"/>
    </row>
    <row r="14" spans="2:15">
      <c r="E14" s="31"/>
      <c r="F14" s="34"/>
      <c r="G14" s="34"/>
      <c r="H14" s="34"/>
      <c r="I14" s="34"/>
      <c r="J14" s="34"/>
      <c r="K14" s="28"/>
    </row>
    <row r="15" spans="2:15">
      <c r="B15" s="16" t="s">
        <v>132</v>
      </c>
      <c r="D15" s="133" t="s">
        <v>131</v>
      </c>
      <c r="E15" s="31"/>
      <c r="F15" s="34"/>
      <c r="G15" s="34"/>
      <c r="H15" s="34"/>
      <c r="I15" s="34"/>
      <c r="J15" s="34"/>
      <c r="K15" s="28"/>
    </row>
    <row r="16" spans="2:15">
      <c r="B16" s="18" t="s">
        <v>133</v>
      </c>
      <c r="C16" s="87">
        <f>((F66*D33)+(F77*D38)+(F84*D37)+(F86*D34)+(F88*D35))/C8</f>
        <v>2.610958904109589E-2</v>
      </c>
      <c r="D16" s="132">
        <v>0.3</v>
      </c>
      <c r="E16" s="31"/>
      <c r="F16" s="34"/>
      <c r="G16" s="34"/>
      <c r="H16" s="34"/>
      <c r="I16" s="34"/>
      <c r="J16" s="34"/>
      <c r="K16" s="86"/>
    </row>
    <row r="17" spans="2:15">
      <c r="B17" s="18" t="s">
        <v>134</v>
      </c>
      <c r="C17" s="87">
        <f>(SUM(F45:F47)*D31+SUM(F48:F49)*D32+SUM(F50:F51)*D29+SUM(F52:F58)*D30+SUM(F59:F64)*D28+SUM(F65)*D33+SUM(F67:F75)*D36+SUM(F76)*D38+SUM(F78:F79)*D40+SUM(F80:F82)*D39+SUM(F83)*D37+SUM(F85)*D34+SUM(F87)*D35)/C8</f>
        <v>0.97389041095890405</v>
      </c>
      <c r="D17" s="132">
        <v>0.7</v>
      </c>
      <c r="E17" s="31"/>
      <c r="F17" s="34"/>
      <c r="G17" s="34"/>
      <c r="H17" s="34"/>
      <c r="I17" s="34"/>
      <c r="J17" s="34"/>
      <c r="K17" s="28"/>
    </row>
    <row r="18" spans="2:15">
      <c r="B18" s="39"/>
      <c r="C18" s="137"/>
      <c r="D18" s="138"/>
      <c r="E18" s="31"/>
      <c r="F18" s="34"/>
      <c r="G18" s="34"/>
      <c r="H18" s="34"/>
      <c r="I18" s="34"/>
      <c r="J18" s="34"/>
      <c r="K18" s="28"/>
    </row>
    <row r="19" spans="2:15">
      <c r="B19" s="22"/>
      <c r="C19" s="17" t="s">
        <v>135</v>
      </c>
      <c r="D19" s="17" t="s">
        <v>136</v>
      </c>
      <c r="E19" s="31"/>
      <c r="F19" s="34"/>
      <c r="G19" s="34"/>
      <c r="H19" s="34"/>
      <c r="I19" s="34"/>
      <c r="J19" s="34"/>
      <c r="K19" s="28"/>
    </row>
    <row r="20" spans="2:15">
      <c r="B20" s="141" t="s">
        <v>137</v>
      </c>
      <c r="C20" s="19">
        <v>0.6</v>
      </c>
      <c r="D20" s="132">
        <v>0</v>
      </c>
      <c r="E20" s="31"/>
      <c r="F20" s="34"/>
      <c r="G20" s="34"/>
      <c r="H20" s="34"/>
      <c r="I20" s="34"/>
      <c r="J20" s="34"/>
      <c r="K20" s="28"/>
    </row>
    <row r="21" spans="2:15" ht="45">
      <c r="B21" s="143" t="s">
        <v>138</v>
      </c>
      <c r="C21" s="19">
        <v>0.55000000000000004</v>
      </c>
      <c r="D21" s="132">
        <v>0</v>
      </c>
      <c r="E21" s="31" t="s">
        <v>139</v>
      </c>
      <c r="F21" s="34"/>
      <c r="G21" s="34"/>
      <c r="H21" s="34"/>
      <c r="I21" s="34"/>
      <c r="J21" s="34"/>
      <c r="K21" s="28"/>
    </row>
    <row r="22" spans="2:15" ht="30">
      <c r="B22" s="141" t="s">
        <v>140</v>
      </c>
      <c r="C22" s="19">
        <v>0.99</v>
      </c>
      <c r="D22" s="132">
        <v>0</v>
      </c>
      <c r="E22" s="31" t="s">
        <v>141</v>
      </c>
      <c r="F22" s="34"/>
      <c r="G22" s="34"/>
      <c r="H22" s="34"/>
      <c r="I22" s="34"/>
      <c r="J22" s="34"/>
      <c r="K22" s="28"/>
    </row>
    <row r="23" spans="2:15">
      <c r="B23" s="39"/>
      <c r="C23" s="137"/>
      <c r="D23" s="138"/>
      <c r="E23" s="31"/>
      <c r="F23" s="34"/>
      <c r="G23" s="34"/>
      <c r="H23" s="34"/>
      <c r="I23" s="34"/>
      <c r="J23" s="34"/>
      <c r="K23" s="28"/>
    </row>
    <row r="24" spans="2:15">
      <c r="B24" s="22" t="s">
        <v>13</v>
      </c>
      <c r="C24" s="37"/>
      <c r="J24" s="22" t="s">
        <v>142</v>
      </c>
    </row>
    <row r="25" spans="2:15">
      <c r="B25" s="36"/>
      <c r="C25" s="37"/>
    </row>
    <row r="26" spans="2:15">
      <c r="B26" s="39" t="s">
        <v>14</v>
      </c>
      <c r="J26" s="39" t="s">
        <v>14</v>
      </c>
    </row>
    <row r="27" spans="2:15" ht="45">
      <c r="B27" s="21" t="s">
        <v>15</v>
      </c>
      <c r="C27" s="26" t="s">
        <v>194</v>
      </c>
      <c r="D27" s="26" t="s">
        <v>17</v>
      </c>
      <c r="E27" s="26" t="s">
        <v>18</v>
      </c>
      <c r="F27" s="26" t="s">
        <v>19</v>
      </c>
      <c r="G27" s="168" t="s">
        <v>195</v>
      </c>
      <c r="H27" s="167" t="s">
        <v>196</v>
      </c>
      <c r="I27" s="34"/>
      <c r="J27" s="21" t="s">
        <v>15</v>
      </c>
      <c r="K27" s="26" t="s">
        <v>197</v>
      </c>
      <c r="L27" s="26" t="s">
        <v>144</v>
      </c>
      <c r="M27" s="17" t="s">
        <v>198</v>
      </c>
      <c r="N27" s="172" t="s">
        <v>199</v>
      </c>
      <c r="O27" s="174" t="s">
        <v>196</v>
      </c>
    </row>
    <row r="28" spans="2:15" ht="15">
      <c r="B28" s="20" t="s">
        <v>20</v>
      </c>
      <c r="C28" s="160">
        <f>H59+H60+H61+H62+H63+H64</f>
        <v>8.2191780821917783E-3</v>
      </c>
      <c r="D28" s="24">
        <v>2.9999999999999996</v>
      </c>
      <c r="E28" s="49">
        <f>SUM(O59:O64)</f>
        <v>24.291314857142858</v>
      </c>
      <c r="F28" s="49">
        <f>SUM(I59:I64)</f>
        <v>72.873944571428567</v>
      </c>
      <c r="G28" s="165">
        <v>8.21917808219178E-3</v>
      </c>
      <c r="H28" s="166">
        <f>G28-C28</f>
        <v>0</v>
      </c>
      <c r="I28" s="34"/>
      <c r="J28" s="20" t="s">
        <v>20</v>
      </c>
      <c r="K28" s="27">
        <f>0.821917808219178%*(1-M28)</f>
        <v>6.5753424657534242E-3</v>
      </c>
      <c r="L28" s="97">
        <f>SUM(F59:F64)</f>
        <v>1</v>
      </c>
      <c r="M28" s="149">
        <v>0.2</v>
      </c>
      <c r="N28" s="173">
        <v>0.01</v>
      </c>
      <c r="O28" s="175">
        <f>C28-K28</f>
        <v>1.6438356164383541E-3</v>
      </c>
    </row>
    <row r="29" spans="2:15" ht="15">
      <c r="B29" s="20" t="s">
        <v>21</v>
      </c>
      <c r="C29" s="160">
        <f>H50+H51</f>
        <v>5.4794520547945206E-3</v>
      </c>
      <c r="D29" s="24">
        <v>2</v>
      </c>
      <c r="E29" s="49">
        <f>SUM(O50:O51)</f>
        <v>16.406103899999998</v>
      </c>
      <c r="F29" s="49">
        <f>SUM(I50:I51)</f>
        <v>32.812207799999996</v>
      </c>
      <c r="G29" s="165">
        <v>5.4794520547945206E-3</v>
      </c>
      <c r="H29" s="166">
        <f t="shared" ref="H29:H40" si="0">G29-C29</f>
        <v>0</v>
      </c>
      <c r="I29" s="34"/>
      <c r="J29" s="20" t="s">
        <v>21</v>
      </c>
      <c r="K29" s="27">
        <f>0.547945205479452%*(1-M29)</f>
        <v>4.383561643835617E-3</v>
      </c>
      <c r="L29" s="97">
        <f>SUM(F50:F51)</f>
        <v>1</v>
      </c>
      <c r="M29" s="149">
        <v>0.2</v>
      </c>
      <c r="O29" s="175">
        <f t="shared" ref="O29:O40" si="1">C29-K29</f>
        <v>1.0958904109589036E-3</v>
      </c>
    </row>
    <row r="30" spans="2:15" ht="15">
      <c r="B30" s="20" t="s">
        <v>22</v>
      </c>
      <c r="C30" s="160">
        <f>H52+H53+H54+H55+H56+H57+H58</f>
        <v>6.0273972602739721E-2</v>
      </c>
      <c r="D30" s="24">
        <v>22</v>
      </c>
      <c r="E30" s="49">
        <f>SUM(O52:O58)</f>
        <v>11.945393876296295</v>
      </c>
      <c r="F30" s="49">
        <f>SUM(I52:I58)</f>
        <v>262.79866527851846</v>
      </c>
      <c r="G30" s="165">
        <v>6.0273972602739728E-2</v>
      </c>
      <c r="H30" s="166">
        <f t="shared" si="0"/>
        <v>0</v>
      </c>
      <c r="I30" s="34"/>
      <c r="J30" s="20" t="s">
        <v>22</v>
      </c>
      <c r="K30" s="27">
        <f>6.02739726027397%*(1-M30)</f>
        <v>4.8219178082191762E-2</v>
      </c>
      <c r="L30" s="97">
        <f>SUM(F52:F58)</f>
        <v>0.99999999999999989</v>
      </c>
      <c r="M30" s="149">
        <v>0.2</v>
      </c>
      <c r="O30" s="175">
        <f t="shared" si="1"/>
        <v>1.205479452054796E-2</v>
      </c>
    </row>
    <row r="31" spans="2:15" ht="15">
      <c r="B31" s="20" t="s">
        <v>23</v>
      </c>
      <c r="C31" s="160">
        <f>H45+H46+H47</f>
        <v>9.3150684931506855E-2</v>
      </c>
      <c r="D31" s="24">
        <v>34</v>
      </c>
      <c r="E31" s="49">
        <f>SUM(O45:O47)</f>
        <v>3.5247584216867471</v>
      </c>
      <c r="F31" s="49">
        <f>SUM(I45:I47)</f>
        <v>119.84178633734939</v>
      </c>
      <c r="G31" s="165">
        <v>9.3150684931506855E-2</v>
      </c>
      <c r="H31" s="166">
        <f t="shared" si="0"/>
        <v>0</v>
      </c>
      <c r="I31" s="34"/>
      <c r="J31" s="20" t="s">
        <v>23</v>
      </c>
      <c r="K31" s="27">
        <f>9.31506849315068%*(1-M31)</f>
        <v>7.4520547945205448E-2</v>
      </c>
      <c r="L31" s="97">
        <f>SUM(F45:F47)</f>
        <v>1</v>
      </c>
      <c r="M31" s="149">
        <v>0.2</v>
      </c>
      <c r="O31" s="175">
        <f t="shared" si="1"/>
        <v>1.8630136986301407E-2</v>
      </c>
    </row>
    <row r="32" spans="2:15" ht="15">
      <c r="B32" s="20" t="s">
        <v>24</v>
      </c>
      <c r="C32" s="160">
        <f>H48+H49</f>
        <v>5.4794520547945206E-3</v>
      </c>
      <c r="D32" s="24">
        <v>2</v>
      </c>
      <c r="E32" s="49">
        <f>SUM(O48:O49)</f>
        <v>4.2112411489361712</v>
      </c>
      <c r="F32" s="49">
        <f>SUM(I48:I49)</f>
        <v>8.4224822978723424</v>
      </c>
      <c r="G32" s="165">
        <v>5.4794520547945206E-3</v>
      </c>
      <c r="H32" s="166">
        <f t="shared" si="0"/>
        <v>0</v>
      </c>
      <c r="I32" s="34"/>
      <c r="J32" s="20" t="s">
        <v>24</v>
      </c>
      <c r="K32" s="27">
        <f>0.547945205479452%*(1-M32)</f>
        <v>4.383561643835617E-3</v>
      </c>
      <c r="L32" s="97">
        <f>SUM(F48:F49)</f>
        <v>1</v>
      </c>
      <c r="M32" s="149">
        <v>0.2</v>
      </c>
      <c r="O32" s="175">
        <f t="shared" si="1"/>
        <v>1.0958904109589036E-3</v>
      </c>
    </row>
    <row r="33" spans="2:20" ht="15">
      <c r="B33" s="20" t="s">
        <v>25</v>
      </c>
      <c r="C33" s="160">
        <f>H65+H66</f>
        <v>6.0273972602739728E-2</v>
      </c>
      <c r="D33" s="24">
        <v>22</v>
      </c>
      <c r="E33" s="49">
        <f>SUM(O65:O66)</f>
        <v>3.0794528699999999</v>
      </c>
      <c r="F33" s="49">
        <f>SUM(I65:I66)</f>
        <v>67.747963139999996</v>
      </c>
      <c r="G33" s="165">
        <v>6.0273972602739728E-2</v>
      </c>
      <c r="H33" s="166">
        <f t="shared" si="0"/>
        <v>0</v>
      </c>
      <c r="I33" s="34"/>
      <c r="J33" s="20" t="s">
        <v>25</v>
      </c>
      <c r="K33" s="27">
        <f>6.02739726027397%*(1-M33)</f>
        <v>4.8219178082191762E-2</v>
      </c>
      <c r="L33" s="97">
        <f>SUM(F65:F66)</f>
        <v>1</v>
      </c>
      <c r="M33" s="149">
        <v>0.2</v>
      </c>
      <c r="O33" s="175">
        <f t="shared" si="1"/>
        <v>1.2054794520547966E-2</v>
      </c>
    </row>
    <row r="34" spans="2:20" ht="15">
      <c r="B34" s="20" t="s">
        <v>26</v>
      </c>
      <c r="C34" s="160">
        <f>H85+H86</f>
        <v>4.1095890410958902E-2</v>
      </c>
      <c r="D34" s="24">
        <v>15</v>
      </c>
      <c r="E34" s="49">
        <f>SUM(O85:O86)</f>
        <v>5.5226759035714279</v>
      </c>
      <c r="F34" s="49">
        <f>SUM(I85:I86)</f>
        <v>82.840138553571421</v>
      </c>
      <c r="G34" s="165">
        <v>4.1095890410958902E-2</v>
      </c>
      <c r="H34" s="166">
        <f t="shared" si="0"/>
        <v>0</v>
      </c>
      <c r="I34" s="34"/>
      <c r="J34" s="20" t="s">
        <v>26</v>
      </c>
      <c r="K34" s="27">
        <f>4.10958904109589%*(1-M34)</f>
        <v>3.287671232876712E-2</v>
      </c>
      <c r="L34" s="97">
        <f>SUM(F85:F86)</f>
        <v>1</v>
      </c>
      <c r="M34" s="149">
        <v>0.2</v>
      </c>
      <c r="O34" s="175">
        <f t="shared" si="1"/>
        <v>8.2191780821917818E-3</v>
      </c>
    </row>
    <row r="35" spans="2:20" ht="15">
      <c r="B35" s="20" t="s">
        <v>27</v>
      </c>
      <c r="C35" s="160">
        <f>H87+H88</f>
        <v>1.643835616438356E-2</v>
      </c>
      <c r="D35" s="24">
        <v>5.9999999999999991</v>
      </c>
      <c r="E35" s="49">
        <f>SUM(O87:O88)</f>
        <v>5.2610641187624996</v>
      </c>
      <c r="F35" s="49">
        <f>SUM(I87:I88)</f>
        <v>31.566384712574994</v>
      </c>
      <c r="G35" s="165">
        <v>1.643835616438356E-2</v>
      </c>
      <c r="H35" s="166">
        <f t="shared" si="0"/>
        <v>0</v>
      </c>
      <c r="I35" s="34"/>
      <c r="J35" s="20" t="s">
        <v>27</v>
      </c>
      <c r="K35" s="27">
        <f>1.64383561643836%*(1-M35)</f>
        <v>1.3150684931506881E-2</v>
      </c>
      <c r="L35" s="97">
        <f>SUM(F87:F88)</f>
        <v>1</v>
      </c>
      <c r="M35" s="149">
        <v>0.2</v>
      </c>
      <c r="O35" s="175">
        <f t="shared" si="1"/>
        <v>3.2876712328766787E-3</v>
      </c>
    </row>
    <row r="36" spans="2:20" ht="15">
      <c r="B36" s="20" t="s">
        <v>28</v>
      </c>
      <c r="C36" s="160">
        <f>H67+H68+H69+H70+H71+H72+H73+H74+H75</f>
        <v>0.19726027397260273</v>
      </c>
      <c r="D36" s="24">
        <v>72</v>
      </c>
      <c r="E36" s="49">
        <f>SUM(O67:O75)</f>
        <v>0.4049254074889867</v>
      </c>
      <c r="F36" s="49">
        <f>SUM(I67:I75)</f>
        <v>29.154629339207048</v>
      </c>
      <c r="G36" s="165">
        <v>0.19726027397260273</v>
      </c>
      <c r="H36" s="166">
        <f t="shared" si="0"/>
        <v>0</v>
      </c>
      <c r="I36" s="34"/>
      <c r="J36" s="20" t="s">
        <v>28</v>
      </c>
      <c r="K36" s="27">
        <f>19.7260273972603%*(1-M36)</f>
        <v>0.15780821917808241</v>
      </c>
      <c r="L36" s="97">
        <f>SUM(F67:F75)</f>
        <v>1</v>
      </c>
      <c r="M36" s="149">
        <v>0.2</v>
      </c>
      <c r="O36" s="175">
        <f t="shared" si="1"/>
        <v>3.9452054794520325E-2</v>
      </c>
    </row>
    <row r="37" spans="2:20" ht="15">
      <c r="B37" s="20" t="s">
        <v>29</v>
      </c>
      <c r="C37" s="160">
        <f>H83+H84</f>
        <v>4.3835616438356165E-2</v>
      </c>
      <c r="D37" s="24">
        <v>16</v>
      </c>
      <c r="E37" s="49">
        <f>SUM(O83:O84)</f>
        <v>0.42478675000000005</v>
      </c>
      <c r="F37" s="49">
        <f>SUM(I83:I84)</f>
        <v>6.7965880000000007</v>
      </c>
      <c r="G37" s="165">
        <v>4.3835616438356165E-2</v>
      </c>
      <c r="H37" s="166">
        <f t="shared" si="0"/>
        <v>0</v>
      </c>
      <c r="I37" s="34"/>
      <c r="J37" s="20" t="s">
        <v>29</v>
      </c>
      <c r="K37" s="27">
        <f>4.38356164383562%*(1-M37)</f>
        <v>3.5068493150684964E-2</v>
      </c>
      <c r="L37" s="97">
        <f>SUM(F83:F84)</f>
        <v>1</v>
      </c>
      <c r="M37" s="149">
        <v>0.2</v>
      </c>
      <c r="O37" s="175">
        <f t="shared" si="1"/>
        <v>8.767123287671201E-3</v>
      </c>
    </row>
    <row r="38" spans="2:20" ht="15">
      <c r="B38" s="20" t="s">
        <v>30</v>
      </c>
      <c r="C38" s="160">
        <f>H76+H77</f>
        <v>0.21917808219178081</v>
      </c>
      <c r="D38" s="24">
        <v>80</v>
      </c>
      <c r="E38" s="49">
        <f>SUM(O76:O77)</f>
        <v>0.81906525133333319</v>
      </c>
      <c r="F38" s="49">
        <f>SUM(I76:I77)</f>
        <v>65.525220106666652</v>
      </c>
      <c r="G38" s="165">
        <v>0.21917808219178081</v>
      </c>
      <c r="H38" s="166">
        <f t="shared" si="0"/>
        <v>0</v>
      </c>
      <c r="I38" s="34"/>
      <c r="J38" s="20" t="s">
        <v>30</v>
      </c>
      <c r="K38" s="27">
        <f>21.9178082191781%*(1-M38)</f>
        <v>0.1753424657534248</v>
      </c>
      <c r="L38" s="97">
        <f>SUM(F76:F77)</f>
        <v>1</v>
      </c>
      <c r="M38" s="149">
        <v>0.2</v>
      </c>
      <c r="O38" s="175">
        <f t="shared" si="1"/>
        <v>4.3835616438356012E-2</v>
      </c>
    </row>
    <row r="39" spans="2:20" ht="15">
      <c r="B39" s="20" t="s">
        <v>31</v>
      </c>
      <c r="C39" s="160">
        <f>H80+H81+H82</f>
        <v>0.12328767123287673</v>
      </c>
      <c r="D39" s="24">
        <v>45</v>
      </c>
      <c r="E39" s="49">
        <f>SUM(O80:O82)</f>
        <v>2.5732208043478266</v>
      </c>
      <c r="F39" s="49">
        <f>SUM(I80:I82)</f>
        <v>115.79493619565218</v>
      </c>
      <c r="G39" s="165">
        <v>0.12328767123287671</v>
      </c>
      <c r="H39" s="166">
        <f t="shared" si="0"/>
        <v>0</v>
      </c>
      <c r="I39" s="34"/>
      <c r="J39" s="20" t="s">
        <v>31</v>
      </c>
      <c r="K39" s="27">
        <f>12.3287671232877%*(1-M39)</f>
        <v>9.8630136986301603E-2</v>
      </c>
      <c r="L39" s="97">
        <f>SUM(F80:F82)</f>
        <v>1</v>
      </c>
      <c r="M39" s="149">
        <v>0.2</v>
      </c>
      <c r="O39" s="175">
        <f t="shared" si="1"/>
        <v>2.465753424657513E-2</v>
      </c>
    </row>
    <row r="40" spans="2:20" ht="15">
      <c r="B40" s="20" t="s">
        <v>32</v>
      </c>
      <c r="C40" s="160">
        <f>H78+H79</f>
        <v>0.12602739726027398</v>
      </c>
      <c r="D40" s="24">
        <v>46</v>
      </c>
      <c r="E40" s="49">
        <f>SUM(O78:O79)</f>
        <v>0.72266448936170213</v>
      </c>
      <c r="F40" s="49">
        <f>SUM(I78:I79)</f>
        <v>33.242566510638298</v>
      </c>
      <c r="G40" s="165">
        <v>0.12602739726027398</v>
      </c>
      <c r="H40" s="166">
        <f t="shared" si="0"/>
        <v>0</v>
      </c>
      <c r="I40" s="34"/>
      <c r="J40" s="20" t="s">
        <v>32</v>
      </c>
      <c r="K40" s="27">
        <f>12.6027397260274%*(1-M40)</f>
        <v>0.10082191780821921</v>
      </c>
      <c r="L40" s="97">
        <f>SUM(F78:F79)</f>
        <v>1</v>
      </c>
      <c r="M40" s="149">
        <v>0.2</v>
      </c>
      <c r="O40" s="175">
        <f t="shared" si="1"/>
        <v>2.5205479452054771E-2</v>
      </c>
    </row>
    <row r="41" spans="2:20" s="14" customFormat="1">
      <c r="D41" s="148"/>
    </row>
    <row r="42" spans="2:20">
      <c r="C42" s="77"/>
      <c r="D42" s="25"/>
    </row>
    <row r="43" spans="2:20">
      <c r="B43" s="22" t="s">
        <v>147</v>
      </c>
      <c r="K43" s="25"/>
    </row>
    <row r="44" spans="2:20" ht="30">
      <c r="B44" s="68" t="s">
        <v>33</v>
      </c>
      <c r="C44" s="68" t="s">
        <v>15</v>
      </c>
      <c r="D44" s="68" t="s">
        <v>34</v>
      </c>
      <c r="E44" s="68" t="s">
        <v>35</v>
      </c>
      <c r="F44" s="151" t="s">
        <v>148</v>
      </c>
      <c r="G44" s="177" t="s">
        <v>200</v>
      </c>
      <c r="H44" s="177" t="s">
        <v>201</v>
      </c>
      <c r="I44" s="177" t="s">
        <v>202</v>
      </c>
      <c r="J44" s="176" t="s">
        <v>203</v>
      </c>
      <c r="K44" s="67" t="s">
        <v>149</v>
      </c>
      <c r="L44" s="67" t="s">
        <v>150</v>
      </c>
      <c r="M44" s="67" t="s">
        <v>151</v>
      </c>
      <c r="N44" s="67" t="s">
        <v>152</v>
      </c>
      <c r="O44" s="67" t="s">
        <v>153</v>
      </c>
      <c r="P44" s="5" t="s">
        <v>204</v>
      </c>
      <c r="R44" s="174"/>
      <c r="S44" s="259" t="s">
        <v>205</v>
      </c>
      <c r="T44" s="259"/>
    </row>
    <row r="45" spans="2:20" ht="15">
      <c r="B45" s="70">
        <v>1</v>
      </c>
      <c r="C45" s="69" t="s">
        <v>23</v>
      </c>
      <c r="D45" s="70" t="s">
        <v>40</v>
      </c>
      <c r="E45" s="69" t="s">
        <v>41</v>
      </c>
      <c r="F45" s="71">
        <v>0.4337349397590361</v>
      </c>
      <c r="G45" s="154">
        <f>F45*D$31</f>
        <v>14.746987951807228</v>
      </c>
      <c r="H45" s="158">
        <f>G45/$C$8</f>
        <v>4.0402706717280072E-2</v>
      </c>
      <c r="I45" s="152">
        <f>G45*N45</f>
        <v>49.850246168674694</v>
      </c>
      <c r="J45" s="71">
        <v>0.4337349397590361</v>
      </c>
      <c r="K45" s="88">
        <v>2.995031</v>
      </c>
      <c r="L45" s="88">
        <v>0.38144</v>
      </c>
      <c r="M45" s="88">
        <v>3.8969999999999999E-3</v>
      </c>
      <c r="N45" s="88">
        <f>SUM(K45:M45)</f>
        <v>3.3803679999999998</v>
      </c>
      <c r="O45" s="93">
        <f>F45*N45</f>
        <v>1.4661837108433733</v>
      </c>
      <c r="R45" s="174"/>
      <c r="S45" s="174" t="s">
        <v>206</v>
      </c>
      <c r="T45" s="174" t="s">
        <v>207</v>
      </c>
    </row>
    <row r="46" spans="2:20" ht="15">
      <c r="B46" s="70">
        <v>2</v>
      </c>
      <c r="C46" s="69" t="s">
        <v>23</v>
      </c>
      <c r="D46" s="70" t="s">
        <v>42</v>
      </c>
      <c r="E46" s="70" t="s">
        <v>41</v>
      </c>
      <c r="F46" s="72">
        <v>1.2048192771084336E-2</v>
      </c>
      <c r="G46" s="154">
        <f t="shared" ref="G46:G47" si="2">F46*D$31</f>
        <v>0.40963855421686746</v>
      </c>
      <c r="H46" s="158">
        <f t="shared" ref="H46:H88" si="3">G46/$C$8</f>
        <v>1.1222974088133356E-3</v>
      </c>
      <c r="I46" s="152">
        <f t="shared" ref="I46:I91" si="4">G46*N46</f>
        <v>1.5414784819277108</v>
      </c>
      <c r="J46" s="72">
        <v>1.2048192771084336E-2</v>
      </c>
      <c r="K46" s="88">
        <v>2.9989279999999998</v>
      </c>
      <c r="L46" s="88">
        <v>0.76137900000000003</v>
      </c>
      <c r="M46" s="88">
        <v>2.7139999999999998E-3</v>
      </c>
      <c r="N46" s="88">
        <f t="shared" ref="N46:N91" si="5">SUM(K46:M46)</f>
        <v>3.7630210000000002</v>
      </c>
      <c r="O46" s="93">
        <f t="shared" ref="O46:O91" si="6">F46*N46</f>
        <v>4.533760240963855E-2</v>
      </c>
      <c r="R46" s="174" t="s">
        <v>23</v>
      </c>
      <c r="S46" s="174" t="s">
        <v>208</v>
      </c>
      <c r="T46" s="174" t="s">
        <v>209</v>
      </c>
    </row>
    <row r="47" spans="2:20" ht="15">
      <c r="B47" s="70">
        <v>3</v>
      </c>
      <c r="C47" s="69" t="s">
        <v>23</v>
      </c>
      <c r="D47" s="70" t="s">
        <v>42</v>
      </c>
      <c r="E47" s="70" t="s">
        <v>43</v>
      </c>
      <c r="F47" s="72">
        <v>0.55421686746987953</v>
      </c>
      <c r="G47" s="154">
        <f t="shared" si="2"/>
        <v>18.843373493975903</v>
      </c>
      <c r="H47" s="158">
        <f t="shared" si="3"/>
        <v>5.1625680805413438E-2</v>
      </c>
      <c r="I47" s="152">
        <f t="shared" si="4"/>
        <v>68.450061686746992</v>
      </c>
      <c r="J47" s="72">
        <v>0.55421686746987953</v>
      </c>
      <c r="K47" s="88">
        <v>2.5277020000000001</v>
      </c>
      <c r="L47" s="88">
        <v>0.68049199999999999</v>
      </c>
      <c r="M47" s="88">
        <v>0.42438599999999999</v>
      </c>
      <c r="N47" s="88">
        <f t="shared" si="5"/>
        <v>3.6325800000000004</v>
      </c>
      <c r="O47" s="93">
        <f t="shared" si="6"/>
        <v>2.013237108433735</v>
      </c>
      <c r="R47" s="174" t="s">
        <v>22</v>
      </c>
      <c r="S47" s="174" t="s">
        <v>210</v>
      </c>
      <c r="T47" s="174" t="s">
        <v>211</v>
      </c>
    </row>
    <row r="48" spans="2:20" ht="15" hidden="1">
      <c r="B48" s="74">
        <v>4</v>
      </c>
      <c r="C48" s="73" t="s">
        <v>24</v>
      </c>
      <c r="D48" s="74" t="s">
        <v>40</v>
      </c>
      <c r="E48" s="73" t="s">
        <v>41</v>
      </c>
      <c r="F48" s="75">
        <v>0.36170212765957449</v>
      </c>
      <c r="G48" s="155">
        <f>F48*D$32</f>
        <v>0.72340425531914898</v>
      </c>
      <c r="H48" s="159">
        <f t="shared" si="3"/>
        <v>1.9819294666278053E-3</v>
      </c>
      <c r="I48" s="153">
        <f t="shared" si="4"/>
        <v>2.9964793191489369</v>
      </c>
      <c r="J48" s="75">
        <v>0.36170212765957449</v>
      </c>
      <c r="K48" s="89">
        <v>3.812459</v>
      </c>
      <c r="L48" s="89">
        <v>0.32567699999999999</v>
      </c>
      <c r="M48" s="89">
        <v>4.0559999999999997E-3</v>
      </c>
      <c r="N48" s="89">
        <f t="shared" si="5"/>
        <v>4.1421920000000005</v>
      </c>
      <c r="O48" s="94">
        <f t="shared" si="6"/>
        <v>1.4982396595744685</v>
      </c>
      <c r="R48" s="174"/>
      <c r="S48" s="174"/>
      <c r="T48" s="174"/>
    </row>
    <row r="49" spans="2:20" ht="15" hidden="1">
      <c r="B49" s="74">
        <v>5</v>
      </c>
      <c r="C49" s="73" t="s">
        <v>24</v>
      </c>
      <c r="D49" s="74" t="s">
        <v>42</v>
      </c>
      <c r="E49" s="73" t="s">
        <v>41</v>
      </c>
      <c r="F49" s="75">
        <v>0.63829787234042556</v>
      </c>
      <c r="G49" s="155">
        <f>F49*D$32</f>
        <v>1.2765957446808511</v>
      </c>
      <c r="H49" s="159">
        <f t="shared" si="3"/>
        <v>3.4975225881667153E-3</v>
      </c>
      <c r="I49" s="153">
        <f t="shared" si="4"/>
        <v>5.426002978723405</v>
      </c>
      <c r="J49" s="75">
        <v>0.63829787234042556</v>
      </c>
      <c r="K49" s="89">
        <v>3.812459</v>
      </c>
      <c r="L49" s="89">
        <v>0.43385400000000002</v>
      </c>
      <c r="M49" s="89">
        <v>4.0559999999999997E-3</v>
      </c>
      <c r="N49" s="89">
        <f t="shared" si="5"/>
        <v>4.2503690000000001</v>
      </c>
      <c r="O49" s="94">
        <f t="shared" si="6"/>
        <v>2.7130014893617025</v>
      </c>
      <c r="R49" s="174"/>
      <c r="S49" s="174"/>
      <c r="T49" s="174"/>
    </row>
    <row r="50" spans="2:20" ht="15" hidden="1">
      <c r="B50" s="70">
        <v>6</v>
      </c>
      <c r="C50" s="69" t="s">
        <v>21</v>
      </c>
      <c r="D50" s="70" t="s">
        <v>44</v>
      </c>
      <c r="E50" s="70" t="s">
        <v>45</v>
      </c>
      <c r="F50" s="72">
        <v>0.3</v>
      </c>
      <c r="G50" s="156">
        <f>F50*D$29</f>
        <v>0.6</v>
      </c>
      <c r="H50" s="158">
        <f t="shared" si="3"/>
        <v>1.643835616438356E-3</v>
      </c>
      <c r="I50" s="152">
        <f t="shared" si="4"/>
        <v>12.732062399999998</v>
      </c>
      <c r="J50" s="72">
        <v>0.3</v>
      </c>
      <c r="K50" s="88">
        <v>13.19894</v>
      </c>
      <c r="L50" s="88">
        <v>0.90092099999999997</v>
      </c>
      <c r="M50" s="88">
        <v>7.1202430000000003</v>
      </c>
      <c r="N50" s="88">
        <f t="shared" si="5"/>
        <v>21.220103999999999</v>
      </c>
      <c r="O50" s="93">
        <f t="shared" si="6"/>
        <v>6.3660311999999992</v>
      </c>
      <c r="R50" s="174"/>
      <c r="S50" s="174"/>
      <c r="T50" s="174"/>
    </row>
    <row r="51" spans="2:20" ht="15" hidden="1">
      <c r="B51" s="70">
        <v>7</v>
      </c>
      <c r="C51" s="69" t="s">
        <v>21</v>
      </c>
      <c r="D51" s="70" t="s">
        <v>42</v>
      </c>
      <c r="E51" s="70" t="s">
        <v>45</v>
      </c>
      <c r="F51" s="72">
        <v>0.7</v>
      </c>
      <c r="G51" s="156">
        <f>F51*D$29</f>
        <v>1.4</v>
      </c>
      <c r="H51" s="158">
        <f t="shared" si="3"/>
        <v>3.8356164383561643E-3</v>
      </c>
      <c r="I51" s="152">
        <f t="shared" si="4"/>
        <v>20.080145399999999</v>
      </c>
      <c r="J51" s="72">
        <v>0.7</v>
      </c>
      <c r="K51" s="88">
        <v>13.19894</v>
      </c>
      <c r="L51" s="88">
        <v>0.96768900000000002</v>
      </c>
      <c r="M51" s="88">
        <v>0.17633199999999999</v>
      </c>
      <c r="N51" s="88">
        <f t="shared" si="5"/>
        <v>14.342961000000001</v>
      </c>
      <c r="O51" s="93">
        <f t="shared" si="6"/>
        <v>10.0400727</v>
      </c>
      <c r="R51" s="174"/>
      <c r="S51" s="174"/>
      <c r="T51" s="174"/>
    </row>
    <row r="52" spans="2:20" ht="15">
      <c r="B52" s="74">
        <v>8</v>
      </c>
      <c r="C52" s="73" t="s">
        <v>22</v>
      </c>
      <c r="D52" s="74" t="s">
        <v>40</v>
      </c>
      <c r="E52" s="73" t="s">
        <v>46</v>
      </c>
      <c r="F52" s="75">
        <v>0.20987654320987653</v>
      </c>
      <c r="G52" s="155">
        <f>F52*D$30</f>
        <v>4.617283950617284</v>
      </c>
      <c r="H52" s="159">
        <f t="shared" si="3"/>
        <v>1.2650093015389819E-2</v>
      </c>
      <c r="I52" s="153">
        <f t="shared" si="4"/>
        <v>41.598714693827162</v>
      </c>
      <c r="J52" s="75">
        <v>0.20987654320987653</v>
      </c>
      <c r="K52" s="89">
        <v>7.22039819</v>
      </c>
      <c r="L52" s="89">
        <v>1.7484542000000001</v>
      </c>
      <c r="M52" s="89">
        <v>4.0494910000000002E-2</v>
      </c>
      <c r="N52" s="89">
        <f t="shared" si="5"/>
        <v>9.0093472999999999</v>
      </c>
      <c r="O52" s="94">
        <f t="shared" si="6"/>
        <v>1.8908506679012345</v>
      </c>
      <c r="R52" s="174" t="s">
        <v>20</v>
      </c>
      <c r="S52" s="174" t="s">
        <v>212</v>
      </c>
      <c r="T52" s="174" t="s">
        <v>213</v>
      </c>
    </row>
    <row r="53" spans="2:20" ht="15">
      <c r="B53" s="74">
        <v>9</v>
      </c>
      <c r="C53" s="73" t="s">
        <v>22</v>
      </c>
      <c r="D53" s="74" t="s">
        <v>44</v>
      </c>
      <c r="E53" s="74" t="s">
        <v>43</v>
      </c>
      <c r="F53" s="76">
        <v>0.12345679012345678</v>
      </c>
      <c r="G53" s="155">
        <f t="shared" ref="G53:G58" si="7">F53*D$30</f>
        <v>2.716049382716049</v>
      </c>
      <c r="H53" s="159">
        <f t="shared" si="3"/>
        <v>7.4412311855234217E-3</v>
      </c>
      <c r="I53" s="153">
        <f t="shared" si="4"/>
        <v>73.262804999999986</v>
      </c>
      <c r="J53" s="76">
        <v>0.12345679012345678</v>
      </c>
      <c r="K53" s="89">
        <v>7.2956225999999997</v>
      </c>
      <c r="L53" s="89">
        <v>0.81951735000000003</v>
      </c>
      <c r="M53" s="89">
        <v>18.8588928</v>
      </c>
      <c r="N53" s="89">
        <f t="shared" si="5"/>
        <v>26.974032749999999</v>
      </c>
      <c r="O53" s="94">
        <f t="shared" si="6"/>
        <v>3.3301274999999997</v>
      </c>
      <c r="R53" s="174" t="s">
        <v>25</v>
      </c>
      <c r="S53" s="174" t="s">
        <v>214</v>
      </c>
      <c r="T53" s="174" t="s">
        <v>215</v>
      </c>
    </row>
    <row r="54" spans="2:20" ht="15">
      <c r="B54" s="74">
        <v>10</v>
      </c>
      <c r="C54" s="73" t="s">
        <v>22</v>
      </c>
      <c r="D54" s="74" t="s">
        <v>44</v>
      </c>
      <c r="E54" s="74" t="s">
        <v>45</v>
      </c>
      <c r="F54" s="76">
        <v>4.9382716049382713E-2</v>
      </c>
      <c r="G54" s="155">
        <f t="shared" si="7"/>
        <v>1.0864197530864197</v>
      </c>
      <c r="H54" s="159">
        <f t="shared" si="3"/>
        <v>2.9764924742093691E-3</v>
      </c>
      <c r="I54" s="153">
        <f t="shared" si="4"/>
        <v>19.913945550617285</v>
      </c>
      <c r="J54" s="76">
        <v>4.9382716049382713E-2</v>
      </c>
      <c r="K54" s="89">
        <v>7.1395445799999999</v>
      </c>
      <c r="L54" s="89">
        <v>4.0700936900000002</v>
      </c>
      <c r="M54" s="89">
        <v>7.1202434300000004</v>
      </c>
      <c r="N54" s="89">
        <f t="shared" si="5"/>
        <v>18.329881700000001</v>
      </c>
      <c r="O54" s="94">
        <f t="shared" si="6"/>
        <v>0.90517934320987659</v>
      </c>
      <c r="R54" s="174" t="s">
        <v>28</v>
      </c>
      <c r="S54" s="174" t="s">
        <v>216</v>
      </c>
      <c r="T54" s="174" t="s">
        <v>217</v>
      </c>
    </row>
    <row r="55" spans="2:20" ht="15">
      <c r="B55" s="74">
        <v>11</v>
      </c>
      <c r="C55" s="73" t="s">
        <v>22</v>
      </c>
      <c r="D55" s="74" t="s">
        <v>42</v>
      </c>
      <c r="E55" s="74" t="s">
        <v>43</v>
      </c>
      <c r="F55" s="76">
        <v>0.29629629629629628</v>
      </c>
      <c r="G55" s="155">
        <f t="shared" si="7"/>
        <v>6.5185185185185182</v>
      </c>
      <c r="H55" s="159">
        <f t="shared" si="3"/>
        <v>1.7858954845256216E-2</v>
      </c>
      <c r="I55" s="153">
        <f t="shared" si="4"/>
        <v>55.837654074074074</v>
      </c>
      <c r="J55" s="76">
        <v>0.29629629629629628</v>
      </c>
      <c r="K55" s="89">
        <v>7.2956225999999997</v>
      </c>
      <c r="L55" s="89">
        <v>0.84836555000000002</v>
      </c>
      <c r="M55" s="89">
        <v>0.42201559999999999</v>
      </c>
      <c r="N55" s="89">
        <f t="shared" si="5"/>
        <v>8.5660037500000001</v>
      </c>
      <c r="O55" s="94">
        <f t="shared" si="6"/>
        <v>2.538075185185185</v>
      </c>
      <c r="R55" s="174" t="s">
        <v>218</v>
      </c>
      <c r="S55" s="174" t="s">
        <v>219</v>
      </c>
      <c r="T55" s="174" t="s">
        <v>220</v>
      </c>
    </row>
    <row r="56" spans="2:20" ht="15">
      <c r="B56" s="74">
        <v>12</v>
      </c>
      <c r="C56" s="73" t="s">
        <v>22</v>
      </c>
      <c r="D56" s="74" t="s">
        <v>42</v>
      </c>
      <c r="E56" s="74" t="s">
        <v>45</v>
      </c>
      <c r="F56" s="76">
        <v>9.8765432098765427E-2</v>
      </c>
      <c r="G56" s="155">
        <f t="shared" si="7"/>
        <v>2.1728395061728394</v>
      </c>
      <c r="H56" s="159">
        <f t="shared" si="3"/>
        <v>5.9529849484187382E-3</v>
      </c>
      <c r="I56" s="153">
        <f t="shared" si="4"/>
        <v>24.950074257777775</v>
      </c>
      <c r="J56" s="76">
        <v>9.8765432098765427E-2</v>
      </c>
      <c r="K56" s="89">
        <v>7.1395445799999999</v>
      </c>
      <c r="L56" s="89">
        <v>4.1668280099999997</v>
      </c>
      <c r="M56" s="89">
        <v>0.17633204</v>
      </c>
      <c r="N56" s="89">
        <f t="shared" si="5"/>
        <v>11.482704629999999</v>
      </c>
      <c r="O56" s="94">
        <f t="shared" si="6"/>
        <v>1.1340942844444444</v>
      </c>
      <c r="R56" s="174" t="s">
        <v>32</v>
      </c>
      <c r="S56" s="174" t="s">
        <v>221</v>
      </c>
      <c r="T56" s="174" t="s">
        <v>222</v>
      </c>
    </row>
    <row r="57" spans="2:20" ht="15">
      <c r="B57" s="74">
        <v>13</v>
      </c>
      <c r="C57" s="73" t="s">
        <v>22</v>
      </c>
      <c r="D57" s="74" t="s">
        <v>42</v>
      </c>
      <c r="E57" s="74" t="s">
        <v>47</v>
      </c>
      <c r="F57" s="76">
        <v>0.14814814814814814</v>
      </c>
      <c r="G57" s="155">
        <f t="shared" si="7"/>
        <v>3.2592592592592591</v>
      </c>
      <c r="H57" s="159">
        <f t="shared" si="3"/>
        <v>8.9294774226281078E-3</v>
      </c>
      <c r="I57" s="153">
        <f t="shared" si="4"/>
        <v>31.976668044444438</v>
      </c>
      <c r="J57" s="76">
        <v>0.14814814814814814</v>
      </c>
      <c r="K57" s="89">
        <v>7.0857764300000001</v>
      </c>
      <c r="L57" s="89">
        <v>2.3632220799999999</v>
      </c>
      <c r="M57" s="89">
        <v>0.36202464000000001</v>
      </c>
      <c r="N57" s="89">
        <f t="shared" si="5"/>
        <v>9.8110231499999987</v>
      </c>
      <c r="O57" s="94">
        <f t="shared" si="6"/>
        <v>1.4534849111111108</v>
      </c>
      <c r="R57" s="174" t="s">
        <v>31</v>
      </c>
      <c r="S57" s="174" t="s">
        <v>223</v>
      </c>
      <c r="T57" s="174" t="s">
        <v>224</v>
      </c>
    </row>
    <row r="58" spans="2:20" ht="15">
      <c r="B58" s="74">
        <v>14</v>
      </c>
      <c r="C58" s="73" t="s">
        <v>22</v>
      </c>
      <c r="D58" s="74" t="s">
        <v>42</v>
      </c>
      <c r="E58" s="74" t="s">
        <v>48</v>
      </c>
      <c r="F58" s="76">
        <v>7.407407407407407E-2</v>
      </c>
      <c r="G58" s="155">
        <f t="shared" si="7"/>
        <v>1.6296296296296295</v>
      </c>
      <c r="H58" s="159">
        <f t="shared" si="3"/>
        <v>4.4647387113140539E-3</v>
      </c>
      <c r="I58" s="153">
        <f t="shared" si="4"/>
        <v>15.258803657777776</v>
      </c>
      <c r="J58" s="76">
        <v>7.407407407407407E-2</v>
      </c>
      <c r="K58" s="89">
        <v>7.2956225999999997</v>
      </c>
      <c r="L58" s="89">
        <v>1.77765705</v>
      </c>
      <c r="M58" s="89">
        <v>0.29007714000000001</v>
      </c>
      <c r="N58" s="89">
        <f t="shared" si="5"/>
        <v>9.3633567899999992</v>
      </c>
      <c r="O58" s="94">
        <f t="shared" si="6"/>
        <v>0.6935819844444443</v>
      </c>
      <c r="R58" s="174" t="s">
        <v>225</v>
      </c>
      <c r="S58" s="174" t="s">
        <v>226</v>
      </c>
      <c r="T58" s="174" t="s">
        <v>227</v>
      </c>
    </row>
    <row r="59" spans="2:20" ht="15">
      <c r="B59" s="70">
        <v>15</v>
      </c>
      <c r="C59" s="69" t="s">
        <v>20</v>
      </c>
      <c r="D59" s="70" t="s">
        <v>44</v>
      </c>
      <c r="E59" s="70" t="s">
        <v>43</v>
      </c>
      <c r="F59" s="72">
        <v>0.17582417582417581</v>
      </c>
      <c r="G59" s="156">
        <f>F59*D$28</f>
        <v>0.52747252747252737</v>
      </c>
      <c r="H59" s="158">
        <f t="shared" si="3"/>
        <v>1.4451302122534997E-3</v>
      </c>
      <c r="I59" s="152">
        <f t="shared" si="4"/>
        <v>20.248207120879115</v>
      </c>
      <c r="J59" s="72">
        <v>0.17582417582417581</v>
      </c>
      <c r="K59" s="88">
        <v>18.833870000000001</v>
      </c>
      <c r="L59" s="88">
        <v>0.69446600000000003</v>
      </c>
      <c r="M59" s="88">
        <v>18.858889999999999</v>
      </c>
      <c r="N59" s="88">
        <f t="shared" si="5"/>
        <v>38.387225999999998</v>
      </c>
      <c r="O59" s="93">
        <f t="shared" si="6"/>
        <v>6.7494023736263724</v>
      </c>
      <c r="R59" s="174" t="s">
        <v>26</v>
      </c>
      <c r="S59" s="174" t="s">
        <v>228</v>
      </c>
      <c r="T59" s="174" t="s">
        <v>229</v>
      </c>
    </row>
    <row r="60" spans="2:20" ht="15">
      <c r="B60" s="70">
        <v>16</v>
      </c>
      <c r="C60" s="69" t="s">
        <v>20</v>
      </c>
      <c r="D60" s="70" t="s">
        <v>44</v>
      </c>
      <c r="E60" s="70" t="s">
        <v>45</v>
      </c>
      <c r="F60" s="72">
        <v>8.7912087912087905E-2</v>
      </c>
      <c r="G60" s="156">
        <f t="shared" ref="G60:G63" si="8">F60*D$28</f>
        <v>0.26373626373626369</v>
      </c>
      <c r="H60" s="158">
        <f t="shared" si="3"/>
        <v>7.2256510612674985E-4</v>
      </c>
      <c r="I60" s="152">
        <f t="shared" si="4"/>
        <v>7.2519072527472508</v>
      </c>
      <c r="J60" s="72">
        <v>8.7912087912087905E-2</v>
      </c>
      <c r="K60" s="88">
        <v>18.857240000000001</v>
      </c>
      <c r="L60" s="88">
        <v>1.5193319999999999</v>
      </c>
      <c r="M60" s="88">
        <v>7.1202430000000003</v>
      </c>
      <c r="N60" s="88">
        <f t="shared" si="5"/>
        <v>27.496814999999998</v>
      </c>
      <c r="O60" s="93">
        <f t="shared" si="6"/>
        <v>2.4173024175824174</v>
      </c>
      <c r="R60" s="174" t="s">
        <v>27</v>
      </c>
      <c r="S60" s="174" t="s">
        <v>230</v>
      </c>
      <c r="T60" s="174" t="s">
        <v>229</v>
      </c>
    </row>
    <row r="61" spans="2:20" ht="15">
      <c r="B61" s="70">
        <v>17</v>
      </c>
      <c r="C61" s="69" t="s">
        <v>20</v>
      </c>
      <c r="D61" s="70" t="s">
        <v>44</v>
      </c>
      <c r="E61" s="70" t="s">
        <v>49</v>
      </c>
      <c r="F61" s="72">
        <v>3.2967032967032968E-2</v>
      </c>
      <c r="G61" s="156">
        <f t="shared" si="8"/>
        <v>9.8901098901098883E-2</v>
      </c>
      <c r="H61" s="158">
        <f t="shared" si="3"/>
        <v>2.7096191479753119E-4</v>
      </c>
      <c r="I61" s="152">
        <f t="shared" si="4"/>
        <v>2.8968907252747247</v>
      </c>
      <c r="J61" s="72">
        <v>3.2967032967032968E-2</v>
      </c>
      <c r="K61" s="88">
        <v>18.760680000000001</v>
      </c>
      <c r="L61" s="88">
        <v>0.63292700000000002</v>
      </c>
      <c r="M61" s="88">
        <v>9.8971769999999992</v>
      </c>
      <c r="N61" s="88">
        <f t="shared" si="5"/>
        <v>29.290783999999999</v>
      </c>
      <c r="O61" s="93">
        <f t="shared" si="6"/>
        <v>0.96563024175824175</v>
      </c>
    </row>
    <row r="62" spans="2:20" ht="15">
      <c r="B62" s="70">
        <v>18</v>
      </c>
      <c r="C62" s="69" t="s">
        <v>20</v>
      </c>
      <c r="D62" s="70" t="s">
        <v>42</v>
      </c>
      <c r="E62" s="70" t="s">
        <v>43</v>
      </c>
      <c r="F62" s="72">
        <v>0.39560439560439559</v>
      </c>
      <c r="G62" s="156">
        <f t="shared" si="8"/>
        <v>1.1868131868131866</v>
      </c>
      <c r="H62" s="158">
        <f t="shared" si="3"/>
        <v>3.2515429775703741E-3</v>
      </c>
      <c r="I62" s="152">
        <f t="shared" si="4"/>
        <v>23.700534725274721</v>
      </c>
      <c r="J62" s="72">
        <v>0.39560439560439559</v>
      </c>
      <c r="K62" s="88">
        <v>18.833870000000001</v>
      </c>
      <c r="L62" s="88">
        <v>0.714009</v>
      </c>
      <c r="M62" s="88">
        <v>0.422016</v>
      </c>
      <c r="N62" s="88">
        <f t="shared" si="5"/>
        <v>19.969895000000001</v>
      </c>
      <c r="O62" s="93">
        <f t="shared" si="6"/>
        <v>7.9001782417582422</v>
      </c>
    </row>
    <row r="63" spans="2:20" ht="15">
      <c r="B63" s="70">
        <v>19</v>
      </c>
      <c r="C63" s="69" t="s">
        <v>20</v>
      </c>
      <c r="D63" s="70" t="s">
        <v>42</v>
      </c>
      <c r="E63" s="70" t="s">
        <v>45</v>
      </c>
      <c r="F63" s="72">
        <v>0.21978021978021978</v>
      </c>
      <c r="G63" s="156">
        <f t="shared" si="8"/>
        <v>0.65934065934065922</v>
      </c>
      <c r="H63" s="158">
        <f t="shared" si="3"/>
        <v>1.8064127653168746E-3</v>
      </c>
      <c r="I63" s="152">
        <f t="shared" si="4"/>
        <v>13.595388131868129</v>
      </c>
      <c r="J63" s="72">
        <v>0.21978021978021978</v>
      </c>
      <c r="K63" s="88">
        <v>18.857240000000001</v>
      </c>
      <c r="L63" s="88">
        <v>1.5861000000000001</v>
      </c>
      <c r="M63" s="88">
        <v>0.17633199999999999</v>
      </c>
      <c r="N63" s="88">
        <f t="shared" si="5"/>
        <v>20.619671999999998</v>
      </c>
      <c r="O63" s="93">
        <f t="shared" si="6"/>
        <v>4.5317960439560432</v>
      </c>
    </row>
    <row r="64" spans="2:20" ht="15">
      <c r="B64" s="70">
        <v>20</v>
      </c>
      <c r="C64" s="69" t="s">
        <v>20</v>
      </c>
      <c r="D64" s="70" t="s">
        <v>42</v>
      </c>
      <c r="E64" s="70" t="s">
        <v>49</v>
      </c>
      <c r="F64" s="72">
        <v>8.7912087912087905E-2</v>
      </c>
      <c r="G64" s="156">
        <f>F64*D$28</f>
        <v>0.26373626373626369</v>
      </c>
      <c r="H64" s="158">
        <f t="shared" si="3"/>
        <v>7.2256510612674985E-4</v>
      </c>
      <c r="I64" s="152">
        <f t="shared" si="4"/>
        <v>5.1810166153846149</v>
      </c>
      <c r="J64" s="72">
        <v>8.7912087912087905E-2</v>
      </c>
      <c r="K64" s="88">
        <v>18.760680000000001</v>
      </c>
      <c r="L64" s="88">
        <v>0.64853400000000005</v>
      </c>
      <c r="M64" s="88">
        <v>0.23547399999999999</v>
      </c>
      <c r="N64" s="88">
        <f t="shared" si="5"/>
        <v>19.644688000000002</v>
      </c>
      <c r="O64" s="93">
        <f t="shared" si="6"/>
        <v>1.7270055384615386</v>
      </c>
    </row>
    <row r="65" spans="2:15" ht="15">
      <c r="B65" s="74">
        <v>21</v>
      </c>
      <c r="C65" s="73" t="s">
        <v>25</v>
      </c>
      <c r="D65" s="74" t="s">
        <v>40</v>
      </c>
      <c r="E65" s="74" t="s">
        <v>41</v>
      </c>
      <c r="F65" s="76">
        <v>0.81</v>
      </c>
      <c r="G65" s="157">
        <f>F65*D$33</f>
        <v>17.82</v>
      </c>
      <c r="H65" s="159">
        <f t="shared" si="3"/>
        <v>4.8821917808219178E-2</v>
      </c>
      <c r="I65" s="153">
        <f t="shared" si="4"/>
        <v>55.393291799999993</v>
      </c>
      <c r="J65" s="76">
        <v>0.81</v>
      </c>
      <c r="K65" s="89">
        <v>3.0457689999999999</v>
      </c>
      <c r="L65" s="89">
        <v>5.5363000000000002E-2</v>
      </c>
      <c r="M65" s="89">
        <v>7.358E-3</v>
      </c>
      <c r="N65" s="89">
        <f t="shared" si="5"/>
        <v>3.1084899999999998</v>
      </c>
      <c r="O65" s="94">
        <f t="shared" si="6"/>
        <v>2.5178769000000001</v>
      </c>
    </row>
    <row r="66" spans="2:15" s="81" customFormat="1" ht="15">
      <c r="B66" s="78">
        <v>22</v>
      </c>
      <c r="C66" s="79" t="s">
        <v>25</v>
      </c>
      <c r="D66" s="78" t="s">
        <v>40</v>
      </c>
      <c r="E66" s="78" t="s">
        <v>50</v>
      </c>
      <c r="F66" s="80">
        <v>0.19</v>
      </c>
      <c r="G66" s="157">
        <f>F66*D$33</f>
        <v>4.18</v>
      </c>
      <c r="H66" s="159">
        <f t="shared" si="3"/>
        <v>1.1452054794520548E-2</v>
      </c>
      <c r="I66" s="153">
        <f t="shared" si="4"/>
        <v>12.354671339999999</v>
      </c>
      <c r="J66" s="80">
        <v>0.19</v>
      </c>
      <c r="K66" s="90">
        <v>2.924229</v>
      </c>
      <c r="L66" s="90">
        <v>3.1273000000000002E-2</v>
      </c>
      <c r="M66" s="90">
        <v>1.6100000000000001E-4</v>
      </c>
      <c r="N66" s="90">
        <f t="shared" si="5"/>
        <v>2.9556629999999999</v>
      </c>
      <c r="O66" s="95">
        <f t="shared" si="6"/>
        <v>0.56157597000000004</v>
      </c>
    </row>
    <row r="67" spans="2:15" ht="15">
      <c r="B67" s="70">
        <v>23</v>
      </c>
      <c r="C67" s="69" t="s">
        <v>28</v>
      </c>
      <c r="D67" s="70" t="s">
        <v>51</v>
      </c>
      <c r="E67" s="70" t="s">
        <v>41</v>
      </c>
      <c r="F67" s="72">
        <v>9.0308370044052858E-2</v>
      </c>
      <c r="G67" s="156">
        <f>F67*D$36</f>
        <v>6.5022026431718061</v>
      </c>
      <c r="H67" s="158">
        <f t="shared" si="3"/>
        <v>1.7814253816909056E-2</v>
      </c>
      <c r="I67" s="152">
        <f t="shared" si="4"/>
        <v>2.4878402643171809</v>
      </c>
      <c r="J67" s="72">
        <v>9.0308370044052858E-2</v>
      </c>
      <c r="K67" s="88">
        <v>0.19164700000000001</v>
      </c>
      <c r="L67" s="88">
        <v>0.10198699999999999</v>
      </c>
      <c r="M67" s="88">
        <v>8.8981000000000005E-2</v>
      </c>
      <c r="N67" s="88">
        <f t="shared" si="5"/>
        <v>0.38261500000000004</v>
      </c>
      <c r="O67" s="93">
        <f t="shared" si="6"/>
        <v>3.4553337004405285E-2</v>
      </c>
    </row>
    <row r="68" spans="2:15" ht="15">
      <c r="B68" s="70">
        <v>24</v>
      </c>
      <c r="C68" s="69" t="s">
        <v>28</v>
      </c>
      <c r="D68" s="70" t="s">
        <v>51</v>
      </c>
      <c r="E68" s="70" t="s">
        <v>52</v>
      </c>
      <c r="F68" s="72">
        <v>9.2511013215859028E-2</v>
      </c>
      <c r="G68" s="156">
        <f t="shared" ref="G68:G75" si="9">F68*D$36</f>
        <v>6.6607929515418505</v>
      </c>
      <c r="H68" s="158">
        <f t="shared" si="3"/>
        <v>1.8248747812443424E-2</v>
      </c>
      <c r="I68" s="152">
        <f t="shared" si="4"/>
        <v>2.6038305198237888</v>
      </c>
      <c r="J68" s="72">
        <v>9.2511013215859028E-2</v>
      </c>
      <c r="K68" s="88">
        <v>0.199766</v>
      </c>
      <c r="L68" s="88">
        <v>0.10198699999999999</v>
      </c>
      <c r="M68" s="88">
        <v>8.9165999999999995E-2</v>
      </c>
      <c r="N68" s="88">
        <f t="shared" si="5"/>
        <v>0.39091900000000002</v>
      </c>
      <c r="O68" s="93">
        <f t="shared" si="6"/>
        <v>3.6164312775330394E-2</v>
      </c>
    </row>
    <row r="69" spans="2:15" ht="15">
      <c r="B69" s="70">
        <v>25</v>
      </c>
      <c r="C69" s="69" t="s">
        <v>28</v>
      </c>
      <c r="D69" s="70" t="s">
        <v>53</v>
      </c>
      <c r="E69" s="70" t="s">
        <v>41</v>
      </c>
      <c r="F69" s="72">
        <v>0.21806167400881057</v>
      </c>
      <c r="G69" s="156">
        <f t="shared" si="9"/>
        <v>15.700440528634362</v>
      </c>
      <c r="H69" s="158">
        <f t="shared" si="3"/>
        <v>4.3014905557902362E-2</v>
      </c>
      <c r="I69" s="152">
        <f t="shared" si="4"/>
        <v>4.9987376563876653</v>
      </c>
      <c r="J69" s="72">
        <v>0.21806167400881057</v>
      </c>
      <c r="K69" s="88">
        <v>0.127414</v>
      </c>
      <c r="L69" s="88">
        <v>0.10198699999999999</v>
      </c>
      <c r="M69" s="88">
        <v>8.8981000000000005E-2</v>
      </c>
      <c r="N69" s="88">
        <f t="shared" si="5"/>
        <v>0.318382</v>
      </c>
      <c r="O69" s="93">
        <f t="shared" si="6"/>
        <v>6.9426911894273122E-2</v>
      </c>
    </row>
    <row r="70" spans="2:15" ht="15">
      <c r="B70" s="70">
        <v>26</v>
      </c>
      <c r="C70" s="69" t="s">
        <v>28</v>
      </c>
      <c r="D70" s="70" t="s">
        <v>54</v>
      </c>
      <c r="E70" s="70" t="s">
        <v>41</v>
      </c>
      <c r="F70" s="72">
        <v>0.21365638766519823</v>
      </c>
      <c r="G70" s="156">
        <f t="shared" si="9"/>
        <v>15.383259911894273</v>
      </c>
      <c r="H70" s="158">
        <f t="shared" si="3"/>
        <v>4.2145917566833627E-2</v>
      </c>
      <c r="I70" s="152">
        <f t="shared" si="4"/>
        <v>5.1542842995594711</v>
      </c>
      <c r="J70" s="72">
        <v>0.21365638766519823</v>
      </c>
      <c r="K70" s="88">
        <v>0.14409</v>
      </c>
      <c r="L70" s="88">
        <v>0.10198699999999999</v>
      </c>
      <c r="M70" s="88">
        <v>8.8981000000000005E-2</v>
      </c>
      <c r="N70" s="88">
        <f t="shared" si="5"/>
        <v>0.33505799999999997</v>
      </c>
      <c r="O70" s="93">
        <f t="shared" si="6"/>
        <v>7.1587281938325989E-2</v>
      </c>
    </row>
    <row r="71" spans="2:15" ht="15">
      <c r="B71" s="70">
        <v>27</v>
      </c>
      <c r="C71" s="69" t="s">
        <v>28</v>
      </c>
      <c r="D71" s="70" t="s">
        <v>55</v>
      </c>
      <c r="E71" s="70" t="s">
        <v>41</v>
      </c>
      <c r="F71" s="72">
        <v>0.18502202643171806</v>
      </c>
      <c r="G71" s="156">
        <f t="shared" si="9"/>
        <v>13.321585903083701</v>
      </c>
      <c r="H71" s="158">
        <f t="shared" si="3"/>
        <v>3.6497495624886848E-2</v>
      </c>
      <c r="I71" s="152">
        <f t="shared" si="4"/>
        <v>3.7843961233480177</v>
      </c>
      <c r="J71" s="72">
        <v>0.18502202643171806</v>
      </c>
      <c r="K71" s="88">
        <v>9.3112E-2</v>
      </c>
      <c r="L71" s="88">
        <v>0.10198699999999999</v>
      </c>
      <c r="M71" s="88">
        <v>8.8981000000000005E-2</v>
      </c>
      <c r="N71" s="88">
        <f t="shared" si="5"/>
        <v>0.28408</v>
      </c>
      <c r="O71" s="93">
        <f t="shared" si="6"/>
        <v>5.2561057268722462E-2</v>
      </c>
    </row>
    <row r="72" spans="2:15" ht="15">
      <c r="B72" s="70">
        <v>28</v>
      </c>
      <c r="C72" s="69" t="s">
        <v>28</v>
      </c>
      <c r="D72" s="70" t="s">
        <v>56</v>
      </c>
      <c r="E72" s="70" t="s">
        <v>45</v>
      </c>
      <c r="F72" s="72">
        <v>5.2863436123348012E-2</v>
      </c>
      <c r="G72" s="156">
        <f t="shared" si="9"/>
        <v>3.8061674008810567</v>
      </c>
      <c r="H72" s="158">
        <f t="shared" si="3"/>
        <v>1.0427855892824812E-2</v>
      </c>
      <c r="I72" s="152">
        <f t="shared" si="4"/>
        <v>1.9041494273127753</v>
      </c>
      <c r="J72" s="72">
        <v>5.2863436123348012E-2</v>
      </c>
      <c r="K72" s="88">
        <v>0.19825000000000001</v>
      </c>
      <c r="L72" s="88">
        <v>9.6673999999999996E-2</v>
      </c>
      <c r="M72" s="88">
        <v>0.20535600000000001</v>
      </c>
      <c r="N72" s="88">
        <f t="shared" si="5"/>
        <v>0.50028000000000006</v>
      </c>
      <c r="O72" s="93">
        <f t="shared" si="6"/>
        <v>2.6446519823788546E-2</v>
      </c>
    </row>
    <row r="73" spans="2:15" ht="15">
      <c r="B73" s="70">
        <v>29</v>
      </c>
      <c r="C73" s="69" t="s">
        <v>28</v>
      </c>
      <c r="D73" s="70" t="s">
        <v>56</v>
      </c>
      <c r="E73" s="70" t="s">
        <v>57</v>
      </c>
      <c r="F73" s="72">
        <v>6.8281938325991193E-2</v>
      </c>
      <c r="G73" s="156">
        <f t="shared" si="9"/>
        <v>4.9162995594713657</v>
      </c>
      <c r="H73" s="158">
        <f t="shared" si="3"/>
        <v>1.3469313861565385E-2</v>
      </c>
      <c r="I73" s="152">
        <f t="shared" si="4"/>
        <v>4.9008918766519827</v>
      </c>
      <c r="J73" s="72">
        <v>6.8281938325991193E-2</v>
      </c>
      <c r="K73" s="88">
        <v>0.156613</v>
      </c>
      <c r="L73" s="88">
        <v>9.6673999999999996E-2</v>
      </c>
      <c r="M73" s="88">
        <v>0.74357899999999999</v>
      </c>
      <c r="N73" s="88">
        <f t="shared" si="5"/>
        <v>0.99686600000000003</v>
      </c>
      <c r="O73" s="93">
        <f t="shared" si="6"/>
        <v>6.8067942731277545E-2</v>
      </c>
    </row>
    <row r="74" spans="2:15" ht="15">
      <c r="B74" s="70">
        <v>30</v>
      </c>
      <c r="C74" s="69" t="s">
        <v>28</v>
      </c>
      <c r="D74" s="70" t="s">
        <v>56</v>
      </c>
      <c r="E74" s="70" t="s">
        <v>58</v>
      </c>
      <c r="F74" s="72">
        <v>4.405286343612335E-2</v>
      </c>
      <c r="G74" s="156">
        <f t="shared" si="9"/>
        <v>3.1718061674008813</v>
      </c>
      <c r="H74" s="158">
        <f t="shared" si="3"/>
        <v>8.689879910687346E-3</v>
      </c>
      <c r="I74" s="152">
        <f t="shared" si="4"/>
        <v>1.8836151541850221</v>
      </c>
      <c r="J74" s="72">
        <v>4.405286343612335E-2</v>
      </c>
      <c r="K74" s="88">
        <v>0.196074</v>
      </c>
      <c r="L74" s="88">
        <v>0.10198699999999999</v>
      </c>
      <c r="M74" s="88">
        <v>0.29580099999999998</v>
      </c>
      <c r="N74" s="88">
        <f t="shared" si="5"/>
        <v>0.593862</v>
      </c>
      <c r="O74" s="93">
        <f t="shared" si="6"/>
        <v>2.6161321585903084E-2</v>
      </c>
    </row>
    <row r="75" spans="2:15" ht="15">
      <c r="B75" s="70">
        <v>31</v>
      </c>
      <c r="C75" s="69" t="s">
        <v>28</v>
      </c>
      <c r="D75" s="70" t="s">
        <v>56</v>
      </c>
      <c r="E75" s="70" t="s">
        <v>59</v>
      </c>
      <c r="F75" s="72">
        <v>3.5242290748898682E-2</v>
      </c>
      <c r="G75" s="156">
        <f t="shared" si="9"/>
        <v>2.537444933920705</v>
      </c>
      <c r="H75" s="158">
        <f t="shared" si="3"/>
        <v>6.9519039285498765E-3</v>
      </c>
      <c r="I75" s="152">
        <f t="shared" si="4"/>
        <v>1.4368840176211455</v>
      </c>
      <c r="J75" s="72">
        <v>3.5242290748898682E-2</v>
      </c>
      <c r="K75" s="88">
        <v>0.18069099999999999</v>
      </c>
      <c r="L75" s="88">
        <v>0.10312</v>
      </c>
      <c r="M75" s="88">
        <v>0.28246100000000002</v>
      </c>
      <c r="N75" s="88">
        <f t="shared" si="5"/>
        <v>0.566272</v>
      </c>
      <c r="O75" s="93">
        <f t="shared" si="6"/>
        <v>1.9956722466960355E-2</v>
      </c>
    </row>
    <row r="76" spans="2:15" ht="15">
      <c r="B76" s="74">
        <v>32</v>
      </c>
      <c r="C76" s="73" t="s">
        <v>30</v>
      </c>
      <c r="D76" s="74" t="s">
        <v>119</v>
      </c>
      <c r="E76" s="74" t="s">
        <v>154</v>
      </c>
      <c r="F76" s="76">
        <v>0.97</v>
      </c>
      <c r="G76" s="157">
        <f>F76*D$38</f>
        <v>77.599999999999994</v>
      </c>
      <c r="H76" s="159">
        <f t="shared" si="3"/>
        <v>0.21260273972602739</v>
      </c>
      <c r="I76" s="153">
        <f t="shared" si="4"/>
        <v>64.935504106666656</v>
      </c>
      <c r="J76" s="76">
        <v>0.97</v>
      </c>
      <c r="K76" s="89">
        <v>0.50836139999999996</v>
      </c>
      <c r="L76" s="89">
        <v>0.1616524</v>
      </c>
      <c r="M76" s="89">
        <v>0.16678393333333333</v>
      </c>
      <c r="N76" s="89">
        <f t="shared" si="5"/>
        <v>0.83679773333333329</v>
      </c>
      <c r="O76" s="94">
        <f t="shared" si="6"/>
        <v>0.81169380133333324</v>
      </c>
    </row>
    <row r="77" spans="2:15" ht="15">
      <c r="B77" s="78">
        <v>33</v>
      </c>
      <c r="C77" s="79" t="s">
        <v>30</v>
      </c>
      <c r="D77" s="78" t="s">
        <v>119</v>
      </c>
      <c r="E77" s="78" t="s">
        <v>50</v>
      </c>
      <c r="F77" s="80">
        <v>0.03</v>
      </c>
      <c r="G77" s="157">
        <f>F77*D$38</f>
        <v>2.4</v>
      </c>
      <c r="H77" s="159">
        <f t="shared" si="3"/>
        <v>6.5753424657534242E-3</v>
      </c>
      <c r="I77" s="153">
        <f t="shared" si="4"/>
        <v>0.58971599999999991</v>
      </c>
      <c r="J77" s="80">
        <v>0.03</v>
      </c>
      <c r="K77" s="90">
        <v>4.8299000000000002E-2</v>
      </c>
      <c r="L77" s="90">
        <v>0.18532499999999999</v>
      </c>
      <c r="M77" s="90">
        <v>1.2090999999999999E-2</v>
      </c>
      <c r="N77" s="90">
        <f t="shared" si="5"/>
        <v>0.24571499999999999</v>
      </c>
      <c r="O77" s="95">
        <f t="shared" si="6"/>
        <v>7.371449999999999E-3</v>
      </c>
    </row>
    <row r="78" spans="2:15" ht="15">
      <c r="B78" s="70">
        <v>48</v>
      </c>
      <c r="C78" s="69" t="s">
        <v>32</v>
      </c>
      <c r="D78" s="70" t="s">
        <v>32</v>
      </c>
      <c r="E78" s="70" t="s">
        <v>45</v>
      </c>
      <c r="F78" s="72">
        <v>0.63829787234042556</v>
      </c>
      <c r="G78" s="156">
        <f>F78*D$40</f>
        <v>29.361702127659576</v>
      </c>
      <c r="H78" s="158">
        <f t="shared" si="3"/>
        <v>8.0443019527834461E-2</v>
      </c>
      <c r="I78" s="152">
        <f t="shared" si="4"/>
        <v>17.882539148936171</v>
      </c>
      <c r="J78" s="72">
        <v>0.63829787234042556</v>
      </c>
      <c r="K78" s="88">
        <v>0.44561099999999998</v>
      </c>
      <c r="L78" s="88">
        <v>3.3017999999999999E-2</v>
      </c>
      <c r="M78" s="88">
        <v>0.130414</v>
      </c>
      <c r="N78" s="88">
        <f t="shared" si="5"/>
        <v>0.609043</v>
      </c>
      <c r="O78" s="93">
        <f t="shared" si="6"/>
        <v>0.38875085106382978</v>
      </c>
    </row>
    <row r="79" spans="2:15" ht="15">
      <c r="B79" s="70">
        <v>49</v>
      </c>
      <c r="C79" s="69" t="s">
        <v>32</v>
      </c>
      <c r="D79" s="70" t="s">
        <v>32</v>
      </c>
      <c r="E79" s="70" t="s">
        <v>57</v>
      </c>
      <c r="F79" s="72">
        <v>0.36170212765957449</v>
      </c>
      <c r="G79" s="156">
        <f>F79*D$40</f>
        <v>16.638297872340427</v>
      </c>
      <c r="H79" s="158">
        <f t="shared" si="3"/>
        <v>4.5584377732439528E-2</v>
      </c>
      <c r="I79" s="152">
        <f t="shared" si="4"/>
        <v>15.36002736170213</v>
      </c>
      <c r="J79" s="72">
        <v>0.36170212765957449</v>
      </c>
      <c r="K79" s="88">
        <v>0.49074200000000001</v>
      </c>
      <c r="L79" s="88">
        <v>3.2978E-2</v>
      </c>
      <c r="M79" s="88">
        <v>0.399453</v>
      </c>
      <c r="N79" s="88">
        <f t="shared" si="5"/>
        <v>0.92317300000000002</v>
      </c>
      <c r="O79" s="93">
        <f t="shared" si="6"/>
        <v>0.33391363829787235</v>
      </c>
    </row>
    <row r="80" spans="2:15" ht="15">
      <c r="B80" s="74">
        <v>50</v>
      </c>
      <c r="C80" s="73" t="s">
        <v>31</v>
      </c>
      <c r="D80" s="74" t="s">
        <v>31</v>
      </c>
      <c r="E80" s="74" t="s">
        <v>70</v>
      </c>
      <c r="F80" s="76">
        <v>0.43478260869565222</v>
      </c>
      <c r="G80" s="157">
        <f>F80*D$39</f>
        <v>19.565217391304351</v>
      </c>
      <c r="H80" s="159">
        <f t="shared" si="3"/>
        <v>5.3603335318642059E-2</v>
      </c>
      <c r="I80" s="153">
        <f t="shared" si="4"/>
        <v>49.565386956521749</v>
      </c>
      <c r="J80" s="76">
        <v>0.43478260869565222</v>
      </c>
      <c r="K80" s="89">
        <v>2.6889720000000001</v>
      </c>
      <c r="L80" s="89">
        <v>-0.18823500000000001</v>
      </c>
      <c r="M80" s="89">
        <v>3.2605000000000002E-2</v>
      </c>
      <c r="N80" s="89">
        <f t="shared" si="5"/>
        <v>2.5333420000000002</v>
      </c>
      <c r="O80" s="94">
        <f t="shared" si="6"/>
        <v>1.101453043478261</v>
      </c>
    </row>
    <row r="81" spans="2:15" ht="15">
      <c r="B81" s="74">
        <v>51</v>
      </c>
      <c r="C81" s="73" t="s">
        <v>31</v>
      </c>
      <c r="D81" s="74" t="s">
        <v>31</v>
      </c>
      <c r="E81" s="74" t="s">
        <v>66</v>
      </c>
      <c r="F81" s="76">
        <v>0.31521739130434784</v>
      </c>
      <c r="G81" s="157">
        <f>F81*D$39</f>
        <v>14.184782608695652</v>
      </c>
      <c r="H81" s="159">
        <f t="shared" si="3"/>
        <v>3.8862418106015484E-2</v>
      </c>
      <c r="I81" s="153">
        <f t="shared" si="4"/>
        <v>37.89660423913044</v>
      </c>
      <c r="J81" s="76">
        <v>0.31521739130434784</v>
      </c>
      <c r="K81" s="89">
        <v>2.9543300000000001</v>
      </c>
      <c r="L81" s="89">
        <v>-0.33082</v>
      </c>
      <c r="M81" s="89">
        <v>4.8127999999999997E-2</v>
      </c>
      <c r="N81" s="89">
        <f t="shared" si="5"/>
        <v>2.6716380000000002</v>
      </c>
      <c r="O81" s="94">
        <f t="shared" si="6"/>
        <v>0.8421467608695653</v>
      </c>
    </row>
    <row r="82" spans="2:15" ht="15">
      <c r="B82" s="74">
        <v>52</v>
      </c>
      <c r="C82" s="73" t="s">
        <v>31</v>
      </c>
      <c r="D82" s="74" t="s">
        <v>31</v>
      </c>
      <c r="E82" s="74" t="s">
        <v>71</v>
      </c>
      <c r="F82" s="76">
        <v>0.25000000000000006</v>
      </c>
      <c r="G82" s="157">
        <f>F82*D$39</f>
        <v>11.250000000000002</v>
      </c>
      <c r="H82" s="159">
        <f t="shared" si="3"/>
        <v>3.0821917808219183E-2</v>
      </c>
      <c r="I82" s="153">
        <f t="shared" si="4"/>
        <v>28.332945000000002</v>
      </c>
      <c r="J82" s="76">
        <v>0.25000000000000006</v>
      </c>
      <c r="K82" s="89">
        <v>2.6889720000000001</v>
      </c>
      <c r="L82" s="89">
        <v>-0.221641</v>
      </c>
      <c r="M82" s="89">
        <v>5.1152999999999997E-2</v>
      </c>
      <c r="N82" s="89">
        <f t="shared" si="5"/>
        <v>2.5184839999999999</v>
      </c>
      <c r="O82" s="94">
        <f t="shared" si="6"/>
        <v>0.6296210000000001</v>
      </c>
    </row>
    <row r="83" spans="2:15" ht="15">
      <c r="B83" s="70">
        <v>53</v>
      </c>
      <c r="C83" s="69" t="s">
        <v>125</v>
      </c>
      <c r="D83" s="70" t="s">
        <v>119</v>
      </c>
      <c r="E83" s="70" t="s">
        <v>154</v>
      </c>
      <c r="F83" s="72">
        <v>0.87</v>
      </c>
      <c r="G83" s="156">
        <f>F83*D$37</f>
        <v>13.92</v>
      </c>
      <c r="H83" s="158">
        <f t="shared" si="3"/>
        <v>3.8136986301369864E-2</v>
      </c>
      <c r="I83" s="152">
        <f t="shared" si="4"/>
        <v>5.7098587200000006</v>
      </c>
      <c r="J83" s="72">
        <v>0.87</v>
      </c>
      <c r="K83" s="88">
        <v>0.23339199999999999</v>
      </c>
      <c r="L83" s="88">
        <v>0.10185740000000001</v>
      </c>
      <c r="M83" s="91">
        <v>7.4941599999999997E-2</v>
      </c>
      <c r="N83" s="88">
        <f t="shared" si="5"/>
        <v>0.41019100000000003</v>
      </c>
      <c r="O83" s="93">
        <f t="shared" si="6"/>
        <v>0.35686617000000004</v>
      </c>
    </row>
    <row r="84" spans="2:15" s="81" customFormat="1" ht="15">
      <c r="B84" s="82">
        <v>55</v>
      </c>
      <c r="C84" s="83" t="s">
        <v>125</v>
      </c>
      <c r="D84" s="82" t="s">
        <v>119</v>
      </c>
      <c r="E84" s="82" t="s">
        <v>50</v>
      </c>
      <c r="F84" s="84">
        <v>0.13</v>
      </c>
      <c r="G84" s="156">
        <f>F84*D$37</f>
        <v>2.08</v>
      </c>
      <c r="H84" s="158">
        <f t="shared" si="3"/>
        <v>5.6986301369863013E-3</v>
      </c>
      <c r="I84" s="152">
        <f t="shared" si="4"/>
        <v>1.0867292799999999</v>
      </c>
      <c r="J84" s="84">
        <v>0.13</v>
      </c>
      <c r="K84" s="92">
        <v>0.41837200000000002</v>
      </c>
      <c r="L84" s="92">
        <v>0.10102999999999999</v>
      </c>
      <c r="M84" s="92">
        <v>3.0640000000000003E-3</v>
      </c>
      <c r="N84" s="92">
        <f t="shared" si="5"/>
        <v>0.52246599999999999</v>
      </c>
      <c r="O84" s="96">
        <f t="shared" si="6"/>
        <v>6.7920579999999994E-2</v>
      </c>
    </row>
    <row r="85" spans="2:15" ht="15">
      <c r="B85" s="74">
        <v>64</v>
      </c>
      <c r="C85" s="73" t="s">
        <v>26</v>
      </c>
      <c r="D85" s="74" t="s">
        <v>119</v>
      </c>
      <c r="E85" s="74" t="s">
        <v>154</v>
      </c>
      <c r="F85" s="76">
        <v>0.95</v>
      </c>
      <c r="G85" s="157">
        <f>F85*D$34</f>
        <v>14.25</v>
      </c>
      <c r="H85" s="159">
        <f t="shared" si="3"/>
        <v>3.9041095890410958E-2</v>
      </c>
      <c r="I85" s="153">
        <f t="shared" si="4"/>
        <v>79.842788678571424</v>
      </c>
      <c r="J85" s="76">
        <v>0.95</v>
      </c>
      <c r="K85" s="89">
        <v>3.0364174285714287</v>
      </c>
      <c r="L85" s="89">
        <v>0.69458014285714287</v>
      </c>
      <c r="M85" s="89">
        <v>1.8720051428571429</v>
      </c>
      <c r="N85" s="89">
        <f t="shared" si="5"/>
        <v>5.6030027142857142</v>
      </c>
      <c r="O85" s="94">
        <f t="shared" si="6"/>
        <v>5.3228525785714282</v>
      </c>
    </row>
    <row r="86" spans="2:15" s="81" customFormat="1" ht="15">
      <c r="B86" s="78">
        <v>72</v>
      </c>
      <c r="C86" s="79" t="s">
        <v>26</v>
      </c>
      <c r="D86" s="78" t="s">
        <v>119</v>
      </c>
      <c r="E86" s="78" t="s">
        <v>50</v>
      </c>
      <c r="F86" s="80">
        <v>0.05</v>
      </c>
      <c r="G86" s="157">
        <f>F86*D$34</f>
        <v>0.75</v>
      </c>
      <c r="H86" s="159">
        <f t="shared" si="3"/>
        <v>2.054794520547945E-3</v>
      </c>
      <c r="I86" s="153">
        <f t="shared" si="4"/>
        <v>2.9973498749999998</v>
      </c>
      <c r="J86" s="80">
        <v>0.05</v>
      </c>
      <c r="K86" s="90">
        <v>3.1400224999999997</v>
      </c>
      <c r="L86" s="90">
        <v>0.84133849999999999</v>
      </c>
      <c r="M86" s="90">
        <v>1.5105500000000001E-2</v>
      </c>
      <c r="N86" s="90">
        <f t="shared" si="5"/>
        <v>3.9964664999999999</v>
      </c>
      <c r="O86" s="95">
        <f t="shared" si="6"/>
        <v>0.199823325</v>
      </c>
    </row>
    <row r="87" spans="2:15" ht="15">
      <c r="B87" s="70">
        <v>73</v>
      </c>
      <c r="C87" s="69" t="s">
        <v>27</v>
      </c>
      <c r="D87" s="70" t="s">
        <v>119</v>
      </c>
      <c r="E87" s="70" t="s">
        <v>154</v>
      </c>
      <c r="F87" s="72">
        <v>0.98</v>
      </c>
      <c r="G87" s="156">
        <f>F87*D$35</f>
        <v>5.879999999999999</v>
      </c>
      <c r="H87" s="158">
        <f t="shared" si="3"/>
        <v>1.6109589041095888E-2</v>
      </c>
      <c r="I87" s="152">
        <f t="shared" si="4"/>
        <v>30.949749782174994</v>
      </c>
      <c r="J87" s="72">
        <v>0.98</v>
      </c>
      <c r="K87" s="88">
        <v>4.2625649156249992</v>
      </c>
      <c r="L87" s="88">
        <v>0.84579806062499996</v>
      </c>
      <c r="M87" s="88">
        <v>0.15519991187499996</v>
      </c>
      <c r="N87" s="88">
        <f t="shared" si="5"/>
        <v>5.2635628881249996</v>
      </c>
      <c r="O87" s="93">
        <f t="shared" si="6"/>
        <v>5.1582916303624993</v>
      </c>
    </row>
    <row r="88" spans="2:15" s="81" customFormat="1" ht="15">
      <c r="B88" s="82">
        <v>77</v>
      </c>
      <c r="C88" s="83" t="s">
        <v>27</v>
      </c>
      <c r="D88" s="82" t="s">
        <v>119</v>
      </c>
      <c r="E88" s="82" t="s">
        <v>50</v>
      </c>
      <c r="F88" s="84">
        <v>0.02</v>
      </c>
      <c r="G88" s="156">
        <f>F88*D$35</f>
        <v>0.11999999999999998</v>
      </c>
      <c r="H88" s="158">
        <f t="shared" si="3"/>
        <v>3.2876712328767119E-4</v>
      </c>
      <c r="I88" s="152">
        <f t="shared" si="4"/>
        <v>0.61663493039999995</v>
      </c>
      <c r="J88" s="84">
        <v>0.02</v>
      </c>
      <c r="K88" s="92">
        <v>4.5079172600000001</v>
      </c>
      <c r="L88" s="92">
        <v>0.61092601000000002</v>
      </c>
      <c r="M88" s="92">
        <v>1.9781150000000001E-2</v>
      </c>
      <c r="N88" s="92">
        <f t="shared" si="5"/>
        <v>5.1386244200000002</v>
      </c>
      <c r="O88" s="96">
        <f t="shared" si="6"/>
        <v>0.1027724884</v>
      </c>
    </row>
    <row r="89" spans="2:15">
      <c r="B89" s="146">
        <v>78</v>
      </c>
      <c r="C89" s="146" t="s">
        <v>155</v>
      </c>
      <c r="D89" s="146" t="s">
        <v>119</v>
      </c>
      <c r="E89" s="146" t="s">
        <v>50</v>
      </c>
      <c r="F89" s="147">
        <v>1</v>
      </c>
      <c r="G89" s="146"/>
      <c r="H89" s="159"/>
      <c r="I89" s="153">
        <f t="shared" si="4"/>
        <v>0</v>
      </c>
      <c r="J89" s="147">
        <v>1</v>
      </c>
      <c r="K89" s="146">
        <v>1.9</v>
      </c>
      <c r="L89" s="146">
        <v>1.6</v>
      </c>
      <c r="M89" s="146">
        <v>0.02</v>
      </c>
      <c r="N89" s="90">
        <f t="shared" si="5"/>
        <v>3.52</v>
      </c>
      <c r="O89" s="95">
        <f t="shared" si="6"/>
        <v>3.52</v>
      </c>
    </row>
    <row r="90" spans="2:15">
      <c r="B90" s="144">
        <v>79</v>
      </c>
      <c r="C90" s="144" t="s">
        <v>156</v>
      </c>
      <c r="D90" s="144" t="s">
        <v>119</v>
      </c>
      <c r="E90" s="144" t="s">
        <v>50</v>
      </c>
      <c r="F90" s="145">
        <v>1</v>
      </c>
      <c r="G90" s="144"/>
      <c r="H90" s="158"/>
      <c r="I90" s="152">
        <f t="shared" si="4"/>
        <v>0</v>
      </c>
      <c r="J90" s="145">
        <v>1</v>
      </c>
      <c r="K90" s="144">
        <v>7.5</v>
      </c>
      <c r="L90" s="144">
        <v>1.6</v>
      </c>
      <c r="M90" s="144">
        <v>0.02</v>
      </c>
      <c r="N90" s="92">
        <f t="shared" si="5"/>
        <v>9.1199999999999992</v>
      </c>
      <c r="O90" s="96">
        <f t="shared" si="6"/>
        <v>9.1199999999999992</v>
      </c>
    </row>
    <row r="91" spans="2:15">
      <c r="B91" s="146">
        <v>80</v>
      </c>
      <c r="C91" s="146" t="s">
        <v>157</v>
      </c>
      <c r="D91" s="146" t="s">
        <v>119</v>
      </c>
      <c r="E91" s="146" t="s">
        <v>50</v>
      </c>
      <c r="F91" s="147">
        <v>1</v>
      </c>
      <c r="G91" s="146"/>
      <c r="H91" s="159"/>
      <c r="I91" s="153">
        <f t="shared" si="4"/>
        <v>0</v>
      </c>
      <c r="J91" s="147">
        <v>1</v>
      </c>
      <c r="K91" s="146">
        <v>7.0000000000000007E-2</v>
      </c>
      <c r="L91" s="146">
        <v>1.6</v>
      </c>
      <c r="M91" s="146">
        <v>3.0000000000000001E-3</v>
      </c>
      <c r="N91" s="90">
        <f t="shared" si="5"/>
        <v>1.673</v>
      </c>
      <c r="O91" s="95">
        <f t="shared" si="6"/>
        <v>1.673</v>
      </c>
    </row>
  </sheetData>
  <mergeCells count="1">
    <mergeCell ref="S44:T44"/>
  </mergeCells>
  <pageMargins left="0.7" right="0.7" top="0.75" bottom="0.75" header="0.3" footer="0.3"/>
  <pageSetup paperSize="9"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DA0C8-0180-8949-A71F-25BD639F1AE1}">
  <sheetPr>
    <tabColor rgb="FFFF0000"/>
  </sheetPr>
  <dimension ref="A1:AC65"/>
  <sheetViews>
    <sheetView showGridLines="0" tabSelected="1" topLeftCell="P1" zoomScale="69" workbookViewId="0">
      <selection activeCell="U8" sqref="U8"/>
    </sheetView>
  </sheetViews>
  <sheetFormatPr defaultColWidth="20.85546875" defaultRowHeight="20.100000000000001" customHeight="1"/>
  <cols>
    <col min="9" max="9" width="24.140625" bestFit="1" customWidth="1"/>
    <col min="14" max="14" width="25.140625" bestFit="1" customWidth="1"/>
    <col min="15" max="15" width="26.140625" bestFit="1" customWidth="1"/>
    <col min="20" max="20" width="24.140625" bestFit="1" customWidth="1"/>
    <col min="23" max="23" width="24.85546875" bestFit="1" customWidth="1"/>
  </cols>
  <sheetData>
    <row r="1" spans="1:29" ht="39.950000000000003">
      <c r="A1" s="183"/>
      <c r="B1" s="260" t="s">
        <v>231</v>
      </c>
      <c r="C1" s="261"/>
      <c r="D1" s="261"/>
      <c r="E1" s="261"/>
      <c r="F1" s="261"/>
      <c r="G1" s="261"/>
      <c r="H1" s="262"/>
      <c r="I1" s="184"/>
      <c r="J1" s="184"/>
      <c r="K1" s="4"/>
      <c r="L1" s="183"/>
      <c r="M1" s="260" t="s">
        <v>231</v>
      </c>
      <c r="N1" s="261"/>
      <c r="O1" s="261"/>
      <c r="P1" s="261"/>
      <c r="Q1" s="261"/>
      <c r="R1" s="261"/>
      <c r="S1" s="262"/>
      <c r="T1" s="184"/>
      <c r="U1" s="184"/>
      <c r="W1" s="253" t="s">
        <v>232</v>
      </c>
      <c r="X1" s="188">
        <v>1</v>
      </c>
      <c r="Y1" s="188">
        <v>0.8</v>
      </c>
      <c r="Z1" s="188">
        <v>0.6</v>
      </c>
      <c r="AA1" s="188">
        <v>0.4</v>
      </c>
      <c r="AB1" s="188">
        <v>0.19999999999999996</v>
      </c>
      <c r="AC1" s="188">
        <v>0</v>
      </c>
    </row>
    <row r="2" spans="1:29" ht="20.100000000000001" customHeight="1">
      <c r="A2" s="183"/>
      <c r="B2" s="185"/>
      <c r="C2" s="263" t="s">
        <v>233</v>
      </c>
      <c r="D2" s="263"/>
      <c r="E2" s="263"/>
      <c r="F2" s="263"/>
      <c r="G2" s="263"/>
      <c r="H2" s="263"/>
      <c r="I2" s="186"/>
      <c r="J2" s="184"/>
      <c r="K2" s="4"/>
      <c r="L2" s="183"/>
      <c r="M2" s="185"/>
      <c r="N2" s="263" t="s">
        <v>233</v>
      </c>
      <c r="O2" s="263"/>
      <c r="P2" s="263"/>
      <c r="Q2" s="263"/>
      <c r="R2" s="263"/>
      <c r="S2" s="263"/>
      <c r="T2" s="186"/>
      <c r="U2" s="184"/>
      <c r="W2" s="188" t="s">
        <v>234</v>
      </c>
      <c r="X2" s="254">
        <v>931.85803025031021</v>
      </c>
      <c r="Y2" s="254">
        <v>931.33758010101099</v>
      </c>
      <c r="Z2" s="254">
        <v>930.81494545077078</v>
      </c>
      <c r="AA2" s="254">
        <v>930.2923108005308</v>
      </c>
      <c r="AB2" s="254">
        <v>929.76967615029082</v>
      </c>
      <c r="AC2" s="254">
        <v>929.24704150005084</v>
      </c>
    </row>
    <row r="3" spans="1:29" ht="20.100000000000001" customHeight="1">
      <c r="A3" s="183"/>
      <c r="B3" s="187" t="s">
        <v>235</v>
      </c>
      <c r="C3" s="188">
        <f>1-B4</f>
        <v>1</v>
      </c>
      <c r="D3" s="188">
        <f>1-B6</f>
        <v>0.8</v>
      </c>
      <c r="E3" s="188">
        <f>1-B8</f>
        <v>0.6</v>
      </c>
      <c r="F3" s="188">
        <f>1-B10</f>
        <v>0.4</v>
      </c>
      <c r="G3" s="188">
        <f>1-B12</f>
        <v>0.19999999999999996</v>
      </c>
      <c r="H3" s="188">
        <f>1-B14</f>
        <v>0</v>
      </c>
      <c r="I3" s="189" t="s">
        <v>236</v>
      </c>
      <c r="J3" s="190">
        <v>8.7900000000000006E-2</v>
      </c>
      <c r="K3" s="4"/>
      <c r="L3" s="183"/>
      <c r="M3" s="187" t="s">
        <v>235</v>
      </c>
      <c r="N3" s="188">
        <f>1-M4</f>
        <v>1</v>
      </c>
      <c r="O3" s="188">
        <f>1-M6</f>
        <v>0.8</v>
      </c>
      <c r="P3" s="188">
        <f>1-M8</f>
        <v>0.6</v>
      </c>
      <c r="Q3" s="188">
        <f>1-M10</f>
        <v>0.4</v>
      </c>
      <c r="R3" s="188">
        <f>1-M12</f>
        <v>0.19999999999999996</v>
      </c>
      <c r="S3" s="188">
        <f>1-M14</f>
        <v>0</v>
      </c>
      <c r="T3" s="189" t="s">
        <v>236</v>
      </c>
      <c r="U3" s="190">
        <v>8.7900000000000006E-2</v>
      </c>
      <c r="W3" s="189" t="s">
        <v>237</v>
      </c>
      <c r="X3" s="254">
        <v>924.52892384025097</v>
      </c>
      <c r="Y3" s="255">
        <v>924.40223455443095</v>
      </c>
      <c r="Z3" s="254">
        <v>924.36004020231087</v>
      </c>
      <c r="AA3" s="254">
        <v>924.31784585019079</v>
      </c>
      <c r="AB3" s="254">
        <v>924.27565149807094</v>
      </c>
      <c r="AC3" s="255">
        <v>924.23345714595087</v>
      </c>
    </row>
    <row r="4" spans="1:29" ht="20.100000000000001" customHeight="1">
      <c r="A4" s="264" t="s">
        <v>238</v>
      </c>
      <c r="B4" s="267">
        <v>0</v>
      </c>
      <c r="C4" s="191">
        <f>B4*J3+J4</f>
        <v>3.3000000000000002E-2</v>
      </c>
      <c r="D4" s="192"/>
      <c r="E4" s="193"/>
      <c r="F4" s="194"/>
      <c r="G4" s="194"/>
      <c r="H4" s="194"/>
      <c r="I4" s="195" t="s">
        <v>239</v>
      </c>
      <c r="J4" s="196">
        <v>3.3000000000000002E-2</v>
      </c>
      <c r="L4" s="264" t="s">
        <v>238</v>
      </c>
      <c r="M4" s="267">
        <v>0</v>
      </c>
      <c r="N4" s="225">
        <v>2.8968907252747247</v>
      </c>
      <c r="O4" s="226"/>
      <c r="P4" s="226"/>
      <c r="Q4" s="227"/>
      <c r="R4" s="227"/>
      <c r="S4" s="227"/>
      <c r="T4" s="195" t="s">
        <v>239</v>
      </c>
      <c r="U4" s="196">
        <v>3.3000000000000002E-2</v>
      </c>
      <c r="W4" s="189" t="s">
        <v>240</v>
      </c>
      <c r="X4" s="254">
        <v>929.41751284347936</v>
      </c>
      <c r="Y4" s="254">
        <v>929.41751284347936</v>
      </c>
      <c r="Z4" s="254">
        <v>929.41751284347936</v>
      </c>
      <c r="AA4" s="254">
        <v>929.41751284347936</v>
      </c>
      <c r="AB4" s="254">
        <v>929.41751284347936</v>
      </c>
      <c r="AC4" s="254">
        <v>929.41751284347936</v>
      </c>
    </row>
    <row r="5" spans="1:29" ht="20.100000000000001" customHeight="1">
      <c r="A5" s="265"/>
      <c r="B5" s="268"/>
      <c r="C5" s="197">
        <f>C3*J3+J5</f>
        <v>0.26370000000000005</v>
      </c>
      <c r="D5" s="194"/>
      <c r="E5" s="193"/>
      <c r="F5" s="194"/>
      <c r="G5" s="194"/>
      <c r="H5" s="194"/>
      <c r="I5" s="198" t="s">
        <v>241</v>
      </c>
      <c r="J5" s="199">
        <v>0.17580000000000001</v>
      </c>
      <c r="L5" s="265"/>
      <c r="M5" s="268"/>
      <c r="N5" s="236">
        <v>30.368134488599999</v>
      </c>
      <c r="O5" s="227"/>
      <c r="P5" s="226"/>
      <c r="Q5" s="227"/>
      <c r="R5" s="227"/>
      <c r="S5" s="227"/>
      <c r="T5" s="198" t="s">
        <v>241</v>
      </c>
      <c r="U5" s="199">
        <v>0.17580000000000001</v>
      </c>
      <c r="W5" s="258"/>
      <c r="X5" s="256"/>
      <c r="Y5" s="256"/>
      <c r="Z5" s="256"/>
      <c r="AA5" s="256"/>
      <c r="AB5" s="256"/>
      <c r="AC5" s="257"/>
    </row>
    <row r="6" spans="1:29" ht="20.100000000000001" customHeight="1">
      <c r="A6" s="265"/>
      <c r="B6" s="267">
        <v>0.2</v>
      </c>
      <c r="C6" s="194"/>
      <c r="D6" s="200">
        <f>B6*J3+J4</f>
        <v>5.058E-2</v>
      </c>
      <c r="E6" s="193"/>
      <c r="F6" s="194"/>
      <c r="G6" s="194"/>
      <c r="H6" s="194"/>
      <c r="I6" s="201"/>
      <c r="J6" s="184"/>
      <c r="L6" s="265"/>
      <c r="M6" s="267">
        <v>0.2</v>
      </c>
      <c r="N6" s="227"/>
      <c r="O6" s="229">
        <v>4.4445835641599993</v>
      </c>
      <c r="P6" s="226"/>
      <c r="Q6" s="227"/>
      <c r="R6" s="227"/>
      <c r="S6" s="227"/>
      <c r="T6" s="201"/>
      <c r="U6" s="184"/>
      <c r="W6" s="186"/>
      <c r="X6" s="243"/>
      <c r="Y6" s="243"/>
      <c r="Z6" s="243"/>
      <c r="AA6" s="243"/>
      <c r="AB6" s="243"/>
      <c r="AC6" s="244"/>
    </row>
    <row r="7" spans="1:29" ht="20.100000000000001" customHeight="1">
      <c r="A7" s="265"/>
      <c r="B7" s="268"/>
      <c r="C7" s="194"/>
      <c r="D7" s="197">
        <f>D3*J3+J5</f>
        <v>0.24612000000000001</v>
      </c>
      <c r="E7" s="193"/>
      <c r="F7" s="194"/>
      <c r="G7" s="194"/>
      <c r="H7" s="194"/>
      <c r="I7" s="201"/>
      <c r="J7" s="184"/>
      <c r="L7" s="265"/>
      <c r="M7" s="268"/>
      <c r="N7" s="227"/>
      <c r="O7" s="228">
        <v>28.343592189359995</v>
      </c>
      <c r="P7" s="226"/>
      <c r="Q7" s="227"/>
      <c r="R7" s="227"/>
      <c r="S7" s="227"/>
      <c r="T7" s="201"/>
      <c r="U7" s="184"/>
    </row>
    <row r="8" spans="1:29" ht="20.100000000000001" customHeight="1">
      <c r="A8" s="265"/>
      <c r="B8" s="267">
        <v>0.4</v>
      </c>
      <c r="C8" s="194"/>
      <c r="D8" s="194"/>
      <c r="E8" s="202">
        <f>B8*J3+J4</f>
        <v>6.8159999999999998E-2</v>
      </c>
      <c r="F8" s="194"/>
      <c r="G8" s="194"/>
      <c r="H8" s="194"/>
      <c r="I8" s="201"/>
      <c r="J8" s="184"/>
      <c r="L8" s="265"/>
      <c r="M8" s="267">
        <v>0.4</v>
      </c>
      <c r="N8" s="227"/>
      <c r="O8" s="227"/>
      <c r="P8" s="225">
        <v>5.9893795123199984</v>
      </c>
      <c r="Q8" s="227"/>
      <c r="R8" s="227"/>
      <c r="S8" s="227"/>
      <c r="T8" s="201"/>
      <c r="U8" s="184"/>
    </row>
    <row r="9" spans="1:29" ht="20.100000000000001" customHeight="1">
      <c r="A9" s="265"/>
      <c r="B9" s="268"/>
      <c r="C9" s="194"/>
      <c r="D9" s="194"/>
      <c r="E9" s="199">
        <f>E3*J3+J5</f>
        <v>0.22854000000000002</v>
      </c>
      <c r="F9" s="194"/>
      <c r="G9" s="194"/>
      <c r="H9" s="194"/>
      <c r="I9" s="201"/>
      <c r="J9" s="184"/>
      <c r="L9" s="265"/>
      <c r="M9" s="268"/>
      <c r="N9" s="227"/>
      <c r="O9" s="227"/>
      <c r="P9" s="230">
        <v>26.319049890119999</v>
      </c>
      <c r="Q9" s="227"/>
      <c r="R9" s="227"/>
      <c r="S9" s="227"/>
      <c r="T9" s="201"/>
      <c r="U9" s="184"/>
    </row>
    <row r="10" spans="1:29" ht="20.100000000000001" customHeight="1">
      <c r="A10" s="265"/>
      <c r="B10" s="267">
        <v>0.6</v>
      </c>
      <c r="C10" s="194"/>
      <c r="D10" s="194"/>
      <c r="E10" s="203"/>
      <c r="F10" s="204">
        <f>B10*J3+J4</f>
        <v>8.5740000000000011E-2</v>
      </c>
      <c r="G10" s="194"/>
      <c r="H10" s="194"/>
      <c r="I10" s="201"/>
      <c r="J10" s="184"/>
      <c r="L10" s="265"/>
      <c r="M10" s="267">
        <v>0.6</v>
      </c>
      <c r="N10" s="227"/>
      <c r="O10" s="227"/>
      <c r="P10" s="231"/>
      <c r="Q10" s="232">
        <v>7.5341754604800002</v>
      </c>
      <c r="R10" s="227"/>
      <c r="S10" s="227"/>
      <c r="T10" s="201"/>
      <c r="U10" s="184"/>
    </row>
    <row r="11" spans="1:29" ht="20.100000000000001" customHeight="1">
      <c r="A11" s="265"/>
      <c r="B11" s="268"/>
      <c r="C11" s="203"/>
      <c r="D11" s="203"/>
      <c r="E11" s="203"/>
      <c r="F11" s="205">
        <f>F3*J3+J5</f>
        <v>0.21096000000000001</v>
      </c>
      <c r="G11" s="206"/>
      <c r="H11" s="194"/>
      <c r="I11" s="201"/>
      <c r="J11" s="184"/>
      <c r="L11" s="265"/>
      <c r="M11" s="268"/>
      <c r="N11" s="231"/>
      <c r="O11" s="231"/>
      <c r="P11" s="231"/>
      <c r="Q11" s="233">
        <v>24.294507590879995</v>
      </c>
      <c r="R11" s="226"/>
      <c r="S11" s="227"/>
      <c r="T11" s="201"/>
      <c r="U11" s="184"/>
    </row>
    <row r="12" spans="1:29" ht="20.100000000000001" customHeight="1">
      <c r="A12" s="265"/>
      <c r="B12" s="267">
        <v>0.8</v>
      </c>
      <c r="C12" s="206"/>
      <c r="D12" s="206"/>
      <c r="E12" s="206"/>
      <c r="F12" s="206"/>
      <c r="G12" s="200">
        <f>B12*J3+J4</f>
        <v>0.10332000000000001</v>
      </c>
      <c r="H12" s="194"/>
      <c r="I12" s="201"/>
      <c r="J12" s="184"/>
      <c r="L12" s="265"/>
      <c r="M12" s="267">
        <v>0.8</v>
      </c>
      <c r="N12" s="226"/>
      <c r="O12" s="226"/>
      <c r="P12" s="226"/>
      <c r="Q12" s="226"/>
      <c r="R12" s="229">
        <v>9.0789714086399975</v>
      </c>
      <c r="S12" s="227"/>
      <c r="T12" s="201"/>
      <c r="U12" s="184"/>
    </row>
    <row r="13" spans="1:29" ht="20.100000000000001" customHeight="1">
      <c r="A13" s="265"/>
      <c r="B13" s="268"/>
      <c r="C13" s="206"/>
      <c r="D13" s="206"/>
      <c r="E13" s="194"/>
      <c r="F13" s="206"/>
      <c r="G13" s="197">
        <f>G3*J3+J5</f>
        <v>0.19338</v>
      </c>
      <c r="H13" s="194"/>
      <c r="I13" s="201"/>
      <c r="J13" s="184"/>
      <c r="L13" s="265"/>
      <c r="M13" s="268"/>
      <c r="N13" s="226"/>
      <c r="O13" s="226"/>
      <c r="P13" s="227"/>
      <c r="Q13" s="226"/>
      <c r="R13" s="228">
        <v>22.269965291639995</v>
      </c>
      <c r="S13" s="227"/>
      <c r="T13" s="201"/>
      <c r="U13" s="184"/>
    </row>
    <row r="14" spans="1:29" ht="20.100000000000001" customHeight="1">
      <c r="A14" s="265"/>
      <c r="B14" s="267">
        <v>1</v>
      </c>
      <c r="C14" s="194"/>
      <c r="D14" s="207"/>
      <c r="E14" s="194"/>
      <c r="F14" s="194"/>
      <c r="G14" s="194"/>
      <c r="H14" s="200">
        <f>B14*J3+J4</f>
        <v>0.12090000000000001</v>
      </c>
      <c r="I14" s="201"/>
      <c r="J14" s="184"/>
      <c r="L14" s="265"/>
      <c r="M14" s="267">
        <v>1</v>
      </c>
      <c r="N14" s="227"/>
      <c r="O14" s="234"/>
      <c r="P14" s="227"/>
      <c r="Q14" s="227"/>
      <c r="R14" s="227"/>
      <c r="S14" s="229">
        <v>10.623767356799998</v>
      </c>
      <c r="T14" s="201"/>
      <c r="U14" s="184"/>
    </row>
    <row r="15" spans="1:29" ht="20.100000000000001" customHeight="1">
      <c r="A15" s="266"/>
      <c r="B15" s="268"/>
      <c r="C15" s="194"/>
      <c r="D15" s="207"/>
      <c r="E15" s="207"/>
      <c r="F15" s="194"/>
      <c r="G15" s="194"/>
      <c r="H15" s="197">
        <f>H3*J3+J5</f>
        <v>0.17580000000000001</v>
      </c>
      <c r="I15" s="201"/>
      <c r="J15" s="184"/>
      <c r="L15" s="266"/>
      <c r="M15" s="268"/>
      <c r="N15" s="227"/>
      <c r="O15" s="234"/>
      <c r="P15" s="234"/>
      <c r="Q15" s="227"/>
      <c r="R15" s="227"/>
      <c r="S15" s="228">
        <v>20.245422992399998</v>
      </c>
      <c r="T15" s="201"/>
      <c r="U15" s="184"/>
    </row>
    <row r="16" spans="1:29" ht="20.100000000000001" customHeight="1">
      <c r="A16" s="208"/>
      <c r="B16" s="209" t="s">
        <v>242</v>
      </c>
      <c r="C16" s="263" t="s">
        <v>233</v>
      </c>
      <c r="D16" s="263"/>
      <c r="E16" s="263"/>
      <c r="F16" s="263"/>
      <c r="G16" s="263"/>
      <c r="H16" s="263"/>
      <c r="I16" s="189" t="s">
        <v>236</v>
      </c>
      <c r="J16" s="210">
        <v>0.2198</v>
      </c>
      <c r="L16" s="208"/>
      <c r="M16" s="209" t="s">
        <v>242</v>
      </c>
      <c r="N16" s="263" t="s">
        <v>233</v>
      </c>
      <c r="O16" s="263"/>
      <c r="P16" s="263"/>
      <c r="Q16" s="263"/>
      <c r="R16" s="263"/>
      <c r="S16" s="263"/>
      <c r="T16" s="189" t="s">
        <v>236</v>
      </c>
      <c r="U16" s="210">
        <v>0.2198</v>
      </c>
    </row>
    <row r="17" spans="1:21" ht="20.100000000000001" customHeight="1">
      <c r="A17" s="264" t="s">
        <v>238</v>
      </c>
      <c r="B17" s="267">
        <v>0</v>
      </c>
      <c r="C17" s="191">
        <f>J17</f>
        <v>8.7900000000000006E-2</v>
      </c>
      <c r="D17" s="206"/>
      <c r="E17" s="206"/>
      <c r="F17" s="194"/>
      <c r="G17" s="194"/>
      <c r="H17" s="194"/>
      <c r="I17" s="195" t="s">
        <v>239</v>
      </c>
      <c r="J17" s="196">
        <v>8.7900000000000006E-2</v>
      </c>
      <c r="L17" s="264" t="s">
        <v>238</v>
      </c>
      <c r="M17" s="267">
        <v>0</v>
      </c>
      <c r="N17" s="217">
        <v>5.1810166153846149</v>
      </c>
      <c r="O17" s="218"/>
      <c r="P17" s="218"/>
      <c r="Q17" s="219"/>
      <c r="R17" s="219"/>
      <c r="S17" s="219"/>
      <c r="T17" s="195" t="s">
        <v>239</v>
      </c>
      <c r="U17" s="196">
        <v>8.7900000000000006E-2</v>
      </c>
    </row>
    <row r="18" spans="1:21" ht="20.100000000000001" customHeight="1">
      <c r="A18" s="265"/>
      <c r="B18" s="268"/>
      <c r="C18" s="197">
        <f>J16+J18</f>
        <v>0.61539999999999995</v>
      </c>
      <c r="D18" s="194"/>
      <c r="E18" s="206"/>
      <c r="F18" s="194"/>
      <c r="G18" s="194"/>
      <c r="H18" s="194"/>
      <c r="I18" s="198" t="s">
        <v>241</v>
      </c>
      <c r="J18" s="199">
        <v>0.39560000000000001</v>
      </c>
      <c r="L18" s="265"/>
      <c r="M18" s="268"/>
      <c r="N18" s="220">
        <v>36.868420148999995</v>
      </c>
      <c r="O18" s="219"/>
      <c r="P18" s="218"/>
      <c r="Q18" s="219"/>
      <c r="R18" s="219"/>
      <c r="S18" s="219"/>
      <c r="T18" s="198" t="s">
        <v>241</v>
      </c>
      <c r="U18" s="199">
        <v>0.39560000000000001</v>
      </c>
    </row>
    <row r="19" spans="1:21" ht="20.100000000000001" customHeight="1">
      <c r="A19" s="265"/>
      <c r="B19" s="267">
        <v>0.2</v>
      </c>
      <c r="C19" s="194"/>
      <c r="D19" s="200">
        <f>B19*J16+J17</f>
        <v>0.13186</v>
      </c>
      <c r="E19" s="206"/>
      <c r="F19" s="194"/>
      <c r="G19" s="194"/>
      <c r="H19" s="194"/>
      <c r="I19" s="201"/>
      <c r="J19" s="184"/>
      <c r="L19" s="265"/>
      <c r="M19" s="267">
        <v>0.2</v>
      </c>
      <c r="N19" s="219"/>
      <c r="O19" s="221">
        <v>7.7710456790399993</v>
      </c>
      <c r="P19" s="218"/>
      <c r="Q19" s="219"/>
      <c r="R19" s="219"/>
      <c r="S19" s="219"/>
      <c r="T19" s="201"/>
      <c r="U19" s="184"/>
    </row>
    <row r="20" spans="1:21" ht="20.100000000000001" customHeight="1">
      <c r="A20" s="265"/>
      <c r="B20" s="268"/>
      <c r="C20" s="194"/>
      <c r="D20" s="197">
        <f>D3*J16+J18</f>
        <v>0.57143999999999995</v>
      </c>
      <c r="E20" s="206"/>
      <c r="F20" s="194"/>
      <c r="G20" s="194"/>
      <c r="H20" s="194"/>
      <c r="I20" s="201"/>
      <c r="J20" s="184"/>
      <c r="L20" s="265"/>
      <c r="M20" s="268"/>
      <c r="N20" s="219"/>
      <c r="O20" s="220">
        <v>34.234790396399994</v>
      </c>
      <c r="P20" s="218"/>
      <c r="Q20" s="219"/>
      <c r="R20" s="219"/>
      <c r="S20" s="219"/>
      <c r="T20" s="201"/>
      <c r="U20" s="184"/>
    </row>
    <row r="21" spans="1:21" ht="20.100000000000001" customHeight="1">
      <c r="A21" s="265"/>
      <c r="B21" s="267">
        <v>0.4</v>
      </c>
      <c r="C21" s="194"/>
      <c r="D21" s="194"/>
      <c r="E21" s="191">
        <f>B21*J16+J17</f>
        <v>0.17582</v>
      </c>
      <c r="F21" s="194"/>
      <c r="G21" s="194"/>
      <c r="H21" s="194"/>
      <c r="I21" s="201"/>
      <c r="J21" s="184"/>
      <c r="L21" s="265"/>
      <c r="M21" s="267">
        <v>0.4</v>
      </c>
      <c r="N21" s="219"/>
      <c r="O21" s="219"/>
      <c r="P21" s="217">
        <v>10.36178713248</v>
      </c>
      <c r="Q21" s="219"/>
      <c r="R21" s="219"/>
      <c r="S21" s="219"/>
      <c r="T21" s="201"/>
      <c r="U21" s="184"/>
    </row>
    <row r="22" spans="1:21" ht="20.100000000000001" customHeight="1">
      <c r="A22" s="265"/>
      <c r="B22" s="268"/>
      <c r="C22" s="194"/>
      <c r="D22" s="194"/>
      <c r="E22" s="199">
        <f>E3*J16+J18</f>
        <v>0.52747999999999995</v>
      </c>
      <c r="F22" s="194"/>
      <c r="G22" s="194"/>
      <c r="H22" s="194"/>
      <c r="I22" s="201"/>
      <c r="J22" s="184"/>
      <c r="L22" s="265"/>
      <c r="M22" s="268"/>
      <c r="N22" s="219"/>
      <c r="O22" s="219"/>
      <c r="P22" s="222">
        <v>31.601160643799993</v>
      </c>
      <c r="Q22" s="219"/>
      <c r="R22" s="219"/>
      <c r="S22" s="219"/>
      <c r="T22" s="201"/>
      <c r="U22" s="184"/>
    </row>
    <row r="23" spans="1:21" ht="20.100000000000001" customHeight="1">
      <c r="A23" s="265"/>
      <c r="B23" s="267">
        <v>0.6</v>
      </c>
      <c r="C23" s="194"/>
      <c r="D23" s="194"/>
      <c r="E23" s="203"/>
      <c r="F23" s="200">
        <f>B23*J16+J17</f>
        <v>0.21978</v>
      </c>
      <c r="G23" s="194"/>
      <c r="H23" s="194"/>
      <c r="I23" s="201"/>
      <c r="J23" s="184"/>
      <c r="L23" s="265"/>
      <c r="M23" s="267">
        <v>0.6</v>
      </c>
      <c r="N23" s="219"/>
      <c r="O23" s="219"/>
      <c r="P23" s="223"/>
      <c r="Q23" s="221">
        <v>12.95252858592</v>
      </c>
      <c r="R23" s="219"/>
      <c r="S23" s="219"/>
      <c r="T23" s="201"/>
      <c r="U23" s="184"/>
    </row>
    <row r="24" spans="1:21" ht="20.100000000000001" customHeight="1">
      <c r="A24" s="265"/>
      <c r="B24" s="268"/>
      <c r="C24" s="203"/>
      <c r="D24" s="203"/>
      <c r="E24" s="203"/>
      <c r="F24" s="199">
        <f>F3*J16+J18</f>
        <v>0.48352000000000001</v>
      </c>
      <c r="G24" s="206"/>
      <c r="H24" s="194"/>
      <c r="I24" s="201"/>
      <c r="J24" s="184"/>
      <c r="L24" s="265"/>
      <c r="M24" s="268"/>
      <c r="N24" s="223"/>
      <c r="O24" s="223"/>
      <c r="P24" s="223"/>
      <c r="Q24" s="222">
        <v>28.967530891199999</v>
      </c>
      <c r="R24" s="218"/>
      <c r="S24" s="219"/>
      <c r="T24" s="201"/>
      <c r="U24" s="184"/>
    </row>
    <row r="25" spans="1:21" ht="20.100000000000001" customHeight="1">
      <c r="A25" s="265"/>
      <c r="B25" s="267">
        <v>0.8</v>
      </c>
      <c r="C25" s="206"/>
      <c r="D25" s="206"/>
      <c r="E25" s="206"/>
      <c r="F25" s="206"/>
      <c r="G25" s="200">
        <f>B25*J16+J17</f>
        <v>0.26373999999999997</v>
      </c>
      <c r="H25" s="194"/>
      <c r="I25" s="201"/>
      <c r="J25" s="184"/>
      <c r="L25" s="265"/>
      <c r="M25" s="267">
        <v>0.8</v>
      </c>
      <c r="N25" s="218"/>
      <c r="O25" s="218"/>
      <c r="P25" s="218"/>
      <c r="Q25" s="218"/>
      <c r="R25" s="221">
        <v>15.543270039359998</v>
      </c>
      <c r="S25" s="219"/>
      <c r="T25" s="201"/>
      <c r="U25" s="184"/>
    </row>
    <row r="26" spans="1:21" ht="20.100000000000001" customHeight="1">
      <c r="A26" s="265"/>
      <c r="B26" s="268"/>
      <c r="C26" s="206"/>
      <c r="D26" s="206"/>
      <c r="E26" s="194"/>
      <c r="F26" s="206"/>
      <c r="G26" s="197">
        <f>G3*J16+J18</f>
        <v>0.43956000000000001</v>
      </c>
      <c r="H26" s="194"/>
      <c r="I26" s="201"/>
      <c r="J26" s="184"/>
      <c r="L26" s="265"/>
      <c r="M26" s="268"/>
      <c r="N26" s="218"/>
      <c r="O26" s="218"/>
      <c r="P26" s="219"/>
      <c r="Q26" s="218"/>
      <c r="R26" s="220">
        <v>26.333901138599998</v>
      </c>
      <c r="S26" s="219"/>
      <c r="T26" s="201"/>
      <c r="U26" s="184"/>
    </row>
    <row r="27" spans="1:21" ht="20.100000000000001" customHeight="1">
      <c r="A27" s="265"/>
      <c r="B27" s="267">
        <v>1</v>
      </c>
      <c r="C27" s="211"/>
      <c r="D27" s="212"/>
      <c r="E27" s="211"/>
      <c r="F27" s="194"/>
      <c r="G27" s="194"/>
      <c r="H27" s="200">
        <f>B27*J16+J17</f>
        <v>0.30769999999999997</v>
      </c>
      <c r="I27" s="201"/>
      <c r="J27" s="184"/>
      <c r="L27" s="265"/>
      <c r="M27" s="267">
        <v>1</v>
      </c>
      <c r="N27" s="219"/>
      <c r="O27" s="224"/>
      <c r="P27" s="219"/>
      <c r="Q27" s="219"/>
      <c r="R27" s="219"/>
      <c r="S27" s="221">
        <v>18.134011492799999</v>
      </c>
      <c r="T27" s="201"/>
      <c r="U27" s="184"/>
    </row>
    <row r="28" spans="1:21" ht="20.100000000000001" customHeight="1">
      <c r="A28" s="265"/>
      <c r="B28" s="268"/>
      <c r="C28" s="211"/>
      <c r="D28" s="212"/>
      <c r="E28" s="212"/>
      <c r="F28" s="194"/>
      <c r="G28" s="194"/>
      <c r="H28" s="197">
        <f>J18</f>
        <v>0.39560000000000001</v>
      </c>
      <c r="I28" s="201"/>
      <c r="J28" s="184"/>
      <c r="L28" s="265"/>
      <c r="M28" s="268"/>
      <c r="N28" s="219"/>
      <c r="O28" s="224"/>
      <c r="P28" s="224"/>
      <c r="Q28" s="219"/>
      <c r="R28" s="219"/>
      <c r="S28" s="220">
        <v>23.700271385999997</v>
      </c>
      <c r="T28" s="201"/>
      <c r="U28" s="184"/>
    </row>
    <row r="29" spans="1:21" ht="20.100000000000001" customHeight="1">
      <c r="A29" s="266"/>
      <c r="B29" s="185" t="s">
        <v>243</v>
      </c>
      <c r="C29" s="213">
        <f>SUM(C4:C28)</f>
        <v>1</v>
      </c>
      <c r="D29" s="213">
        <f t="shared" ref="D29:H29" si="0">SUM(D4:D28)</f>
        <v>1</v>
      </c>
      <c r="E29" s="213">
        <f t="shared" si="0"/>
        <v>1</v>
      </c>
      <c r="F29" s="213">
        <f t="shared" si="0"/>
        <v>1</v>
      </c>
      <c r="G29" s="213">
        <f t="shared" si="0"/>
        <v>1</v>
      </c>
      <c r="H29" s="213">
        <f t="shared" si="0"/>
        <v>1</v>
      </c>
      <c r="I29" s="184"/>
      <c r="J29" s="184"/>
      <c r="L29" s="266"/>
      <c r="M29" s="185" t="s">
        <v>244</v>
      </c>
      <c r="N29" s="235">
        <f t="shared" ref="N29:S29" si="1">SUM(N4:N28)</f>
        <v>75.314461978259331</v>
      </c>
      <c r="O29" s="235">
        <f t="shared" si="1"/>
        <v>74.794011828959981</v>
      </c>
      <c r="P29" s="235">
        <f t="shared" si="1"/>
        <v>74.271377178720002</v>
      </c>
      <c r="Q29" s="235">
        <f t="shared" si="1"/>
        <v>73.748742528479994</v>
      </c>
      <c r="R29" s="235">
        <f t="shared" si="1"/>
        <v>73.226107878239986</v>
      </c>
      <c r="S29" s="237">
        <f t="shared" si="1"/>
        <v>72.703473227999993</v>
      </c>
      <c r="T29" s="184"/>
      <c r="U29" s="184"/>
    </row>
    <row r="30" spans="1:21" ht="20.100000000000001" customHeight="1">
      <c r="A30" s="214"/>
      <c r="B30" s="215" t="s">
        <v>245</v>
      </c>
      <c r="C30" s="216">
        <v>931.85803025031021</v>
      </c>
      <c r="D30" s="216">
        <v>931.33758010101099</v>
      </c>
      <c r="E30" s="216">
        <v>930.81494545077078</v>
      </c>
      <c r="F30" s="216">
        <v>930.2923108005308</v>
      </c>
      <c r="G30" s="216">
        <v>929.76967615029082</v>
      </c>
      <c r="H30" s="216">
        <v>929.24704150005084</v>
      </c>
      <c r="I30" s="185" t="s">
        <v>246</v>
      </c>
      <c r="J30" s="238">
        <f>'Optimal Diet + 30 by 30'!C3</f>
        <v>929.41751284347936</v>
      </c>
      <c r="L30" s="240"/>
      <c r="M30" s="195" t="s">
        <v>239</v>
      </c>
      <c r="N30" s="251">
        <f>SUM(N4+N17)</f>
        <v>8.0779073406593405</v>
      </c>
      <c r="O30" s="251">
        <f>SUM(O6+O19)</f>
        <v>12.215629243199999</v>
      </c>
      <c r="P30" s="251">
        <f>P8+P21</f>
        <v>16.351166644799999</v>
      </c>
      <c r="Q30" s="251">
        <f>Q10+Q23</f>
        <v>20.4867040464</v>
      </c>
      <c r="R30" s="251">
        <f>R12+R25</f>
        <v>24.622241447999997</v>
      </c>
      <c r="S30" s="251">
        <f>S14+S27</f>
        <v>28.757778849599998</v>
      </c>
      <c r="T30" s="242"/>
      <c r="U30" s="243"/>
    </row>
    <row r="31" spans="1:21" ht="20.100000000000001" customHeight="1">
      <c r="A31" s="214"/>
      <c r="B31" s="215" t="s">
        <v>247</v>
      </c>
      <c r="C31" s="216">
        <f>C30-J30</f>
        <v>2.4405174068308497</v>
      </c>
      <c r="D31" s="216">
        <f>D30-J30</f>
        <v>1.9200672575316275</v>
      </c>
      <c r="E31" s="216">
        <f>E30-J30</f>
        <v>1.3974326072914209</v>
      </c>
      <c r="F31" s="216">
        <f>F30-J30</f>
        <v>0.8747979570514417</v>
      </c>
      <c r="G31" s="216">
        <f>G30-J30</f>
        <v>0.35216330681146246</v>
      </c>
      <c r="H31" s="239">
        <f>H30-J30</f>
        <v>-0.17047134342851678</v>
      </c>
      <c r="I31" s="186"/>
      <c r="J31" s="184"/>
      <c r="L31" s="241"/>
      <c r="M31" s="250" t="s">
        <v>236</v>
      </c>
      <c r="N31" s="251">
        <f>SUM(N5+N18)</f>
        <v>67.236554637599994</v>
      </c>
      <c r="O31" s="252">
        <f>SUM(O7+O20)</f>
        <v>62.578382585759989</v>
      </c>
      <c r="P31" s="251">
        <f>P9+P22</f>
        <v>57.920210533919992</v>
      </c>
      <c r="Q31" s="251">
        <f>Q11+Q24</f>
        <v>53.262038482079994</v>
      </c>
      <c r="R31" s="251">
        <f>R13+R26</f>
        <v>48.603866430239989</v>
      </c>
      <c r="S31" s="252">
        <f>S15+S28</f>
        <v>43.945694378399992</v>
      </c>
      <c r="T31" s="186"/>
      <c r="U31" s="184"/>
    </row>
    <row r="32" spans="1:21" ht="20.100000000000001" customHeight="1">
      <c r="A32" s="59"/>
      <c r="B32" s="186"/>
      <c r="C32" s="243"/>
      <c r="D32" s="243"/>
      <c r="E32" s="243"/>
      <c r="F32" s="243"/>
      <c r="G32" s="243"/>
      <c r="H32" s="244"/>
      <c r="I32" s="186"/>
      <c r="J32" s="184"/>
      <c r="L32" s="59"/>
      <c r="M32" s="186"/>
      <c r="N32" s="245"/>
      <c r="O32" s="246"/>
      <c r="P32" s="245"/>
      <c r="Q32" s="245"/>
      <c r="R32" s="245"/>
      <c r="S32" s="246"/>
      <c r="T32" s="186"/>
      <c r="U32" s="184"/>
    </row>
    <row r="33" spans="1:21" ht="20.100000000000001" customHeight="1">
      <c r="A33" s="59"/>
      <c r="B33" s="186"/>
      <c r="C33" s="243"/>
      <c r="D33" s="243"/>
      <c r="E33" s="243"/>
      <c r="F33" s="243"/>
      <c r="G33" s="243"/>
      <c r="H33" s="244"/>
      <c r="I33" s="186"/>
      <c r="J33" s="184"/>
      <c r="L33" s="59"/>
      <c r="M33" s="186"/>
      <c r="N33" s="245"/>
      <c r="O33" s="246"/>
      <c r="P33" s="245"/>
      <c r="Q33" s="245"/>
      <c r="R33" s="245"/>
      <c r="S33" s="246"/>
      <c r="T33" s="186"/>
      <c r="U33" s="184"/>
    </row>
    <row r="35" spans="1:21" ht="54" customHeight="1">
      <c r="A35" s="183"/>
      <c r="B35" s="260" t="s">
        <v>248</v>
      </c>
      <c r="C35" s="261"/>
      <c r="D35" s="261"/>
      <c r="E35" s="261"/>
      <c r="F35" s="261"/>
      <c r="G35" s="261"/>
      <c r="H35" s="262"/>
      <c r="I35" s="184"/>
      <c r="J35" s="184"/>
      <c r="K35" s="4"/>
      <c r="L35" s="183"/>
      <c r="M35" s="260" t="s">
        <v>248</v>
      </c>
      <c r="N35" s="261"/>
      <c r="O35" s="261"/>
      <c r="P35" s="261"/>
      <c r="Q35" s="261"/>
      <c r="R35" s="261"/>
      <c r="S35" s="262"/>
      <c r="T35" s="184"/>
    </row>
    <row r="36" spans="1:21" ht="20.100000000000001" customHeight="1">
      <c r="A36" s="183"/>
      <c r="B36" s="185"/>
      <c r="C36" s="263" t="s">
        <v>249</v>
      </c>
      <c r="D36" s="263"/>
      <c r="E36" s="263"/>
      <c r="F36" s="263"/>
      <c r="G36" s="263"/>
      <c r="H36" s="263"/>
      <c r="I36" s="186"/>
      <c r="J36" s="184"/>
      <c r="K36" s="4"/>
      <c r="L36" s="183"/>
      <c r="M36" s="185"/>
      <c r="N36" s="263" t="s">
        <v>249</v>
      </c>
      <c r="O36" s="263"/>
      <c r="P36" s="263"/>
      <c r="Q36" s="263"/>
      <c r="R36" s="263"/>
      <c r="S36" s="263"/>
      <c r="T36" s="186"/>
    </row>
    <row r="37" spans="1:21" ht="20.100000000000001" customHeight="1">
      <c r="A37" s="183"/>
      <c r="B37" s="187" t="s">
        <v>235</v>
      </c>
      <c r="C37" s="188">
        <f>1-B38</f>
        <v>1</v>
      </c>
      <c r="D37" s="188">
        <f>1-B40</f>
        <v>0.8</v>
      </c>
      <c r="E37" s="188">
        <f>1-B42</f>
        <v>0.6</v>
      </c>
      <c r="F37" s="188">
        <f>1-B44</f>
        <v>0.4</v>
      </c>
      <c r="G37" s="188">
        <f>1-B46</f>
        <v>0.19999999999999996</v>
      </c>
      <c r="H37" s="188">
        <f>1-B48</f>
        <v>0</v>
      </c>
      <c r="I37" s="188" t="s">
        <v>241</v>
      </c>
      <c r="J37" s="190">
        <v>0.17580000000000001</v>
      </c>
      <c r="K37" s="4"/>
      <c r="L37" s="183"/>
      <c r="M37" s="187" t="s">
        <v>235</v>
      </c>
      <c r="N37" s="188">
        <f>1-M38</f>
        <v>1</v>
      </c>
      <c r="O37" s="188">
        <f>1-M40</f>
        <v>0.8</v>
      </c>
      <c r="P37" s="188">
        <f>1-M42</f>
        <v>0.6</v>
      </c>
      <c r="Q37" s="188">
        <f>1-M44</f>
        <v>0.4</v>
      </c>
      <c r="R37" s="188">
        <f>1-M46</f>
        <v>0.19999999999999996</v>
      </c>
      <c r="S37" s="188">
        <f>1-M48</f>
        <v>0</v>
      </c>
      <c r="T37" s="188" t="s">
        <v>241</v>
      </c>
    </row>
    <row r="38" spans="1:21" ht="20.100000000000001" customHeight="1">
      <c r="A38" s="264" t="s">
        <v>238</v>
      </c>
      <c r="B38" s="267">
        <v>0</v>
      </c>
      <c r="C38" s="191">
        <f>J37+J39</f>
        <v>0.26370000000000005</v>
      </c>
      <c r="D38" s="192"/>
      <c r="E38" s="193"/>
      <c r="F38" s="194"/>
      <c r="G38" s="194"/>
      <c r="H38" s="194"/>
      <c r="I38" s="195" t="s">
        <v>239</v>
      </c>
      <c r="J38" s="196">
        <v>3.3000000000000002E-2</v>
      </c>
      <c r="L38" s="264" t="s">
        <v>238</v>
      </c>
      <c r="M38" s="267">
        <v>0</v>
      </c>
      <c r="N38" s="225">
        <v>23.171939222399999</v>
      </c>
      <c r="O38" s="226"/>
      <c r="P38" s="226"/>
      <c r="Q38" s="227"/>
      <c r="R38" s="227"/>
      <c r="S38" s="227"/>
      <c r="T38" s="195" t="s">
        <v>239</v>
      </c>
    </row>
    <row r="39" spans="1:21" ht="20.100000000000001" customHeight="1">
      <c r="A39" s="265"/>
      <c r="B39" s="268"/>
      <c r="C39" s="197">
        <f>J38</f>
        <v>3.3000000000000002E-2</v>
      </c>
      <c r="D39" s="194"/>
      <c r="E39" s="193"/>
      <c r="F39" s="194"/>
      <c r="G39" s="194"/>
      <c r="H39" s="194"/>
      <c r="I39" s="250" t="s">
        <v>236</v>
      </c>
      <c r="J39" s="199">
        <v>8.7900000000000006E-2</v>
      </c>
      <c r="L39" s="265"/>
      <c r="M39" s="268"/>
      <c r="N39" s="236">
        <v>2.7221846849999998</v>
      </c>
      <c r="O39" s="227"/>
      <c r="P39" s="226"/>
      <c r="Q39" s="227"/>
      <c r="R39" s="227"/>
      <c r="S39" s="227"/>
      <c r="T39" s="250" t="s">
        <v>236</v>
      </c>
    </row>
    <row r="40" spans="1:21" ht="20.100000000000001" customHeight="1">
      <c r="A40" s="265"/>
      <c r="B40" s="267">
        <v>0.2</v>
      </c>
      <c r="C40" s="194"/>
      <c r="D40" s="200">
        <f>B40*J37+J38</f>
        <v>6.8159999999999998E-2</v>
      </c>
      <c r="E40" s="193"/>
      <c r="F40" s="194"/>
      <c r="G40" s="194"/>
      <c r="H40" s="194"/>
      <c r="I40" s="247"/>
      <c r="J40" s="248"/>
      <c r="L40" s="265"/>
      <c r="M40" s="267">
        <v>0.2</v>
      </c>
      <c r="N40" s="227"/>
      <c r="O40" s="229">
        <v>5.9893795123199984</v>
      </c>
      <c r="P40" s="226"/>
      <c r="Q40" s="227"/>
      <c r="R40" s="227"/>
      <c r="S40" s="227"/>
      <c r="T40" s="247"/>
    </row>
    <row r="41" spans="1:21" ht="20.100000000000001" customHeight="1">
      <c r="A41" s="265"/>
      <c r="B41" s="268"/>
      <c r="C41" s="194"/>
      <c r="D41" s="197">
        <f>D37*J37+J39</f>
        <v>0.22854000000000002</v>
      </c>
      <c r="E41" s="193"/>
      <c r="F41" s="194"/>
      <c r="G41" s="194"/>
      <c r="H41" s="194"/>
      <c r="I41" s="201"/>
      <c r="J41" s="249"/>
      <c r="L41" s="265"/>
      <c r="M41" s="268"/>
      <c r="N41" s="227"/>
      <c r="O41" s="228">
        <v>18.852366300299998</v>
      </c>
      <c r="P41" s="226"/>
      <c r="Q41" s="227"/>
      <c r="R41" s="227"/>
      <c r="S41" s="227"/>
      <c r="T41" s="201"/>
    </row>
    <row r="42" spans="1:21" ht="20.100000000000001" customHeight="1">
      <c r="A42" s="265"/>
      <c r="B42" s="267">
        <v>0.4</v>
      </c>
      <c r="C42" s="194"/>
      <c r="D42" s="194"/>
      <c r="E42" s="202">
        <f>B42*J37+J38</f>
        <v>0.10332000000000001</v>
      </c>
      <c r="F42" s="194"/>
      <c r="G42" s="194"/>
      <c r="H42" s="194"/>
      <c r="I42" s="201"/>
      <c r="J42" s="248"/>
      <c r="L42" s="265"/>
      <c r="M42" s="267">
        <v>0.4</v>
      </c>
      <c r="N42" s="227"/>
      <c r="O42" s="227"/>
      <c r="P42" s="225">
        <v>9.0789714086399975</v>
      </c>
      <c r="Q42" s="227"/>
      <c r="R42" s="227"/>
      <c r="S42" s="227"/>
      <c r="T42" s="201"/>
    </row>
    <row r="43" spans="1:21" ht="20.100000000000001" customHeight="1">
      <c r="A43" s="265"/>
      <c r="B43" s="268"/>
      <c r="C43" s="194"/>
      <c r="D43" s="194"/>
      <c r="E43" s="199">
        <f>E37*J37+J39</f>
        <v>0.19338</v>
      </c>
      <c r="F43" s="194"/>
      <c r="G43" s="194"/>
      <c r="H43" s="194"/>
      <c r="I43" s="201"/>
      <c r="J43" s="184"/>
      <c r="L43" s="265"/>
      <c r="M43" s="268"/>
      <c r="N43" s="227"/>
      <c r="O43" s="227"/>
      <c r="P43" s="230">
        <v>15.952002254099995</v>
      </c>
      <c r="Q43" s="227"/>
      <c r="R43" s="227"/>
      <c r="S43" s="227"/>
      <c r="T43" s="201"/>
    </row>
    <row r="44" spans="1:21" ht="20.100000000000001" customHeight="1">
      <c r="A44" s="265"/>
      <c r="B44" s="267">
        <v>0.6</v>
      </c>
      <c r="C44" s="194"/>
      <c r="D44" s="194"/>
      <c r="E44" s="203"/>
      <c r="F44" s="204">
        <f>B44*J37+J38</f>
        <v>0.13847999999999999</v>
      </c>
      <c r="G44" s="194"/>
      <c r="H44" s="194"/>
      <c r="I44" s="201"/>
      <c r="J44" s="184"/>
      <c r="L44" s="265"/>
      <c r="M44" s="267">
        <v>0.6</v>
      </c>
      <c r="N44" s="227"/>
      <c r="O44" s="227"/>
      <c r="P44" s="231"/>
      <c r="Q44" s="232">
        <v>12.168563304959997</v>
      </c>
      <c r="R44" s="227"/>
      <c r="S44" s="227"/>
      <c r="T44" s="201"/>
    </row>
    <row r="45" spans="1:21" ht="20.100000000000001" customHeight="1">
      <c r="A45" s="265"/>
      <c r="B45" s="268"/>
      <c r="C45" s="203"/>
      <c r="D45" s="203"/>
      <c r="E45" s="203"/>
      <c r="F45" s="205">
        <f>F37*J37+J39</f>
        <v>0.15822000000000003</v>
      </c>
      <c r="G45" s="206"/>
      <c r="H45" s="194"/>
      <c r="I45" s="201"/>
      <c r="J45" s="184"/>
      <c r="L45" s="265"/>
      <c r="M45" s="268"/>
      <c r="N45" s="231"/>
      <c r="O45" s="231"/>
      <c r="P45" s="231"/>
      <c r="Q45" s="233">
        <v>13.0516382079</v>
      </c>
      <c r="R45" s="226"/>
      <c r="S45" s="227"/>
      <c r="T45" s="201"/>
    </row>
    <row r="46" spans="1:21" ht="20.100000000000001" customHeight="1">
      <c r="A46" s="265"/>
      <c r="B46" s="267">
        <v>0.8</v>
      </c>
      <c r="C46" s="206"/>
      <c r="D46" s="206"/>
      <c r="E46" s="206"/>
      <c r="F46" s="206"/>
      <c r="G46" s="200">
        <f>B46*J37+J38</f>
        <v>0.17364000000000002</v>
      </c>
      <c r="H46" s="194"/>
      <c r="I46" s="201"/>
      <c r="J46" s="184"/>
      <c r="L46" s="265"/>
      <c r="M46" s="267">
        <v>0.8</v>
      </c>
      <c r="N46" s="226"/>
      <c r="O46" s="226"/>
      <c r="P46" s="226"/>
      <c r="Q46" s="226"/>
      <c r="R46" s="229">
        <v>15.258155201279997</v>
      </c>
      <c r="S46" s="227"/>
      <c r="T46" s="201"/>
    </row>
    <row r="47" spans="1:21" ht="20.100000000000001" customHeight="1">
      <c r="A47" s="265"/>
      <c r="B47" s="268"/>
      <c r="C47" s="206"/>
      <c r="D47" s="206"/>
      <c r="E47" s="194"/>
      <c r="F47" s="206"/>
      <c r="G47" s="197">
        <f>G37*J37+J39</f>
        <v>0.12306</v>
      </c>
      <c r="H47" s="194"/>
      <c r="I47" s="201"/>
      <c r="J47" s="184"/>
      <c r="L47" s="265"/>
      <c r="M47" s="268"/>
      <c r="N47" s="226"/>
      <c r="O47" s="226"/>
      <c r="P47" s="227"/>
      <c r="Q47" s="226"/>
      <c r="R47" s="228">
        <v>10.151274161699998</v>
      </c>
      <c r="S47" s="227"/>
      <c r="T47" s="201"/>
    </row>
    <row r="48" spans="1:21" ht="20.100000000000001" customHeight="1">
      <c r="A48" s="265"/>
      <c r="B48" s="267">
        <v>1</v>
      </c>
      <c r="C48" s="194"/>
      <c r="D48" s="207"/>
      <c r="E48" s="194"/>
      <c r="F48" s="194"/>
      <c r="G48" s="194"/>
      <c r="H48" s="200">
        <f>J38+J37</f>
        <v>0.20880000000000001</v>
      </c>
      <c r="I48" s="201"/>
      <c r="J48" s="184"/>
      <c r="L48" s="265"/>
      <c r="M48" s="267">
        <v>1</v>
      </c>
      <c r="N48" s="227"/>
      <c r="O48" s="234"/>
      <c r="P48" s="227"/>
      <c r="Q48" s="227"/>
      <c r="R48" s="227"/>
      <c r="S48" s="229">
        <v>18.347747097599999</v>
      </c>
      <c r="T48" s="201"/>
    </row>
    <row r="49" spans="1:20" ht="20.100000000000001" customHeight="1">
      <c r="A49" s="266"/>
      <c r="B49" s="268"/>
      <c r="C49" s="194"/>
      <c r="D49" s="207"/>
      <c r="E49" s="207"/>
      <c r="F49" s="194"/>
      <c r="G49" s="194"/>
      <c r="H49" s="197">
        <f>J39</f>
        <v>8.7900000000000006E-2</v>
      </c>
      <c r="I49" s="201"/>
      <c r="J49" s="184"/>
      <c r="L49" s="266"/>
      <c r="M49" s="268"/>
      <c r="N49" s="227"/>
      <c r="O49" s="234"/>
      <c r="P49" s="234"/>
      <c r="Q49" s="227"/>
      <c r="R49" s="227"/>
      <c r="S49" s="228">
        <v>7.2509101154999991</v>
      </c>
      <c r="T49" s="201"/>
    </row>
    <row r="50" spans="1:20" ht="20.100000000000001" customHeight="1">
      <c r="A50" s="208"/>
      <c r="B50" s="209" t="s">
        <v>242</v>
      </c>
      <c r="C50" s="263" t="s">
        <v>249</v>
      </c>
      <c r="D50" s="263"/>
      <c r="E50" s="263"/>
      <c r="F50" s="263"/>
      <c r="G50" s="263"/>
      <c r="H50" s="263"/>
      <c r="I50" s="188" t="s">
        <v>241</v>
      </c>
      <c r="J50" s="190">
        <v>0.39560000000000001</v>
      </c>
      <c r="L50" s="208"/>
      <c r="M50" s="209" t="s">
        <v>242</v>
      </c>
      <c r="N50" s="263" t="s">
        <v>233</v>
      </c>
      <c r="O50" s="263"/>
      <c r="P50" s="263"/>
      <c r="Q50" s="263"/>
      <c r="R50" s="263"/>
      <c r="S50" s="263"/>
      <c r="T50" s="188" t="s">
        <v>241</v>
      </c>
    </row>
    <row r="51" spans="1:20" ht="20.100000000000001" customHeight="1">
      <c r="A51" s="264" t="s">
        <v>238</v>
      </c>
      <c r="B51" s="267">
        <v>0</v>
      </c>
      <c r="C51" s="191">
        <f>J50+J51</f>
        <v>0.48350000000000004</v>
      </c>
      <c r="D51" s="206"/>
      <c r="E51" s="206"/>
      <c r="F51" s="194"/>
      <c r="G51" s="194"/>
      <c r="H51" s="194"/>
      <c r="I51" s="195" t="s">
        <v>239</v>
      </c>
      <c r="J51" s="196">
        <v>8.7900000000000006E-2</v>
      </c>
      <c r="L51" s="264" t="s">
        <v>238</v>
      </c>
      <c r="M51" s="267">
        <v>0</v>
      </c>
      <c r="N51" s="217">
        <v>28.494619944</v>
      </c>
      <c r="O51" s="218"/>
      <c r="P51" s="218"/>
      <c r="Q51" s="219"/>
      <c r="R51" s="219"/>
      <c r="S51" s="219"/>
      <c r="T51" s="195" t="s">
        <v>239</v>
      </c>
    </row>
    <row r="52" spans="1:20" ht="20.100000000000001" customHeight="1">
      <c r="A52" s="265"/>
      <c r="B52" s="268"/>
      <c r="C52" s="197">
        <f>J52</f>
        <v>0.2198</v>
      </c>
      <c r="D52" s="194"/>
      <c r="E52" s="206"/>
      <c r="F52" s="194"/>
      <c r="G52" s="194"/>
      <c r="H52" s="194"/>
      <c r="I52" s="250" t="s">
        <v>236</v>
      </c>
      <c r="J52" s="199">
        <f>J16</f>
        <v>0.2198</v>
      </c>
      <c r="L52" s="265"/>
      <c r="M52" s="268"/>
      <c r="N52" s="220">
        <v>13.596611716799996</v>
      </c>
      <c r="O52" s="219"/>
      <c r="P52" s="218"/>
      <c r="Q52" s="219"/>
      <c r="R52" s="219"/>
      <c r="S52" s="219"/>
      <c r="T52" s="250" t="s">
        <v>236</v>
      </c>
    </row>
    <row r="53" spans="1:20" ht="20.100000000000001" customHeight="1">
      <c r="A53" s="265"/>
      <c r="B53" s="267">
        <v>0.2</v>
      </c>
      <c r="C53" s="194"/>
      <c r="D53" s="200">
        <f>B53*J50+J51</f>
        <v>0.16702</v>
      </c>
      <c r="E53" s="206"/>
      <c r="F53" s="194"/>
      <c r="G53" s="194"/>
      <c r="H53" s="194"/>
      <c r="I53" s="201"/>
      <c r="J53" s="184"/>
      <c r="L53" s="265"/>
      <c r="M53" s="267">
        <v>0.2</v>
      </c>
      <c r="N53" s="219"/>
      <c r="O53" s="221">
        <v>9.8431673692799997</v>
      </c>
      <c r="P53" s="218"/>
      <c r="Q53" s="219"/>
      <c r="R53" s="219"/>
      <c r="S53" s="219"/>
      <c r="T53" s="201"/>
    </row>
    <row r="54" spans="1:20" ht="20.100000000000001" customHeight="1">
      <c r="A54" s="265"/>
      <c r="B54" s="268"/>
      <c r="C54" s="194"/>
      <c r="D54" s="197">
        <f>D37*J50+J52</f>
        <v>0.53628000000000009</v>
      </c>
      <c r="E54" s="206"/>
      <c r="F54" s="194"/>
      <c r="G54" s="194"/>
      <c r="H54" s="194"/>
      <c r="I54" s="201"/>
      <c r="J54" s="184"/>
      <c r="L54" s="265"/>
      <c r="M54" s="268"/>
      <c r="N54" s="219"/>
      <c r="O54" s="220">
        <v>33.173753100479999</v>
      </c>
      <c r="P54" s="218"/>
      <c r="Q54" s="219"/>
      <c r="R54" s="219"/>
      <c r="S54" s="219"/>
      <c r="T54" s="201"/>
    </row>
    <row r="55" spans="1:20" ht="20.100000000000001" customHeight="1">
      <c r="A55" s="265"/>
      <c r="B55" s="267">
        <v>0.4</v>
      </c>
      <c r="C55" s="194"/>
      <c r="D55" s="194"/>
      <c r="E55" s="191">
        <f>B55*J50+J51</f>
        <v>0.24614000000000003</v>
      </c>
      <c r="F55" s="194"/>
      <c r="G55" s="194"/>
      <c r="H55" s="194"/>
      <c r="I55" s="201"/>
      <c r="J55" s="184"/>
      <c r="L55" s="265"/>
      <c r="M55" s="267">
        <v>0.4</v>
      </c>
      <c r="N55" s="219"/>
      <c r="O55" s="219"/>
      <c r="P55" s="217">
        <v>14.506030512960001</v>
      </c>
      <c r="Q55" s="219"/>
      <c r="R55" s="219"/>
      <c r="S55" s="219"/>
      <c r="T55" s="201"/>
    </row>
    <row r="56" spans="1:20" ht="20.100000000000001" customHeight="1">
      <c r="A56" s="265"/>
      <c r="B56" s="268"/>
      <c r="C56" s="194"/>
      <c r="D56" s="194"/>
      <c r="E56" s="199">
        <f>E37*J50+J52</f>
        <v>0.45716000000000001</v>
      </c>
      <c r="F56" s="194"/>
      <c r="G56" s="194"/>
      <c r="H56" s="194"/>
      <c r="I56" s="201"/>
      <c r="J56" s="184"/>
      <c r="L56" s="265"/>
      <c r="M56" s="268"/>
      <c r="N56" s="219"/>
      <c r="O56" s="219"/>
      <c r="P56" s="222">
        <v>28.279467754559992</v>
      </c>
      <c r="Q56" s="219"/>
      <c r="R56" s="219"/>
      <c r="S56" s="219"/>
      <c r="T56" s="201"/>
    </row>
    <row r="57" spans="1:20" ht="20.100000000000001" customHeight="1">
      <c r="A57" s="265"/>
      <c r="B57" s="267">
        <v>0.6</v>
      </c>
      <c r="C57" s="194"/>
      <c r="D57" s="194"/>
      <c r="E57" s="203"/>
      <c r="F57" s="200">
        <f>B57*J50+J51</f>
        <v>0.32525999999999999</v>
      </c>
      <c r="G57" s="194"/>
      <c r="H57" s="194"/>
      <c r="I57" s="201"/>
      <c r="J57" s="184"/>
      <c r="L57" s="265"/>
      <c r="M57" s="267">
        <v>0.6</v>
      </c>
      <c r="N57" s="219"/>
      <c r="O57" s="219"/>
      <c r="P57" s="223"/>
      <c r="Q57" s="221">
        <v>19.168893656639998</v>
      </c>
      <c r="R57" s="219"/>
      <c r="S57" s="219"/>
      <c r="T57" s="201"/>
    </row>
    <row r="58" spans="1:20" ht="20.100000000000001" customHeight="1">
      <c r="A58" s="265"/>
      <c r="B58" s="268"/>
      <c r="C58" s="203"/>
      <c r="D58" s="203"/>
      <c r="E58" s="203"/>
      <c r="F58" s="199">
        <f>F37*J50+J52</f>
        <v>0.37804000000000004</v>
      </c>
      <c r="G58" s="206"/>
      <c r="H58" s="194"/>
      <c r="I58" s="201"/>
      <c r="J58" s="184"/>
      <c r="L58" s="265"/>
      <c r="M58" s="268"/>
      <c r="N58" s="223"/>
      <c r="O58" s="223"/>
      <c r="P58" s="223"/>
      <c r="Q58" s="222">
        <v>23.385182408639999</v>
      </c>
      <c r="R58" s="218"/>
      <c r="S58" s="219"/>
      <c r="T58" s="201"/>
    </row>
    <row r="59" spans="1:20" ht="20.100000000000001" customHeight="1">
      <c r="A59" s="265"/>
      <c r="B59" s="267">
        <v>0.8</v>
      </c>
      <c r="C59" s="206"/>
      <c r="D59" s="206"/>
      <c r="E59" s="206"/>
      <c r="F59" s="206"/>
      <c r="G59" s="200">
        <f>B59*J50+J51</f>
        <v>0.40438000000000007</v>
      </c>
      <c r="H59" s="194"/>
      <c r="I59" s="201"/>
      <c r="J59" s="184"/>
      <c r="L59" s="265"/>
      <c r="M59" s="267">
        <v>0.8</v>
      </c>
      <c r="N59" s="218"/>
      <c r="O59" s="218"/>
      <c r="P59" s="218"/>
      <c r="Q59" s="218"/>
      <c r="R59" s="221">
        <v>23.831756800320004</v>
      </c>
      <c r="S59" s="219"/>
      <c r="T59" s="201"/>
    </row>
    <row r="60" spans="1:20" ht="20.100000000000001" customHeight="1">
      <c r="A60" s="265"/>
      <c r="B60" s="268"/>
      <c r="C60" s="206"/>
      <c r="D60" s="206"/>
      <c r="E60" s="194"/>
      <c r="F60" s="206"/>
      <c r="G60" s="197">
        <f>G37*J50+J52</f>
        <v>0.29891999999999996</v>
      </c>
      <c r="H60" s="194"/>
      <c r="I60" s="201"/>
      <c r="J60" s="184"/>
      <c r="L60" s="265"/>
      <c r="M60" s="268"/>
      <c r="N60" s="218"/>
      <c r="O60" s="218"/>
      <c r="P60" s="219"/>
      <c r="Q60" s="218"/>
      <c r="R60" s="220">
        <v>18.490897062719995</v>
      </c>
      <c r="S60" s="219"/>
      <c r="T60" s="201"/>
    </row>
    <row r="61" spans="1:20" ht="20.100000000000001" customHeight="1">
      <c r="A61" s="265"/>
      <c r="B61" s="267">
        <v>1</v>
      </c>
      <c r="C61" s="211"/>
      <c r="D61" s="212"/>
      <c r="E61" s="211"/>
      <c r="F61" s="194"/>
      <c r="G61" s="194"/>
      <c r="H61" s="200">
        <f>J50+J51</f>
        <v>0.48350000000000004</v>
      </c>
      <c r="I61" s="201"/>
      <c r="J61" s="184"/>
      <c r="L61" s="265"/>
      <c r="M61" s="267">
        <v>1</v>
      </c>
      <c r="N61" s="219"/>
      <c r="O61" s="224"/>
      <c r="P61" s="219"/>
      <c r="Q61" s="219"/>
      <c r="R61" s="219"/>
      <c r="S61" s="221">
        <v>28.494619944</v>
      </c>
      <c r="T61" s="201"/>
    </row>
    <row r="62" spans="1:20" ht="20.100000000000001" customHeight="1">
      <c r="A62" s="265"/>
      <c r="B62" s="268"/>
      <c r="C62" s="211"/>
      <c r="D62" s="212"/>
      <c r="E62" s="212"/>
      <c r="F62" s="194"/>
      <c r="G62" s="194"/>
      <c r="H62" s="197">
        <f>J52</f>
        <v>0.2198</v>
      </c>
      <c r="I62" s="201"/>
      <c r="J62" s="184"/>
      <c r="L62" s="265"/>
      <c r="M62" s="268"/>
      <c r="N62" s="219"/>
      <c r="O62" s="224"/>
      <c r="P62" s="224"/>
      <c r="Q62" s="219"/>
      <c r="R62" s="219"/>
      <c r="S62" s="220">
        <v>13.596611716799996</v>
      </c>
      <c r="T62" s="201"/>
    </row>
    <row r="63" spans="1:20" ht="20.100000000000001" customHeight="1">
      <c r="A63" s="266"/>
      <c r="B63" s="185" t="s">
        <v>243</v>
      </c>
      <c r="C63" s="213">
        <f>SUM(C38:C62)</f>
        <v>1</v>
      </c>
      <c r="D63" s="213">
        <f t="shared" ref="D63" si="2">SUM(D38:D62)</f>
        <v>1</v>
      </c>
      <c r="E63" s="213">
        <f t="shared" ref="E63" si="3">SUM(E38:E62)</f>
        <v>1</v>
      </c>
      <c r="F63" s="213">
        <f t="shared" ref="F63" si="4">SUM(F38:F62)</f>
        <v>1</v>
      </c>
      <c r="G63" s="213">
        <f t="shared" ref="G63" si="5">SUM(G38:G62)</f>
        <v>1</v>
      </c>
      <c r="H63" s="213">
        <f t="shared" ref="H63" si="6">SUM(H38:H62)</f>
        <v>1</v>
      </c>
      <c r="I63" s="184"/>
      <c r="J63" s="184"/>
      <c r="L63" s="266"/>
      <c r="M63" s="185" t="s">
        <v>244</v>
      </c>
      <c r="N63" s="235">
        <f t="shared" ref="N63:S63" si="7">SUM(N38:N62)</f>
        <v>67.985355568199992</v>
      </c>
      <c r="O63" s="235">
        <f t="shared" si="7"/>
        <v>67.85866628238</v>
      </c>
      <c r="P63" s="235">
        <f t="shared" si="7"/>
        <v>67.816471930259979</v>
      </c>
      <c r="Q63" s="235">
        <f t="shared" si="7"/>
        <v>67.774277578139987</v>
      </c>
      <c r="R63" s="235">
        <f t="shared" si="7"/>
        <v>67.732083226019995</v>
      </c>
      <c r="S63" s="237">
        <f t="shared" si="7"/>
        <v>67.689888873899989</v>
      </c>
      <c r="T63" s="184"/>
    </row>
    <row r="64" spans="1:20" ht="20.100000000000001" customHeight="1">
      <c r="A64" s="214"/>
      <c r="B64" s="215" t="s">
        <v>245</v>
      </c>
      <c r="C64" s="216">
        <v>924.52892384025097</v>
      </c>
      <c r="D64" s="216">
        <v>924.40223455443095</v>
      </c>
      <c r="E64" s="216">
        <v>924.36004020231087</v>
      </c>
      <c r="F64" s="216">
        <v>924.31784585019079</v>
      </c>
      <c r="G64" s="216">
        <v>924.27565149807094</v>
      </c>
      <c r="H64" s="216">
        <v>924.23345714595087</v>
      </c>
      <c r="I64" s="185" t="s">
        <v>246</v>
      </c>
      <c r="J64" s="238">
        <f>J30</f>
        <v>929.41751284347936</v>
      </c>
      <c r="L64" s="240"/>
      <c r="M64" s="195" t="s">
        <v>239</v>
      </c>
      <c r="N64" s="251">
        <f>SUM(N38+N51)</f>
        <v>51.666559166399999</v>
      </c>
      <c r="O64" s="251">
        <f>SUM(O40+O53)</f>
        <v>15.832546881599999</v>
      </c>
      <c r="P64" s="251">
        <f>P42+P55</f>
        <v>23.585001921599996</v>
      </c>
      <c r="Q64" s="251">
        <f>Q44+Q57</f>
        <v>31.337456961599997</v>
      </c>
      <c r="R64" s="251">
        <f>R46+R59</f>
        <v>39.089912001599998</v>
      </c>
      <c r="S64" s="251">
        <f>S48+S61</f>
        <v>46.842367041599999</v>
      </c>
      <c r="T64" s="242"/>
    </row>
    <row r="65" spans="1:20" ht="20.100000000000001" customHeight="1">
      <c r="A65" s="214"/>
      <c r="B65" s="215" t="s">
        <v>247</v>
      </c>
      <c r="C65" s="216">
        <f>C64-J64</f>
        <v>-4.8885890032283896</v>
      </c>
      <c r="D65" s="216">
        <f>D64-J64</f>
        <v>-5.0152782890484104</v>
      </c>
      <c r="E65" s="216">
        <f>E64-J64</f>
        <v>-5.0574726411684878</v>
      </c>
      <c r="F65" s="216">
        <f>F64-J64</f>
        <v>-5.0996669932885652</v>
      </c>
      <c r="G65" s="216">
        <f>G64-J64</f>
        <v>-5.1418613454084152</v>
      </c>
      <c r="H65" s="239">
        <f>H64-J64</f>
        <v>-5.1840556975284926</v>
      </c>
      <c r="I65" s="186"/>
      <c r="J65" s="184"/>
      <c r="L65" s="241"/>
      <c r="M65" s="250" t="s">
        <v>236</v>
      </c>
      <c r="N65" s="251">
        <f>SUM(N39+N52)</f>
        <v>16.318796401799997</v>
      </c>
      <c r="O65" s="252">
        <f>SUM(O41+O54)</f>
        <v>52.026119400779997</v>
      </c>
      <c r="P65" s="251">
        <f>P43+P56</f>
        <v>44.231470008659983</v>
      </c>
      <c r="Q65" s="251">
        <f>Q45+Q58</f>
        <v>36.436820616539997</v>
      </c>
      <c r="R65" s="251">
        <f>R47+R60</f>
        <v>28.642171224419993</v>
      </c>
      <c r="S65" s="252">
        <f>S49+S62</f>
        <v>20.847521832299996</v>
      </c>
      <c r="T65" s="186"/>
    </row>
  </sheetData>
  <mergeCells count="68">
    <mergeCell ref="B59:B60"/>
    <mergeCell ref="M59:M60"/>
    <mergeCell ref="B61:B62"/>
    <mergeCell ref="M61:M62"/>
    <mergeCell ref="A51:A63"/>
    <mergeCell ref="B51:B52"/>
    <mergeCell ref="L51:L63"/>
    <mergeCell ref="M51:M52"/>
    <mergeCell ref="B53:B54"/>
    <mergeCell ref="M53:M54"/>
    <mergeCell ref="B55:B56"/>
    <mergeCell ref="M55:M56"/>
    <mergeCell ref="B57:B58"/>
    <mergeCell ref="M57:M58"/>
    <mergeCell ref="N50:S50"/>
    <mergeCell ref="A38:A49"/>
    <mergeCell ref="B38:B39"/>
    <mergeCell ref="L38:L49"/>
    <mergeCell ref="M38:M39"/>
    <mergeCell ref="B40:B41"/>
    <mergeCell ref="M40:M41"/>
    <mergeCell ref="B42:B43"/>
    <mergeCell ref="M42:M43"/>
    <mergeCell ref="B44:B45"/>
    <mergeCell ref="M44:M45"/>
    <mergeCell ref="B46:B47"/>
    <mergeCell ref="M46:M47"/>
    <mergeCell ref="B48:B49"/>
    <mergeCell ref="M48:M49"/>
    <mergeCell ref="C50:H50"/>
    <mergeCell ref="B27:B28"/>
    <mergeCell ref="M27:M28"/>
    <mergeCell ref="B35:H35"/>
    <mergeCell ref="M35:S35"/>
    <mergeCell ref="C36:H36"/>
    <mergeCell ref="N36:S36"/>
    <mergeCell ref="B14:B15"/>
    <mergeCell ref="M14:M15"/>
    <mergeCell ref="C16:H16"/>
    <mergeCell ref="N16:S16"/>
    <mergeCell ref="A17:A29"/>
    <mergeCell ref="B17:B18"/>
    <mergeCell ref="L17:L29"/>
    <mergeCell ref="M17:M18"/>
    <mergeCell ref="B19:B20"/>
    <mergeCell ref="M19:M20"/>
    <mergeCell ref="B21:B22"/>
    <mergeCell ref="M21:M22"/>
    <mergeCell ref="B23:B24"/>
    <mergeCell ref="M23:M24"/>
    <mergeCell ref="B25:B26"/>
    <mergeCell ref="M25:M26"/>
    <mergeCell ref="B1:H1"/>
    <mergeCell ref="M1:S1"/>
    <mergeCell ref="C2:H2"/>
    <mergeCell ref="N2:S2"/>
    <mergeCell ref="A4:A15"/>
    <mergeCell ref="B4:B5"/>
    <mergeCell ref="L4:L15"/>
    <mergeCell ref="M4:M5"/>
    <mergeCell ref="B6:B7"/>
    <mergeCell ref="M6:M7"/>
    <mergeCell ref="B8:B9"/>
    <mergeCell ref="M8:M9"/>
    <mergeCell ref="B10:B11"/>
    <mergeCell ref="M10:M11"/>
    <mergeCell ref="B12:B13"/>
    <mergeCell ref="M12:M13"/>
  </mergeCells>
  <conditionalFormatting sqref="C31:H33">
    <cfRule type="top10" dxfId="17" priority="19" rank="1"/>
    <cfRule type="top10" dxfId="16" priority="21" rank="1"/>
  </conditionalFormatting>
  <conditionalFormatting sqref="C30:H30">
    <cfRule type="top10" dxfId="15" priority="18" bottom="1" rank="1"/>
    <cfRule type="top10" dxfId="14" priority="20" rank="1"/>
  </conditionalFormatting>
  <conditionalFormatting sqref="N29:S29">
    <cfRule type="top10" dxfId="13" priority="17" rank="1"/>
  </conditionalFormatting>
  <conditionalFormatting sqref="C65:H65">
    <cfRule type="top10" dxfId="12" priority="14" rank="1"/>
    <cfRule type="top10" dxfId="11" priority="16" rank="1"/>
  </conditionalFormatting>
  <conditionalFormatting sqref="C64:H64">
    <cfRule type="top10" dxfId="10" priority="13" bottom="1" rank="1"/>
    <cfRule type="top10" dxfId="9" priority="15" rank="1"/>
  </conditionalFormatting>
  <conditionalFormatting sqref="N63:S63">
    <cfRule type="top10" dxfId="8" priority="10" bottom="1" rank="1"/>
    <cfRule type="top10" dxfId="7" priority="12" rank="1"/>
  </conditionalFormatting>
  <conditionalFormatting sqref="M63:S63">
    <cfRule type="top10" dxfId="6" priority="11" rank="1"/>
  </conditionalFormatting>
  <conditionalFormatting sqref="Y6:AC6">
    <cfRule type="top10" dxfId="5" priority="6" rank="1"/>
    <cfRule type="top10" dxfId="4" priority="8" rank="1"/>
  </conditionalFormatting>
  <conditionalFormatting sqref="X5:AC5">
    <cfRule type="top10" dxfId="3" priority="5" bottom="1" rank="1"/>
    <cfRule type="top10" dxfId="2" priority="7" rank="1"/>
  </conditionalFormatting>
  <conditionalFormatting sqref="Y5:AC5">
    <cfRule type="top10" dxfId="1" priority="2" rank="1"/>
    <cfRule type="top10" dxfId="0" priority="4" rank="1"/>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A0119-0376-4124-9DBD-EFF0155E41FF}">
  <dimension ref="A1:V103"/>
  <sheetViews>
    <sheetView zoomScale="85" zoomScaleNormal="85" workbookViewId="0">
      <pane xSplit="1" ySplit="1" topLeftCell="B2" activePane="bottomRight" state="frozen"/>
      <selection pane="bottomRight" activeCell="O24" sqref="O24"/>
      <selection pane="bottomLeft" activeCell="A2" sqref="A2"/>
      <selection pane="topRight" activeCell="B1" sqref="B1"/>
    </sheetView>
  </sheetViews>
  <sheetFormatPr defaultColWidth="8.85546875" defaultRowHeight="15"/>
  <cols>
    <col min="1" max="1" width="5.140625" style="4" bestFit="1" customWidth="1"/>
    <col min="2" max="2" width="15.28515625" style="4" bestFit="1" customWidth="1"/>
    <col min="3" max="3" width="16.85546875" style="4" bestFit="1" customWidth="1"/>
    <col min="4" max="4" width="29.85546875" style="4" bestFit="1" customWidth="1"/>
    <col min="5" max="6" width="13.7109375" style="4" hidden="1" customWidth="1"/>
    <col min="7" max="7" width="14.7109375" style="4" hidden="1" customWidth="1"/>
    <col min="8" max="8" width="15.28515625" style="4" hidden="1" customWidth="1"/>
    <col min="9" max="9" width="15.28515625" style="59" customWidth="1"/>
    <col min="10" max="10" width="14.140625" style="59" customWidth="1"/>
    <col min="11" max="11" width="19" style="121" customWidth="1"/>
    <col min="12" max="12" width="14.140625" style="59" customWidth="1"/>
    <col min="13" max="14" width="10.85546875" customWidth="1"/>
    <col min="15" max="15" width="22.28515625" customWidth="1"/>
    <col min="16" max="16" width="18.85546875" customWidth="1"/>
    <col min="17" max="17" width="16.28515625" customWidth="1"/>
    <col min="18" max="18" width="20.28515625" bestFit="1" customWidth="1"/>
    <col min="19" max="19" width="8.7109375" style="59"/>
  </cols>
  <sheetData>
    <row r="1" spans="1:22" s="1" customFormat="1" ht="28.35" customHeight="1">
      <c r="A1" s="47" t="s">
        <v>33</v>
      </c>
      <c r="B1" s="47" t="s">
        <v>15</v>
      </c>
      <c r="C1" s="47" t="s">
        <v>34</v>
      </c>
      <c r="D1" s="47" t="s">
        <v>35</v>
      </c>
      <c r="E1" s="10" t="s">
        <v>250</v>
      </c>
      <c r="F1" s="10" t="s">
        <v>251</v>
      </c>
      <c r="G1" s="10" t="s">
        <v>38</v>
      </c>
      <c r="H1" s="10" t="s">
        <v>39</v>
      </c>
      <c r="I1" s="105" t="s">
        <v>252</v>
      </c>
      <c r="J1" s="105" t="s">
        <v>253</v>
      </c>
      <c r="K1" s="104" t="s">
        <v>254</v>
      </c>
      <c r="L1" s="61"/>
      <c r="M1" s="61"/>
      <c r="N1" s="61" t="s">
        <v>255</v>
      </c>
      <c r="O1" s="4"/>
      <c r="P1" s="62" t="s">
        <v>123</v>
      </c>
      <c r="Q1" s="122" t="s">
        <v>256</v>
      </c>
      <c r="R1" s="123" t="s">
        <v>257</v>
      </c>
    </row>
    <row r="2" spans="1:22" ht="15.95">
      <c r="A2" s="48">
        <v>1</v>
      </c>
      <c r="B2" s="6" t="s">
        <v>23</v>
      </c>
      <c r="C2" s="53" t="s">
        <v>40</v>
      </c>
      <c r="D2" s="52" t="s">
        <v>41</v>
      </c>
      <c r="E2" s="106">
        <f>SUM(F2:H2)</f>
        <v>3.3803679999999998</v>
      </c>
      <c r="F2" s="106">
        <v>2.995031</v>
      </c>
      <c r="G2" s="106">
        <v>0.38144</v>
      </c>
      <c r="H2" s="106">
        <v>3.8969999999999999E-3</v>
      </c>
      <c r="I2" s="107">
        <f>J2/SUM($J$2:$J$4)</f>
        <v>0.4337349397590361</v>
      </c>
      <c r="J2" s="108">
        <v>0.36</v>
      </c>
      <c r="K2" s="103">
        <f>E2*I2</f>
        <v>1.4661837108433733</v>
      </c>
      <c r="L2" s="119"/>
      <c r="M2" s="4"/>
      <c r="N2" s="7">
        <v>1</v>
      </c>
      <c r="O2" s="7" t="s">
        <v>124</v>
      </c>
      <c r="P2" s="7">
        <v>80</v>
      </c>
      <c r="Q2" s="109">
        <v>0.82</v>
      </c>
      <c r="R2" s="124">
        <f>SUM(K36:K51)</f>
        <v>0.74071681132075473</v>
      </c>
      <c r="S2"/>
    </row>
    <row r="3" spans="1:22" ht="15.95">
      <c r="A3" s="48">
        <v>2</v>
      </c>
      <c r="B3" s="6" t="s">
        <v>23</v>
      </c>
      <c r="C3" s="53" t="s">
        <v>42</v>
      </c>
      <c r="D3" s="53" t="s">
        <v>41</v>
      </c>
      <c r="E3" s="106">
        <f t="shared" ref="E3:E73" si="0">SUM(F3:H3)</f>
        <v>3.7630210000000002</v>
      </c>
      <c r="F3" s="106">
        <v>2.9989279999999998</v>
      </c>
      <c r="G3" s="106">
        <v>0.76137900000000003</v>
      </c>
      <c r="H3" s="106">
        <v>2.7139999999999998E-3</v>
      </c>
      <c r="I3" s="107">
        <f t="shared" ref="I3:I4" si="1">J3/SUM($J$2:$J$4)</f>
        <v>1.2048192771084336E-2</v>
      </c>
      <c r="J3" s="108">
        <v>0.01</v>
      </c>
      <c r="K3" s="103">
        <f t="shared" ref="K3:K73" si="2">E3*I3</f>
        <v>4.533760240963855E-2</v>
      </c>
      <c r="L3" s="119"/>
      <c r="M3" s="4"/>
      <c r="N3" s="7">
        <v>2</v>
      </c>
      <c r="O3" s="7" t="s">
        <v>28</v>
      </c>
      <c r="P3" s="7">
        <v>72</v>
      </c>
      <c r="Q3" s="109">
        <v>0.42</v>
      </c>
      <c r="R3" s="124">
        <f>SUM(K25:K33)</f>
        <v>0.4049254074889867</v>
      </c>
      <c r="S3"/>
    </row>
    <row r="4" spans="1:22" ht="15.95">
      <c r="A4" s="48">
        <v>3</v>
      </c>
      <c r="B4" s="6" t="s">
        <v>23</v>
      </c>
      <c r="C4" s="53" t="s">
        <v>42</v>
      </c>
      <c r="D4" s="53" t="s">
        <v>43</v>
      </c>
      <c r="E4" s="106">
        <f t="shared" si="0"/>
        <v>3.6325800000000004</v>
      </c>
      <c r="F4" s="106">
        <v>2.5277020000000001</v>
      </c>
      <c r="G4" s="106">
        <v>0.68049199999999999</v>
      </c>
      <c r="H4" s="106">
        <v>0.42438599999999999</v>
      </c>
      <c r="I4" s="107">
        <f t="shared" si="1"/>
        <v>0.55421686746987953</v>
      </c>
      <c r="J4" s="108">
        <v>0.46</v>
      </c>
      <c r="K4" s="103">
        <f t="shared" si="2"/>
        <v>2.013237108433735</v>
      </c>
      <c r="L4" s="119"/>
      <c r="M4" s="4"/>
      <c r="N4" s="7">
        <v>3</v>
      </c>
      <c r="O4" s="7" t="s">
        <v>31</v>
      </c>
      <c r="P4" s="7">
        <v>45</v>
      </c>
      <c r="Q4" s="109">
        <v>2.57</v>
      </c>
      <c r="R4" s="124">
        <f>SUM(K54:K56)</f>
        <v>2.5732208043478266</v>
      </c>
      <c r="S4"/>
    </row>
    <row r="5" spans="1:22">
      <c r="A5" s="48"/>
      <c r="B5" s="269" t="s">
        <v>36</v>
      </c>
      <c r="C5" s="270"/>
      <c r="D5" s="271"/>
      <c r="E5" s="106"/>
      <c r="F5" s="106"/>
      <c r="G5" s="106"/>
      <c r="H5" s="106"/>
      <c r="I5" s="169">
        <v>1</v>
      </c>
      <c r="J5" s="169">
        <f>SUM(J2:J4)</f>
        <v>0.83000000000000007</v>
      </c>
      <c r="K5" s="103"/>
      <c r="L5" s="119"/>
      <c r="M5" s="4"/>
      <c r="N5" s="7"/>
      <c r="O5" s="7"/>
      <c r="P5" s="7"/>
      <c r="Q5" s="109"/>
      <c r="R5" s="124"/>
      <c r="S5"/>
    </row>
    <row r="6" spans="1:22" ht="15.95">
      <c r="A6" s="48">
        <v>4</v>
      </c>
      <c r="B6" s="6" t="s">
        <v>24</v>
      </c>
      <c r="C6" s="55" t="s">
        <v>40</v>
      </c>
      <c r="D6" s="54" t="s">
        <v>41</v>
      </c>
      <c r="E6" s="110">
        <f t="shared" si="0"/>
        <v>4.1421920000000005</v>
      </c>
      <c r="F6" s="110">
        <v>3.812459</v>
      </c>
      <c r="G6" s="110">
        <v>0.32567699999999999</v>
      </c>
      <c r="H6" s="110">
        <v>4.0559999999999997E-3</v>
      </c>
      <c r="I6" s="107">
        <f>J6/SUM($J$6:$J$7)</f>
        <v>0.36170212765957449</v>
      </c>
      <c r="J6" s="108">
        <v>0.34</v>
      </c>
      <c r="K6" s="103">
        <f t="shared" si="2"/>
        <v>1.4982396595744685</v>
      </c>
      <c r="L6" s="119"/>
      <c r="M6" s="4"/>
      <c r="N6" s="7">
        <v>4</v>
      </c>
      <c r="O6" s="7" t="s">
        <v>32</v>
      </c>
      <c r="P6" s="7">
        <v>46</v>
      </c>
      <c r="Q6" s="109">
        <v>0.72</v>
      </c>
      <c r="R6" s="124">
        <f>SUM(K52:K53)</f>
        <v>0.72266448936170213</v>
      </c>
      <c r="S6"/>
    </row>
    <row r="7" spans="1:22" ht="15.95">
      <c r="A7" s="48">
        <v>5</v>
      </c>
      <c r="B7" s="6" t="s">
        <v>24</v>
      </c>
      <c r="C7" s="55" t="s">
        <v>42</v>
      </c>
      <c r="D7" s="54" t="s">
        <v>41</v>
      </c>
      <c r="E7" s="110">
        <f t="shared" si="0"/>
        <v>4.2503690000000001</v>
      </c>
      <c r="F7" s="110">
        <v>3.812459</v>
      </c>
      <c r="G7" s="110">
        <v>0.43385400000000002</v>
      </c>
      <c r="H7" s="110">
        <v>4.0559999999999997E-3</v>
      </c>
      <c r="I7" s="107">
        <f>J7/SUM($J$6:$J$7)</f>
        <v>0.63829787234042556</v>
      </c>
      <c r="J7" s="108">
        <v>0.6</v>
      </c>
      <c r="K7" s="103">
        <f t="shared" si="2"/>
        <v>2.7130014893617025</v>
      </c>
      <c r="L7" s="119"/>
      <c r="M7" s="4"/>
      <c r="N7" s="7">
        <v>5</v>
      </c>
      <c r="O7" s="7" t="s">
        <v>23</v>
      </c>
      <c r="P7" s="7">
        <v>34</v>
      </c>
      <c r="Q7" s="109">
        <v>3.54</v>
      </c>
      <c r="R7" s="124">
        <f>SUM(K2:K4)</f>
        <v>3.5247584216867471</v>
      </c>
      <c r="S7"/>
    </row>
    <row r="8" spans="1:22" ht="15.95">
      <c r="A8" s="48">
        <v>6</v>
      </c>
      <c r="B8" s="6" t="s">
        <v>21</v>
      </c>
      <c r="C8" s="53" t="s">
        <v>44</v>
      </c>
      <c r="D8" s="53" t="s">
        <v>45</v>
      </c>
      <c r="E8" s="106">
        <f t="shared" si="0"/>
        <v>21.220103999999999</v>
      </c>
      <c r="F8" s="106">
        <v>13.19894</v>
      </c>
      <c r="G8" s="106">
        <v>0.90092099999999997</v>
      </c>
      <c r="H8" s="106">
        <v>7.1202430000000003</v>
      </c>
      <c r="I8" s="107">
        <f>J8/SUM($J$8:$J$9)</f>
        <v>0.3</v>
      </c>
      <c r="J8" s="108">
        <v>0.3</v>
      </c>
      <c r="K8" s="103">
        <f t="shared" si="2"/>
        <v>6.3660311999999992</v>
      </c>
      <c r="L8" s="119"/>
      <c r="M8" s="4"/>
      <c r="N8" s="7">
        <v>6</v>
      </c>
      <c r="O8" s="7" t="s">
        <v>22</v>
      </c>
      <c r="P8" s="7">
        <v>22</v>
      </c>
      <c r="Q8" s="109">
        <v>12.77</v>
      </c>
      <c r="R8" s="124">
        <f>SUM(K10:K16)</f>
        <v>11.945393876296295</v>
      </c>
      <c r="S8"/>
    </row>
    <row r="9" spans="1:22" ht="15.95">
      <c r="A9" s="48">
        <v>7</v>
      </c>
      <c r="B9" s="6" t="s">
        <v>21</v>
      </c>
      <c r="C9" s="53" t="s">
        <v>42</v>
      </c>
      <c r="D9" s="53" t="s">
        <v>45</v>
      </c>
      <c r="E9" s="106">
        <f t="shared" si="0"/>
        <v>14.342961000000001</v>
      </c>
      <c r="F9" s="106">
        <v>13.19894</v>
      </c>
      <c r="G9" s="106">
        <v>0.96768900000000002</v>
      </c>
      <c r="H9" s="106">
        <v>0.17633199999999999</v>
      </c>
      <c r="I9" s="107">
        <f>J9/SUM($J$8:$J$9)</f>
        <v>0.7</v>
      </c>
      <c r="J9" s="108">
        <v>0.7</v>
      </c>
      <c r="K9" s="103">
        <f t="shared" si="2"/>
        <v>10.0400727</v>
      </c>
      <c r="L9" s="119"/>
      <c r="M9" s="4"/>
      <c r="N9" s="7">
        <v>7</v>
      </c>
      <c r="O9" s="7" t="s">
        <v>25</v>
      </c>
      <c r="P9" s="7">
        <v>22</v>
      </c>
      <c r="Q9" s="109">
        <v>3.08</v>
      </c>
      <c r="R9" s="124">
        <f>SUM(K23:K24)</f>
        <v>3.0794528699999999</v>
      </c>
      <c r="S9"/>
    </row>
    <row r="10" spans="1:22" ht="15.95">
      <c r="A10" s="48">
        <v>8</v>
      </c>
      <c r="B10" s="6" t="s">
        <v>22</v>
      </c>
      <c r="C10" s="55" t="s">
        <v>40</v>
      </c>
      <c r="D10" s="54" t="s">
        <v>46</v>
      </c>
      <c r="E10" s="110">
        <f t="shared" si="0"/>
        <v>9.0093472999999999</v>
      </c>
      <c r="F10" s="110">
        <v>7.22039819</v>
      </c>
      <c r="G10" s="110">
        <v>1.7484542000000001</v>
      </c>
      <c r="H10" s="110">
        <v>4.0494910000000002E-2</v>
      </c>
      <c r="I10" s="107">
        <f>J10/SUM($J$10:$J$16)</f>
        <v>0.20987654320987653</v>
      </c>
      <c r="J10" s="108">
        <v>0.17</v>
      </c>
      <c r="K10" s="103">
        <f t="shared" si="2"/>
        <v>1.8908506679012345</v>
      </c>
      <c r="L10" s="119"/>
      <c r="M10" s="4"/>
      <c r="N10" s="7">
        <v>8</v>
      </c>
      <c r="O10" s="7" t="s">
        <v>125</v>
      </c>
      <c r="P10" s="7">
        <v>16</v>
      </c>
      <c r="Q10" s="109">
        <v>0.4</v>
      </c>
      <c r="R10" s="124">
        <f>SUM(K59:K69)</f>
        <v>0.38525102516309423</v>
      </c>
      <c r="S10"/>
    </row>
    <row r="11" spans="1:22" ht="14.25" customHeight="1">
      <c r="A11" s="48">
        <v>9</v>
      </c>
      <c r="B11" s="6" t="s">
        <v>22</v>
      </c>
      <c r="C11" s="55" t="s">
        <v>44</v>
      </c>
      <c r="D11" s="55" t="s">
        <v>43</v>
      </c>
      <c r="E11" s="110">
        <f t="shared" si="0"/>
        <v>26.974032749999999</v>
      </c>
      <c r="F11" s="110">
        <v>7.2956225999999997</v>
      </c>
      <c r="G11" s="110">
        <v>0.81951735000000003</v>
      </c>
      <c r="H11" s="110">
        <v>18.8588928</v>
      </c>
      <c r="I11" s="107">
        <f t="shared" ref="I11:I16" si="3">J11/SUM($J$10:$J$16)</f>
        <v>0.12345679012345678</v>
      </c>
      <c r="J11" s="108">
        <v>0.1</v>
      </c>
      <c r="K11" s="103">
        <f t="shared" si="2"/>
        <v>3.3301274999999997</v>
      </c>
      <c r="L11" s="119"/>
      <c r="M11" s="4"/>
      <c r="N11" s="7">
        <v>9</v>
      </c>
      <c r="O11" s="7" t="s">
        <v>26</v>
      </c>
      <c r="P11" s="7">
        <v>15</v>
      </c>
      <c r="Q11" s="109">
        <v>6.28</v>
      </c>
      <c r="R11" s="124">
        <f>SUM(K72:K80)</f>
        <v>6.1723669333333318</v>
      </c>
      <c r="S11"/>
    </row>
    <row r="12" spans="1:22" ht="15.95">
      <c r="A12" s="48">
        <v>10</v>
      </c>
      <c r="B12" s="6" t="s">
        <v>22</v>
      </c>
      <c r="C12" s="55" t="s">
        <v>44</v>
      </c>
      <c r="D12" s="55" t="s">
        <v>45</v>
      </c>
      <c r="E12" s="110">
        <f t="shared" si="0"/>
        <v>18.329881700000001</v>
      </c>
      <c r="F12" s="110">
        <v>7.1395445799999999</v>
      </c>
      <c r="G12" s="110">
        <v>4.0700936900000002</v>
      </c>
      <c r="H12" s="110">
        <v>7.1202434300000004</v>
      </c>
      <c r="I12" s="107">
        <f t="shared" si="3"/>
        <v>4.9382716049382713E-2</v>
      </c>
      <c r="J12" s="108">
        <v>0.04</v>
      </c>
      <c r="K12" s="103">
        <f t="shared" si="2"/>
        <v>0.90517934320987659</v>
      </c>
      <c r="L12" s="119"/>
      <c r="M12" s="4"/>
      <c r="N12" s="7">
        <v>10</v>
      </c>
      <c r="O12" s="7" t="s">
        <v>27</v>
      </c>
      <c r="P12" s="7">
        <v>6</v>
      </c>
      <c r="Q12" s="109">
        <v>5.72</v>
      </c>
      <c r="R12" s="124">
        <f>SUM(K83:K99)</f>
        <v>5.3627784367469866</v>
      </c>
      <c r="S12"/>
    </row>
    <row r="13" spans="1:22" ht="15.95">
      <c r="A13" s="48">
        <v>11</v>
      </c>
      <c r="B13" s="6" t="s">
        <v>22</v>
      </c>
      <c r="C13" s="55" t="s">
        <v>42</v>
      </c>
      <c r="D13" s="55" t="s">
        <v>43</v>
      </c>
      <c r="E13" s="110">
        <f t="shared" si="0"/>
        <v>8.5660037500000001</v>
      </c>
      <c r="F13" s="110">
        <v>7.2956225999999997</v>
      </c>
      <c r="G13" s="110">
        <v>0.84836555000000002</v>
      </c>
      <c r="H13" s="110">
        <v>0.42201559999999999</v>
      </c>
      <c r="I13" s="107">
        <f t="shared" si="3"/>
        <v>0.29629629629629628</v>
      </c>
      <c r="J13" s="108">
        <v>0.24</v>
      </c>
      <c r="K13" s="103">
        <f t="shared" si="2"/>
        <v>2.538075185185185</v>
      </c>
      <c r="L13" s="119"/>
      <c r="M13" s="4"/>
      <c r="N13" s="7">
        <v>11</v>
      </c>
      <c r="O13" s="7" t="s">
        <v>20</v>
      </c>
      <c r="P13" s="7">
        <v>3</v>
      </c>
      <c r="Q13" s="109">
        <v>24.41</v>
      </c>
      <c r="R13" s="124">
        <f>SUM(K17:K22)</f>
        <v>24.291314857142858</v>
      </c>
      <c r="S13"/>
    </row>
    <row r="14" spans="1:22" ht="15.95">
      <c r="A14" s="48">
        <v>12</v>
      </c>
      <c r="B14" s="6" t="s">
        <v>22</v>
      </c>
      <c r="C14" s="55" t="s">
        <v>42</v>
      </c>
      <c r="D14" s="55" t="s">
        <v>45</v>
      </c>
      <c r="E14" s="110">
        <f t="shared" si="0"/>
        <v>11.482704629999999</v>
      </c>
      <c r="F14" s="110">
        <v>7.1395445799999999</v>
      </c>
      <c r="G14" s="110">
        <v>4.1668280099999997</v>
      </c>
      <c r="H14" s="110">
        <v>0.17633204</v>
      </c>
      <c r="I14" s="107">
        <f t="shared" si="3"/>
        <v>9.8765432098765427E-2</v>
      </c>
      <c r="J14" s="108">
        <v>0.08</v>
      </c>
      <c r="K14" s="103">
        <f t="shared" si="2"/>
        <v>1.1340942844444444</v>
      </c>
      <c r="L14" s="119"/>
      <c r="M14" s="4"/>
      <c r="N14" s="7">
        <v>12</v>
      </c>
      <c r="O14" s="7" t="s">
        <v>24</v>
      </c>
      <c r="P14" s="7">
        <v>2</v>
      </c>
      <c r="Q14" s="109">
        <v>4.21</v>
      </c>
      <c r="R14" s="124">
        <f>SUM(K6:K7)</f>
        <v>4.2112411489361712</v>
      </c>
      <c r="S14"/>
    </row>
    <row r="15" spans="1:22" ht="15.95">
      <c r="A15" s="48">
        <v>13</v>
      </c>
      <c r="B15" s="6" t="s">
        <v>22</v>
      </c>
      <c r="C15" s="55" t="s">
        <v>42</v>
      </c>
      <c r="D15" s="55" t="s">
        <v>47</v>
      </c>
      <c r="E15" s="110">
        <f t="shared" si="0"/>
        <v>9.8110231499999987</v>
      </c>
      <c r="F15" s="110">
        <v>7.0857764300000001</v>
      </c>
      <c r="G15" s="110">
        <v>2.3632220799999999</v>
      </c>
      <c r="H15" s="110">
        <v>0.36202464000000001</v>
      </c>
      <c r="I15" s="107">
        <f t="shared" si="3"/>
        <v>0.14814814814814814</v>
      </c>
      <c r="J15" s="108">
        <v>0.12</v>
      </c>
      <c r="K15" s="103">
        <f t="shared" si="2"/>
        <v>1.4534849111111108</v>
      </c>
      <c r="L15" s="119"/>
      <c r="M15" s="4"/>
      <c r="N15" s="7">
        <v>13</v>
      </c>
      <c r="O15" s="7" t="s">
        <v>21</v>
      </c>
      <c r="P15" s="7">
        <v>2</v>
      </c>
      <c r="Q15" s="109">
        <v>16.47</v>
      </c>
      <c r="R15" s="124">
        <f>SUM(K8:K9)</f>
        <v>16.406103899999998</v>
      </c>
      <c r="S15"/>
    </row>
    <row r="16" spans="1:22" s="59" customFormat="1" ht="48">
      <c r="A16" s="48">
        <v>14</v>
      </c>
      <c r="B16" s="6" t="s">
        <v>22</v>
      </c>
      <c r="C16" s="55" t="s">
        <v>42</v>
      </c>
      <c r="D16" s="55" t="s">
        <v>48</v>
      </c>
      <c r="E16" s="110">
        <f t="shared" si="0"/>
        <v>9.3633567899999992</v>
      </c>
      <c r="F16" s="110">
        <v>7.2956225999999997</v>
      </c>
      <c r="G16" s="110">
        <v>1.77765705</v>
      </c>
      <c r="H16" s="110">
        <v>0.29007714000000001</v>
      </c>
      <c r="I16" s="107">
        <f t="shared" si="3"/>
        <v>7.407407407407407E-2</v>
      </c>
      <c r="J16" s="108">
        <v>0.06</v>
      </c>
      <c r="K16" s="103">
        <f t="shared" si="2"/>
        <v>0.6935819844444443</v>
      </c>
      <c r="L16" s="119"/>
      <c r="M16" s="4"/>
      <c r="N16" s="4"/>
      <c r="O16" s="63" t="s">
        <v>127</v>
      </c>
      <c r="P16" s="60">
        <f>SUM(P2:P15)</f>
        <v>365</v>
      </c>
      <c r="Q16"/>
      <c r="R16"/>
      <c r="S16"/>
      <c r="T16"/>
      <c r="U16"/>
      <c r="V16"/>
    </row>
    <row r="17" spans="1:22" s="59" customFormat="1" ht="15.95">
      <c r="A17" s="48">
        <v>15</v>
      </c>
      <c r="B17" s="6" t="s">
        <v>20</v>
      </c>
      <c r="C17" s="53" t="s">
        <v>44</v>
      </c>
      <c r="D17" s="53" t="s">
        <v>43</v>
      </c>
      <c r="E17" s="106">
        <f t="shared" si="0"/>
        <v>38.387225999999998</v>
      </c>
      <c r="F17" s="106">
        <v>18.833870000000001</v>
      </c>
      <c r="G17" s="106">
        <v>0.69446600000000003</v>
      </c>
      <c r="H17" s="106">
        <v>18.858889999999999</v>
      </c>
      <c r="I17" s="107">
        <f>J17/SUM($J$17:$J$22)</f>
        <v>0.17582417582417581</v>
      </c>
      <c r="J17" s="108">
        <v>0.16</v>
      </c>
      <c r="K17" s="103">
        <f t="shared" si="2"/>
        <v>6.7494023736263724</v>
      </c>
      <c r="L17" s="119"/>
      <c r="M17" s="64"/>
      <c r="N17" s="4"/>
      <c r="O17"/>
      <c r="P17"/>
      <c r="Q17"/>
      <c r="R17"/>
      <c r="S17"/>
      <c r="T17"/>
      <c r="U17"/>
      <c r="V17"/>
    </row>
    <row r="18" spans="1:22" s="59" customFormat="1" ht="15.95">
      <c r="A18" s="48">
        <v>16</v>
      </c>
      <c r="B18" s="6" t="s">
        <v>20</v>
      </c>
      <c r="C18" s="53" t="s">
        <v>44</v>
      </c>
      <c r="D18" s="53" t="s">
        <v>45</v>
      </c>
      <c r="E18" s="106">
        <f>SUM(F18:H18)</f>
        <v>27.496814999999998</v>
      </c>
      <c r="F18" s="106">
        <v>18.857240000000001</v>
      </c>
      <c r="G18" s="106">
        <v>1.5193319999999999</v>
      </c>
      <c r="H18" s="106">
        <v>7.1202430000000003</v>
      </c>
      <c r="I18" s="107">
        <f t="shared" ref="I18:I22" si="4">J18/SUM($J$17:$J$22)</f>
        <v>8.7912087912087905E-2</v>
      </c>
      <c r="J18" s="108">
        <v>0.08</v>
      </c>
      <c r="K18" s="103">
        <f t="shared" si="2"/>
        <v>2.4173024175824174</v>
      </c>
      <c r="L18" s="119"/>
      <c r="M18" s="4"/>
      <c r="N18" s="4"/>
      <c r="O18" s="2" t="s">
        <v>258</v>
      </c>
      <c r="P18"/>
      <c r="Q18"/>
      <c r="R18"/>
      <c r="S18"/>
      <c r="T18"/>
      <c r="U18"/>
      <c r="V18"/>
    </row>
    <row r="19" spans="1:22" s="59" customFormat="1" ht="15.95">
      <c r="A19" s="48">
        <v>17</v>
      </c>
      <c r="B19" s="6" t="s">
        <v>20</v>
      </c>
      <c r="C19" s="53" t="s">
        <v>44</v>
      </c>
      <c r="D19" s="53" t="s">
        <v>49</v>
      </c>
      <c r="E19" s="106">
        <f t="shared" si="0"/>
        <v>29.290783999999999</v>
      </c>
      <c r="F19" s="106">
        <v>18.760680000000001</v>
      </c>
      <c r="G19" s="106">
        <v>0.63292700000000002</v>
      </c>
      <c r="H19" s="106">
        <v>9.8971769999999992</v>
      </c>
      <c r="I19" s="107">
        <f t="shared" si="4"/>
        <v>3.2967032967032968E-2</v>
      </c>
      <c r="J19" s="108">
        <v>0.03</v>
      </c>
      <c r="K19" s="103">
        <f t="shared" si="2"/>
        <v>0.96563024175824175</v>
      </c>
      <c r="L19" s="119"/>
      <c r="M19" s="4"/>
      <c r="N19" s="4"/>
      <c r="O19" s="42" t="s">
        <v>259</v>
      </c>
      <c r="P19"/>
      <c r="Q19"/>
      <c r="R19"/>
      <c r="S19"/>
      <c r="T19"/>
      <c r="U19"/>
      <c r="V19"/>
    </row>
    <row r="20" spans="1:22" s="59" customFormat="1" ht="15.95">
      <c r="A20" s="48">
        <v>18</v>
      </c>
      <c r="B20" s="6" t="s">
        <v>20</v>
      </c>
      <c r="C20" s="53" t="s">
        <v>42</v>
      </c>
      <c r="D20" s="53" t="s">
        <v>43</v>
      </c>
      <c r="E20" s="106">
        <f t="shared" si="0"/>
        <v>19.969895000000001</v>
      </c>
      <c r="F20" s="106">
        <v>18.833870000000001</v>
      </c>
      <c r="G20" s="106">
        <v>0.714009</v>
      </c>
      <c r="H20" s="106">
        <v>0.422016</v>
      </c>
      <c r="I20" s="107">
        <f t="shared" si="4"/>
        <v>0.39560439560439559</v>
      </c>
      <c r="J20" s="108">
        <v>0.36</v>
      </c>
      <c r="K20" s="103">
        <f t="shared" si="2"/>
        <v>7.9001782417582422</v>
      </c>
      <c r="L20" s="119"/>
      <c r="M20" s="4"/>
      <c r="N20" s="4"/>
      <c r="O20"/>
      <c r="P20"/>
      <c r="Q20"/>
      <c r="R20"/>
      <c r="S20"/>
      <c r="T20"/>
      <c r="U20"/>
      <c r="V20"/>
    </row>
    <row r="21" spans="1:22" s="59" customFormat="1" ht="15.95">
      <c r="A21" s="48">
        <v>19</v>
      </c>
      <c r="B21" s="6" t="s">
        <v>20</v>
      </c>
      <c r="C21" s="53" t="s">
        <v>42</v>
      </c>
      <c r="D21" s="53" t="s">
        <v>45</v>
      </c>
      <c r="E21" s="106">
        <f t="shared" si="0"/>
        <v>20.619671999999998</v>
      </c>
      <c r="F21" s="106">
        <v>18.857240000000001</v>
      </c>
      <c r="G21" s="106">
        <v>1.5861000000000001</v>
      </c>
      <c r="H21" s="106">
        <v>0.17633199999999999</v>
      </c>
      <c r="I21" s="107">
        <f t="shared" si="4"/>
        <v>0.21978021978021978</v>
      </c>
      <c r="J21" s="108">
        <v>0.2</v>
      </c>
      <c r="K21" s="103">
        <f t="shared" si="2"/>
        <v>4.5317960439560432</v>
      </c>
      <c r="L21" s="119"/>
      <c r="M21" s="4"/>
      <c r="N21" s="4"/>
      <c r="O21"/>
      <c r="P21"/>
      <c r="Q21"/>
      <c r="R21"/>
      <c r="S21"/>
      <c r="T21"/>
      <c r="U21"/>
      <c r="V21"/>
    </row>
    <row r="22" spans="1:22" s="59" customFormat="1" ht="15.95">
      <c r="A22" s="48">
        <v>20</v>
      </c>
      <c r="B22" s="6" t="s">
        <v>20</v>
      </c>
      <c r="C22" s="53" t="s">
        <v>42</v>
      </c>
      <c r="D22" s="53" t="s">
        <v>49</v>
      </c>
      <c r="E22" s="106">
        <f t="shared" si="0"/>
        <v>19.644688000000002</v>
      </c>
      <c r="F22" s="106">
        <v>18.760680000000001</v>
      </c>
      <c r="G22" s="106">
        <v>0.64853400000000005</v>
      </c>
      <c r="H22" s="106">
        <v>0.23547399999999999</v>
      </c>
      <c r="I22" s="107">
        <f t="shared" si="4"/>
        <v>8.7912087912087905E-2</v>
      </c>
      <c r="J22" s="108">
        <v>0.08</v>
      </c>
      <c r="K22" s="103">
        <f t="shared" si="2"/>
        <v>1.7270055384615386</v>
      </c>
      <c r="L22" s="119"/>
      <c r="M22" s="4"/>
      <c r="N22" s="4"/>
      <c r="O22" s="111" t="s">
        <v>260</v>
      </c>
      <c r="P22"/>
      <c r="Q22"/>
      <c r="R22"/>
      <c r="S22"/>
      <c r="T22"/>
      <c r="U22"/>
      <c r="V22"/>
    </row>
    <row r="23" spans="1:22" s="59" customFormat="1" ht="15.95">
      <c r="A23" s="48">
        <v>21</v>
      </c>
      <c r="B23" s="6" t="s">
        <v>25</v>
      </c>
      <c r="C23" s="55" t="s">
        <v>40</v>
      </c>
      <c r="D23" s="55" t="s">
        <v>41</v>
      </c>
      <c r="E23" s="110">
        <f t="shared" si="0"/>
        <v>3.1084899999999998</v>
      </c>
      <c r="F23" s="110">
        <v>3.0457689999999999</v>
      </c>
      <c r="G23" s="110">
        <v>5.5363000000000002E-2</v>
      </c>
      <c r="H23" s="110">
        <v>7.358E-3</v>
      </c>
      <c r="I23" s="107">
        <f>J23/SUM($J$23:$J$24)</f>
        <v>0.81</v>
      </c>
      <c r="J23" s="108">
        <v>0.81</v>
      </c>
      <c r="K23" s="103">
        <f t="shared" si="2"/>
        <v>2.5178769000000001</v>
      </c>
      <c r="L23" s="119"/>
      <c r="M23" s="4"/>
      <c r="N23" s="4"/>
      <c r="O23" s="112" t="s">
        <v>261</v>
      </c>
      <c r="P23"/>
      <c r="Q23"/>
      <c r="R23"/>
      <c r="S23"/>
      <c r="T23"/>
      <c r="U23"/>
      <c r="V23"/>
    </row>
    <row r="24" spans="1:22" s="59" customFormat="1" ht="15.95">
      <c r="A24" s="48">
        <v>22</v>
      </c>
      <c r="B24" s="6" t="s">
        <v>25</v>
      </c>
      <c r="C24" s="55" t="s">
        <v>40</v>
      </c>
      <c r="D24" s="55" t="s">
        <v>50</v>
      </c>
      <c r="E24" s="110">
        <f t="shared" si="0"/>
        <v>2.9556629999999999</v>
      </c>
      <c r="F24" s="110">
        <v>2.924229</v>
      </c>
      <c r="G24" s="110">
        <v>3.1273000000000002E-2</v>
      </c>
      <c r="H24" s="110">
        <v>1.6100000000000001E-4</v>
      </c>
      <c r="I24" s="113">
        <f>J24/SUM($J$23:$J$24)</f>
        <v>0.19</v>
      </c>
      <c r="J24" s="108">
        <v>0.19</v>
      </c>
      <c r="K24" s="103">
        <f t="shared" si="2"/>
        <v>0.56157597000000004</v>
      </c>
      <c r="L24" s="119"/>
      <c r="M24" s="4"/>
      <c r="N24" s="4"/>
      <c r="O24" s="114" t="s">
        <v>262</v>
      </c>
      <c r="P24"/>
      <c r="Q24"/>
      <c r="R24"/>
      <c r="S24"/>
      <c r="T24"/>
      <c r="U24"/>
      <c r="V24"/>
    </row>
    <row r="25" spans="1:22" s="59" customFormat="1" ht="15.95">
      <c r="A25" s="48">
        <v>23</v>
      </c>
      <c r="B25" s="6" t="s">
        <v>28</v>
      </c>
      <c r="C25" s="53" t="s">
        <v>51</v>
      </c>
      <c r="D25" s="53" t="s">
        <v>41</v>
      </c>
      <c r="E25" s="106">
        <f t="shared" si="0"/>
        <v>0.38261500000000004</v>
      </c>
      <c r="F25" s="106">
        <v>0.19164700000000001</v>
      </c>
      <c r="G25" s="106">
        <v>0.10198699999999999</v>
      </c>
      <c r="H25" s="106">
        <v>8.8981000000000005E-2</v>
      </c>
      <c r="I25" s="107">
        <f>J25/SUM($J$25:$J$33)</f>
        <v>9.0308370044052858E-2</v>
      </c>
      <c r="J25" s="108">
        <v>0.41</v>
      </c>
      <c r="K25" s="103">
        <f t="shared" si="2"/>
        <v>3.4553337004405285E-2</v>
      </c>
      <c r="L25" s="119"/>
      <c r="M25" s="4"/>
      <c r="N25" s="4"/>
      <c r="O25"/>
      <c r="P25"/>
      <c r="Q25"/>
      <c r="R25"/>
      <c r="S25"/>
      <c r="T25"/>
      <c r="U25"/>
      <c r="V25"/>
    </row>
    <row r="26" spans="1:22" s="59" customFormat="1" ht="15.95">
      <c r="A26" s="48">
        <v>24</v>
      </c>
      <c r="B26" s="6" t="s">
        <v>28</v>
      </c>
      <c r="C26" s="53" t="s">
        <v>51</v>
      </c>
      <c r="D26" s="53" t="s">
        <v>52</v>
      </c>
      <c r="E26" s="106">
        <f t="shared" si="0"/>
        <v>0.39091900000000002</v>
      </c>
      <c r="F26" s="106">
        <v>0.199766</v>
      </c>
      <c r="G26" s="106">
        <v>0.10198699999999999</v>
      </c>
      <c r="H26" s="106">
        <v>8.9165999999999995E-2</v>
      </c>
      <c r="I26" s="107">
        <f t="shared" ref="I26:I33" si="5">J26/SUM($J$25:$J$33)</f>
        <v>9.2511013215859028E-2</v>
      </c>
      <c r="J26" s="108">
        <v>0.42</v>
      </c>
      <c r="K26" s="103">
        <f t="shared" si="2"/>
        <v>3.6164312775330394E-2</v>
      </c>
      <c r="L26" s="119"/>
      <c r="M26" s="4"/>
      <c r="N26" s="4"/>
      <c r="O26"/>
      <c r="P26"/>
      <c r="Q26"/>
      <c r="R26"/>
      <c r="S26"/>
      <c r="T26"/>
      <c r="U26"/>
      <c r="V26"/>
    </row>
    <row r="27" spans="1:22" s="59" customFormat="1" ht="15.95">
      <c r="A27" s="48">
        <v>25</v>
      </c>
      <c r="B27" s="6" t="s">
        <v>28</v>
      </c>
      <c r="C27" s="53" t="s">
        <v>53</v>
      </c>
      <c r="D27" s="53" t="s">
        <v>41</v>
      </c>
      <c r="E27" s="106">
        <f t="shared" si="0"/>
        <v>0.318382</v>
      </c>
      <c r="F27" s="106">
        <v>0.127414</v>
      </c>
      <c r="G27" s="106">
        <v>0.10198699999999999</v>
      </c>
      <c r="H27" s="106">
        <v>8.8981000000000005E-2</v>
      </c>
      <c r="I27" s="107">
        <f t="shared" si="5"/>
        <v>0.21806167400881057</v>
      </c>
      <c r="J27" s="108">
        <v>0.99</v>
      </c>
      <c r="K27" s="103">
        <f t="shared" si="2"/>
        <v>6.9426911894273122E-2</v>
      </c>
      <c r="L27" s="119"/>
      <c r="M27" s="4"/>
      <c r="N27" s="4"/>
      <c r="O27"/>
      <c r="P27"/>
      <c r="Q27"/>
      <c r="R27"/>
      <c r="S27"/>
      <c r="T27"/>
      <c r="U27"/>
      <c r="V27"/>
    </row>
    <row r="28" spans="1:22" s="59" customFormat="1" ht="15.95">
      <c r="A28" s="48">
        <v>26</v>
      </c>
      <c r="B28" s="6" t="s">
        <v>28</v>
      </c>
      <c r="C28" s="53" t="s">
        <v>54</v>
      </c>
      <c r="D28" s="53" t="s">
        <v>41</v>
      </c>
      <c r="E28" s="106">
        <f t="shared" si="0"/>
        <v>0.33505799999999997</v>
      </c>
      <c r="F28" s="106">
        <v>0.14409</v>
      </c>
      <c r="G28" s="106">
        <v>0.10198699999999999</v>
      </c>
      <c r="H28" s="106">
        <v>8.8981000000000005E-2</v>
      </c>
      <c r="I28" s="107">
        <f t="shared" si="5"/>
        <v>0.21365638766519823</v>
      </c>
      <c r="J28" s="108">
        <v>0.97</v>
      </c>
      <c r="K28" s="103">
        <f t="shared" si="2"/>
        <v>7.1587281938325989E-2</v>
      </c>
      <c r="L28" s="119"/>
      <c r="M28" s="4"/>
      <c r="N28" s="4"/>
      <c r="O28"/>
      <c r="P28"/>
      <c r="Q28"/>
      <c r="R28"/>
      <c r="S28"/>
      <c r="T28"/>
      <c r="U28"/>
      <c r="V28"/>
    </row>
    <row r="29" spans="1:22" s="59" customFormat="1" ht="15.95">
      <c r="A29" s="48">
        <v>27</v>
      </c>
      <c r="B29" s="6" t="s">
        <v>28</v>
      </c>
      <c r="C29" s="53" t="s">
        <v>55</v>
      </c>
      <c r="D29" s="53" t="s">
        <v>41</v>
      </c>
      <c r="E29" s="106">
        <f t="shared" si="0"/>
        <v>0.28408</v>
      </c>
      <c r="F29" s="106">
        <v>9.3112E-2</v>
      </c>
      <c r="G29" s="106">
        <v>0.10198699999999999</v>
      </c>
      <c r="H29" s="106">
        <v>8.8981000000000005E-2</v>
      </c>
      <c r="I29" s="107">
        <f t="shared" si="5"/>
        <v>0.18502202643171806</v>
      </c>
      <c r="J29" s="108">
        <v>0.84</v>
      </c>
      <c r="K29" s="103">
        <f t="shared" si="2"/>
        <v>5.2561057268722462E-2</v>
      </c>
      <c r="L29" s="119"/>
      <c r="M29" s="4"/>
      <c r="N29" s="4"/>
      <c r="O29" s="66"/>
      <c r="P29"/>
      <c r="Q29"/>
      <c r="R29"/>
      <c r="S29"/>
      <c r="T29"/>
      <c r="U29"/>
      <c r="V29"/>
    </row>
    <row r="30" spans="1:22" s="59" customFormat="1" ht="15.95">
      <c r="A30" s="48">
        <v>28</v>
      </c>
      <c r="B30" s="6" t="s">
        <v>28</v>
      </c>
      <c r="C30" s="53" t="s">
        <v>56</v>
      </c>
      <c r="D30" s="53" t="s">
        <v>45</v>
      </c>
      <c r="E30" s="106">
        <f t="shared" si="0"/>
        <v>0.50028000000000006</v>
      </c>
      <c r="F30" s="106">
        <v>0.19825000000000001</v>
      </c>
      <c r="G30" s="106">
        <v>9.6673999999999996E-2</v>
      </c>
      <c r="H30" s="106">
        <v>0.20535600000000001</v>
      </c>
      <c r="I30" s="107">
        <f t="shared" si="5"/>
        <v>5.2863436123348012E-2</v>
      </c>
      <c r="J30" s="108">
        <v>0.24</v>
      </c>
      <c r="K30" s="103">
        <f t="shared" si="2"/>
        <v>2.6446519823788546E-2</v>
      </c>
      <c r="L30" s="119"/>
      <c r="M30" s="4"/>
      <c r="N30" s="4"/>
      <c r="O30" s="66"/>
      <c r="P30"/>
      <c r="Q30"/>
      <c r="R30"/>
      <c r="S30"/>
      <c r="T30"/>
      <c r="U30"/>
      <c r="V30"/>
    </row>
    <row r="31" spans="1:22" s="59" customFormat="1" ht="15.95">
      <c r="A31" s="48">
        <v>29</v>
      </c>
      <c r="B31" s="6" t="s">
        <v>28</v>
      </c>
      <c r="C31" s="53" t="s">
        <v>56</v>
      </c>
      <c r="D31" s="53" t="s">
        <v>57</v>
      </c>
      <c r="E31" s="106">
        <f t="shared" si="0"/>
        <v>0.99686600000000003</v>
      </c>
      <c r="F31" s="106">
        <v>0.156613</v>
      </c>
      <c r="G31" s="106">
        <v>9.6673999999999996E-2</v>
      </c>
      <c r="H31" s="106">
        <v>0.74357899999999999</v>
      </c>
      <c r="I31" s="107">
        <f t="shared" si="5"/>
        <v>6.8281938325991193E-2</v>
      </c>
      <c r="J31" s="108">
        <v>0.31</v>
      </c>
      <c r="K31" s="103">
        <f t="shared" si="2"/>
        <v>6.8067942731277545E-2</v>
      </c>
      <c r="L31" s="119"/>
      <c r="M31" s="4"/>
      <c r="N31" s="4"/>
      <c r="O31"/>
      <c r="P31"/>
      <c r="Q31"/>
      <c r="R31"/>
      <c r="S31"/>
      <c r="T31"/>
      <c r="U31"/>
      <c r="V31"/>
    </row>
    <row r="32" spans="1:22" s="59" customFormat="1" ht="15.95">
      <c r="A32" s="48">
        <v>30</v>
      </c>
      <c r="B32" s="6" t="s">
        <v>28</v>
      </c>
      <c r="C32" s="53" t="s">
        <v>56</v>
      </c>
      <c r="D32" s="53" t="s">
        <v>58</v>
      </c>
      <c r="E32" s="106">
        <f t="shared" si="0"/>
        <v>0.593862</v>
      </c>
      <c r="F32" s="106">
        <v>0.196074</v>
      </c>
      <c r="G32" s="106">
        <v>0.10198699999999999</v>
      </c>
      <c r="H32" s="106">
        <v>0.29580099999999998</v>
      </c>
      <c r="I32" s="107">
        <f t="shared" si="5"/>
        <v>4.405286343612335E-2</v>
      </c>
      <c r="J32" s="108">
        <v>0.2</v>
      </c>
      <c r="K32" s="103">
        <f t="shared" si="2"/>
        <v>2.6161321585903084E-2</v>
      </c>
      <c r="L32" s="119"/>
      <c r="M32" s="4"/>
      <c r="N32" s="4"/>
      <c r="O32"/>
      <c r="P32"/>
      <c r="Q32"/>
      <c r="R32"/>
      <c r="S32"/>
      <c r="T32"/>
      <c r="U32"/>
      <c r="V32"/>
    </row>
    <row r="33" spans="1:22" s="59" customFormat="1" ht="15.95">
      <c r="A33" s="48">
        <v>31</v>
      </c>
      <c r="B33" s="6" t="s">
        <v>28</v>
      </c>
      <c r="C33" s="53" t="s">
        <v>56</v>
      </c>
      <c r="D33" s="53" t="s">
        <v>59</v>
      </c>
      <c r="E33" s="106">
        <f t="shared" si="0"/>
        <v>0.566272</v>
      </c>
      <c r="F33" s="106">
        <v>0.18069099999999999</v>
      </c>
      <c r="G33" s="106">
        <v>0.10312</v>
      </c>
      <c r="H33" s="106">
        <v>0.28246100000000002</v>
      </c>
      <c r="I33" s="107">
        <f t="shared" si="5"/>
        <v>3.5242290748898682E-2</v>
      </c>
      <c r="J33" s="108">
        <v>0.16</v>
      </c>
      <c r="K33" s="103">
        <f t="shared" si="2"/>
        <v>1.9956722466960355E-2</v>
      </c>
      <c r="L33" s="119"/>
      <c r="M33" s="4"/>
      <c r="N33" s="4"/>
      <c r="O33"/>
      <c r="P33"/>
      <c r="Q33"/>
      <c r="R33"/>
      <c r="S33"/>
      <c r="T33"/>
      <c r="U33"/>
      <c r="V33"/>
    </row>
    <row r="34" spans="1:22" s="59" customFormat="1" ht="15.95">
      <c r="A34" s="48"/>
      <c r="B34" s="125" t="s">
        <v>30</v>
      </c>
      <c r="C34" s="126" t="s">
        <v>119</v>
      </c>
      <c r="D34" s="126" t="s">
        <v>154</v>
      </c>
      <c r="E34" s="127">
        <f>SUM(F34:H34)</f>
        <v>0.83679773333333329</v>
      </c>
      <c r="F34" s="127">
        <f>AVERAGE(F36:F41,F43:F51)</f>
        <v>0.50836139999999996</v>
      </c>
      <c r="G34" s="127">
        <f t="shared" ref="G34:H34" si="6">AVERAGE(G36:G41,G43:G51)</f>
        <v>0.1616524</v>
      </c>
      <c r="H34" s="127">
        <f t="shared" si="6"/>
        <v>0.16678393333333333</v>
      </c>
      <c r="I34" s="128">
        <f>J34/SUM($J$34:$J$35)</f>
        <v>0.97450000000000003</v>
      </c>
      <c r="J34" s="128">
        <v>0.97450000000000003</v>
      </c>
      <c r="K34" s="103">
        <f t="shared" si="2"/>
        <v>0.81545939113333332</v>
      </c>
      <c r="L34" s="119"/>
      <c r="M34" s="4"/>
      <c r="N34" s="4"/>
      <c r="O34"/>
      <c r="P34"/>
      <c r="Q34"/>
      <c r="R34"/>
      <c r="S34"/>
      <c r="T34"/>
      <c r="U34"/>
      <c r="V34"/>
    </row>
    <row r="35" spans="1:22" s="59" customFormat="1" ht="15.95">
      <c r="A35" s="48"/>
      <c r="B35" s="125" t="s">
        <v>30</v>
      </c>
      <c r="C35" s="126" t="s">
        <v>119</v>
      </c>
      <c r="D35" s="126" t="s">
        <v>50</v>
      </c>
      <c r="E35" s="127">
        <f>SUM(F35:H35)</f>
        <v>0.24571499999999999</v>
      </c>
      <c r="F35" s="127">
        <f>F42</f>
        <v>4.8299000000000002E-2</v>
      </c>
      <c r="G35" s="127">
        <f t="shared" ref="G35:H35" si="7">G42</f>
        <v>0.18532499999999999</v>
      </c>
      <c r="H35" s="127">
        <f t="shared" si="7"/>
        <v>1.2090999999999999E-2</v>
      </c>
      <c r="I35" s="128">
        <f>J35/SUM($J$34:$J$35)</f>
        <v>2.5499999999999998E-2</v>
      </c>
      <c r="J35" s="128">
        <v>2.5499999999999998E-2</v>
      </c>
      <c r="K35" s="103">
        <f t="shared" si="2"/>
        <v>6.2657324999999993E-3</v>
      </c>
      <c r="L35" s="119"/>
      <c r="M35" s="4"/>
      <c r="N35" s="4"/>
      <c r="O35"/>
      <c r="P35"/>
      <c r="Q35"/>
      <c r="R35"/>
      <c r="S35"/>
      <c r="T35"/>
      <c r="U35"/>
      <c r="V35"/>
    </row>
    <row r="36" spans="1:22" s="59" customFormat="1" ht="15.95">
      <c r="A36" s="48">
        <v>32</v>
      </c>
      <c r="B36" s="6" t="s">
        <v>30</v>
      </c>
      <c r="C36" s="55" t="s">
        <v>60</v>
      </c>
      <c r="D36" s="55" t="s">
        <v>41</v>
      </c>
      <c r="E36" s="110">
        <f t="shared" si="0"/>
        <v>0.59886799999999996</v>
      </c>
      <c r="F36" s="110">
        <v>0.42276799999999998</v>
      </c>
      <c r="G36" s="110">
        <v>0.10198699999999999</v>
      </c>
      <c r="H36" s="110">
        <v>7.4112999999999998E-2</v>
      </c>
      <c r="I36" s="107">
        <f>J36/SUM($J$36:$J$51)</f>
        <v>0.1811320754716981</v>
      </c>
      <c r="J36" s="108">
        <v>0.96</v>
      </c>
      <c r="K36" s="103">
        <f t="shared" si="2"/>
        <v>0.1084742037735849</v>
      </c>
      <c r="L36" s="119"/>
      <c r="M36" s="4"/>
      <c r="N36" s="4"/>
      <c r="O36"/>
      <c r="P36"/>
      <c r="Q36"/>
      <c r="R36"/>
      <c r="S36"/>
      <c r="T36"/>
      <c r="U36"/>
      <c r="V36"/>
    </row>
    <row r="37" spans="1:22" s="59" customFormat="1" ht="15.95">
      <c r="A37" s="48">
        <v>33</v>
      </c>
      <c r="B37" s="6" t="s">
        <v>30</v>
      </c>
      <c r="C37" s="55" t="s">
        <v>61</v>
      </c>
      <c r="D37" s="55" t="s">
        <v>62</v>
      </c>
      <c r="E37" s="110">
        <f t="shared" si="0"/>
        <v>0.74158500000000005</v>
      </c>
      <c r="F37" s="110">
        <v>0.534582</v>
      </c>
      <c r="G37" s="110">
        <v>0.122128</v>
      </c>
      <c r="H37" s="110">
        <v>8.4875000000000006E-2</v>
      </c>
      <c r="I37" s="107">
        <f t="shared" ref="I37:I51" si="8">J37/SUM($J$36:$J$51)</f>
        <v>0.12264150943396228</v>
      </c>
      <c r="J37" s="108">
        <v>0.65</v>
      </c>
      <c r="K37" s="103">
        <f t="shared" si="2"/>
        <v>9.0949103773584922E-2</v>
      </c>
      <c r="L37" s="119"/>
      <c r="M37" s="4"/>
      <c r="N37" s="4"/>
      <c r="O37"/>
      <c r="P37"/>
      <c r="Q37"/>
      <c r="R37"/>
      <c r="S37"/>
      <c r="T37"/>
      <c r="U37"/>
      <c r="V37"/>
    </row>
    <row r="38" spans="1:22" s="59" customFormat="1" ht="15.95">
      <c r="A38" s="48">
        <v>34</v>
      </c>
      <c r="B38" s="6" t="s">
        <v>30</v>
      </c>
      <c r="C38" s="55" t="s">
        <v>61</v>
      </c>
      <c r="D38" s="55" t="s">
        <v>46</v>
      </c>
      <c r="E38" s="110">
        <f t="shared" si="0"/>
        <v>0.75385499999999994</v>
      </c>
      <c r="F38" s="110">
        <v>0.57922600000000002</v>
      </c>
      <c r="G38" s="110">
        <v>0.12615599999999999</v>
      </c>
      <c r="H38" s="110">
        <v>4.8473000000000002E-2</v>
      </c>
      <c r="I38" s="107">
        <f t="shared" si="8"/>
        <v>3.3962264150943396E-2</v>
      </c>
      <c r="J38" s="108">
        <v>0.18</v>
      </c>
      <c r="K38" s="103">
        <f t="shared" si="2"/>
        <v>2.5602622641509431E-2</v>
      </c>
      <c r="L38" s="119"/>
      <c r="M38" s="4"/>
      <c r="N38" s="4"/>
      <c r="O38"/>
      <c r="P38"/>
      <c r="Q38"/>
      <c r="R38"/>
      <c r="S38"/>
      <c r="T38"/>
      <c r="U38"/>
      <c r="V38"/>
    </row>
    <row r="39" spans="1:22" s="59" customFormat="1" ht="15.95">
      <c r="A39" s="48">
        <v>35</v>
      </c>
      <c r="B39" s="6" t="s">
        <v>30</v>
      </c>
      <c r="C39" s="55" t="s">
        <v>63</v>
      </c>
      <c r="D39" s="55" t="s">
        <v>45</v>
      </c>
      <c r="E39" s="110">
        <f t="shared" si="0"/>
        <v>1.3183459999999998</v>
      </c>
      <c r="F39" s="110">
        <v>0.74356199999999995</v>
      </c>
      <c r="G39" s="110">
        <v>0.35627599999999998</v>
      </c>
      <c r="H39" s="110">
        <v>0.21850800000000001</v>
      </c>
      <c r="I39" s="107">
        <f t="shared" si="8"/>
        <v>8.8679245283018862E-2</v>
      </c>
      <c r="J39" s="108">
        <v>0.47</v>
      </c>
      <c r="K39" s="103">
        <f t="shared" si="2"/>
        <v>0.11690992830188676</v>
      </c>
      <c r="L39" s="119"/>
      <c r="M39" s="4"/>
      <c r="N39" s="4"/>
      <c r="O39" s="66"/>
      <c r="P39"/>
      <c r="Q39"/>
      <c r="R39"/>
      <c r="S39"/>
      <c r="T39"/>
      <c r="U39"/>
      <c r="V39"/>
    </row>
    <row r="40" spans="1:22" s="59" customFormat="1" ht="15.95">
      <c r="A40" s="48">
        <v>36</v>
      </c>
      <c r="B40" s="6" t="s">
        <v>30</v>
      </c>
      <c r="C40" s="55" t="s">
        <v>63</v>
      </c>
      <c r="D40" s="55" t="s">
        <v>62</v>
      </c>
      <c r="E40" s="110">
        <f t="shared" si="0"/>
        <v>1.173403</v>
      </c>
      <c r="F40" s="110">
        <v>0.74465899999999996</v>
      </c>
      <c r="G40" s="110">
        <v>0.34478199999999998</v>
      </c>
      <c r="H40" s="110">
        <v>8.3961999999999995E-2</v>
      </c>
      <c r="I40" s="107">
        <f t="shared" si="8"/>
        <v>5.849056603773585E-2</v>
      </c>
      <c r="J40" s="108">
        <v>0.31</v>
      </c>
      <c r="K40" s="103">
        <f t="shared" si="2"/>
        <v>6.8633005660377361E-2</v>
      </c>
      <c r="L40" s="119"/>
      <c r="M40" s="4"/>
      <c r="N40" s="4"/>
      <c r="O40"/>
      <c r="P40"/>
      <c r="Q40"/>
      <c r="R40"/>
      <c r="S40"/>
      <c r="T40"/>
      <c r="U40"/>
      <c r="V40"/>
    </row>
    <row r="41" spans="1:22" s="59" customFormat="1" ht="15.95">
      <c r="A41" s="48">
        <v>37</v>
      </c>
      <c r="B41" s="6" t="s">
        <v>30</v>
      </c>
      <c r="C41" s="55" t="s">
        <v>63</v>
      </c>
      <c r="D41" s="55" t="s">
        <v>41</v>
      </c>
      <c r="E41" s="110">
        <f t="shared" si="0"/>
        <v>1.0635490000000001</v>
      </c>
      <c r="F41" s="110">
        <v>0.584422</v>
      </c>
      <c r="G41" s="110">
        <v>0.39586399999999999</v>
      </c>
      <c r="H41" s="110">
        <v>8.3263000000000004E-2</v>
      </c>
      <c r="I41" s="107">
        <f t="shared" si="8"/>
        <v>3.3962264150943396E-2</v>
      </c>
      <c r="J41" s="108">
        <v>0.18</v>
      </c>
      <c r="K41" s="103">
        <f t="shared" si="2"/>
        <v>3.6120532075471702E-2</v>
      </c>
      <c r="L41" s="119"/>
      <c r="M41" s="4"/>
      <c r="N41" s="4"/>
      <c r="O41"/>
      <c r="P41"/>
      <c r="Q41"/>
      <c r="R41"/>
      <c r="S41"/>
      <c r="T41"/>
      <c r="U41"/>
      <c r="V41"/>
    </row>
    <row r="42" spans="1:22" s="59" customFormat="1" ht="15.95">
      <c r="A42" s="48">
        <v>38</v>
      </c>
      <c r="B42" s="6" t="s">
        <v>30</v>
      </c>
      <c r="C42" s="55" t="s">
        <v>64</v>
      </c>
      <c r="D42" s="55" t="s">
        <v>50</v>
      </c>
      <c r="E42" s="110">
        <f t="shared" si="0"/>
        <v>0.24571499999999999</v>
      </c>
      <c r="F42" s="110">
        <v>4.8299000000000002E-2</v>
      </c>
      <c r="G42" s="110">
        <v>0.18532499999999999</v>
      </c>
      <c r="H42" s="110">
        <v>1.2090999999999999E-2</v>
      </c>
      <c r="I42" s="113">
        <f t="shared" si="8"/>
        <v>0.16226415094339622</v>
      </c>
      <c r="J42" s="108">
        <v>0.86</v>
      </c>
      <c r="K42" s="103">
        <f t="shared" si="2"/>
        <v>3.98707358490566E-2</v>
      </c>
      <c r="L42" s="119"/>
      <c r="M42" s="4"/>
      <c r="N42" s="4"/>
      <c r="O42"/>
      <c r="P42"/>
      <c r="Q42"/>
      <c r="R42"/>
      <c r="S42"/>
      <c r="T42"/>
      <c r="U42"/>
      <c r="V42"/>
    </row>
    <row r="43" spans="1:22" s="59" customFormat="1" ht="15.95">
      <c r="A43" s="48">
        <v>39</v>
      </c>
      <c r="B43" s="6" t="s">
        <v>30</v>
      </c>
      <c r="C43" s="55" t="s">
        <v>65</v>
      </c>
      <c r="D43" s="55" t="s">
        <v>62</v>
      </c>
      <c r="E43" s="110">
        <f t="shared" si="0"/>
        <v>0.99066299999999996</v>
      </c>
      <c r="F43" s="110">
        <v>0.80690799999999996</v>
      </c>
      <c r="G43" s="110">
        <v>9.9793000000000007E-2</v>
      </c>
      <c r="H43" s="110">
        <v>8.3961999999999995E-2</v>
      </c>
      <c r="I43" s="107">
        <f t="shared" si="8"/>
        <v>1.509433962264151E-2</v>
      </c>
      <c r="J43" s="108">
        <v>0.08</v>
      </c>
      <c r="K43" s="103">
        <f t="shared" si="2"/>
        <v>1.4953403773584905E-2</v>
      </c>
      <c r="L43" s="119"/>
      <c r="M43" s="4"/>
      <c r="N43" s="4"/>
      <c r="O43" s="66"/>
      <c r="P43"/>
      <c r="Q43"/>
      <c r="R43"/>
      <c r="S43"/>
      <c r="T43"/>
      <c r="U43"/>
      <c r="V43"/>
    </row>
    <row r="44" spans="1:22" s="59" customFormat="1" ht="15.95">
      <c r="A44" s="48">
        <v>40</v>
      </c>
      <c r="B44" s="6" t="s">
        <v>30</v>
      </c>
      <c r="C44" s="55" t="s">
        <v>65</v>
      </c>
      <c r="D44" s="55" t="s">
        <v>41</v>
      </c>
      <c r="E44" s="110">
        <f t="shared" si="0"/>
        <v>0.84319900000000003</v>
      </c>
      <c r="F44" s="110">
        <v>0.64535600000000004</v>
      </c>
      <c r="G44" s="110">
        <v>0.11458</v>
      </c>
      <c r="H44" s="110">
        <v>8.3263000000000004E-2</v>
      </c>
      <c r="I44" s="107">
        <f t="shared" si="8"/>
        <v>2.8301886792452831E-2</v>
      </c>
      <c r="J44" s="108">
        <v>0.15</v>
      </c>
      <c r="K44" s="103">
        <f t="shared" si="2"/>
        <v>2.3864122641509434E-2</v>
      </c>
      <c r="L44" s="119"/>
      <c r="M44" s="4"/>
      <c r="N44" s="4"/>
      <c r="O44"/>
      <c r="P44"/>
      <c r="Q44"/>
      <c r="R44"/>
      <c r="S44"/>
      <c r="T44"/>
      <c r="U44"/>
      <c r="V44"/>
    </row>
    <row r="45" spans="1:22" s="59" customFormat="1" ht="15.95">
      <c r="A45" s="48">
        <v>41</v>
      </c>
      <c r="B45" s="6" t="s">
        <v>30</v>
      </c>
      <c r="C45" s="55" t="s">
        <v>65</v>
      </c>
      <c r="D45" s="55" t="s">
        <v>66</v>
      </c>
      <c r="E45" s="110">
        <f t="shared" si="0"/>
        <v>1.1864809999999999</v>
      </c>
      <c r="F45" s="110">
        <v>0.97326199999999996</v>
      </c>
      <c r="G45" s="110">
        <v>0.11458</v>
      </c>
      <c r="H45" s="110">
        <v>9.8639000000000004E-2</v>
      </c>
      <c r="I45" s="107">
        <f t="shared" si="8"/>
        <v>0.1</v>
      </c>
      <c r="J45" s="108">
        <v>0.53</v>
      </c>
      <c r="K45" s="103">
        <f t="shared" si="2"/>
        <v>0.11864809999999999</v>
      </c>
      <c r="L45" s="119"/>
      <c r="M45" s="4"/>
      <c r="N45" s="4"/>
      <c r="O45"/>
      <c r="P45"/>
      <c r="Q45"/>
      <c r="R45"/>
      <c r="S45"/>
      <c r="T45"/>
      <c r="U45"/>
      <c r="V45"/>
    </row>
    <row r="46" spans="1:22" s="59" customFormat="1" ht="15.95">
      <c r="A46" s="48">
        <v>42</v>
      </c>
      <c r="B46" s="6" t="s">
        <v>30</v>
      </c>
      <c r="C46" s="55" t="s">
        <v>65</v>
      </c>
      <c r="D46" s="55" t="s">
        <v>47</v>
      </c>
      <c r="E46" s="110">
        <f t="shared" si="0"/>
        <v>1.119623</v>
      </c>
      <c r="F46" s="110">
        <v>0.57052999999999998</v>
      </c>
      <c r="G46" s="110">
        <v>0.10198699999999999</v>
      </c>
      <c r="H46" s="110">
        <v>0.447106</v>
      </c>
      <c r="I46" s="107">
        <f t="shared" si="8"/>
        <v>1.6981132075471698E-2</v>
      </c>
      <c r="J46" s="108">
        <v>0.09</v>
      </c>
      <c r="K46" s="103">
        <f t="shared" si="2"/>
        <v>1.9012466037735848E-2</v>
      </c>
      <c r="L46" s="119"/>
      <c r="M46" s="4"/>
      <c r="N46" s="4"/>
      <c r="O46"/>
      <c r="P46"/>
      <c r="Q46"/>
      <c r="R46"/>
      <c r="S46"/>
      <c r="T46"/>
      <c r="U46"/>
      <c r="V46"/>
    </row>
    <row r="47" spans="1:22" s="59" customFormat="1" ht="15.95">
      <c r="A47" s="48">
        <v>43</v>
      </c>
      <c r="B47" s="6" t="s">
        <v>30</v>
      </c>
      <c r="C47" s="55" t="s">
        <v>67</v>
      </c>
      <c r="D47" s="55" t="s">
        <v>68</v>
      </c>
      <c r="E47" s="110">
        <f t="shared" si="0"/>
        <v>0.41497700000000004</v>
      </c>
      <c r="F47" s="110">
        <v>0.20217499999999999</v>
      </c>
      <c r="G47" s="110">
        <v>0.11458</v>
      </c>
      <c r="H47" s="110">
        <v>9.8222000000000004E-2</v>
      </c>
      <c r="I47" s="107">
        <f t="shared" si="8"/>
        <v>2.0754716981132078E-2</v>
      </c>
      <c r="J47" s="108">
        <v>0.11</v>
      </c>
      <c r="K47" s="103">
        <f t="shared" si="2"/>
        <v>8.6127301886792466E-3</v>
      </c>
      <c r="L47" s="119"/>
      <c r="M47" s="4"/>
      <c r="N47" s="4"/>
      <c r="O47"/>
      <c r="P47"/>
      <c r="Q47"/>
      <c r="R47"/>
      <c r="S47"/>
      <c r="T47"/>
      <c r="U47"/>
      <c r="V47"/>
    </row>
    <row r="48" spans="1:22" s="59" customFormat="1" ht="15.95">
      <c r="A48" s="48">
        <v>44</v>
      </c>
      <c r="B48" s="6" t="s">
        <v>30</v>
      </c>
      <c r="C48" s="55" t="s">
        <v>67</v>
      </c>
      <c r="D48" s="55" t="s">
        <v>62</v>
      </c>
      <c r="E48" s="110">
        <f t="shared" si="0"/>
        <v>0.39637600000000001</v>
      </c>
      <c r="F48" s="110">
        <v>0.212621</v>
      </c>
      <c r="G48" s="110">
        <v>9.9793000000000007E-2</v>
      </c>
      <c r="H48" s="110">
        <v>8.3961999999999995E-2</v>
      </c>
      <c r="I48" s="107">
        <f t="shared" si="8"/>
        <v>8.4905660377358499E-2</v>
      </c>
      <c r="J48" s="108">
        <v>0.45</v>
      </c>
      <c r="K48" s="103">
        <f t="shared" si="2"/>
        <v>3.3654566037735853E-2</v>
      </c>
      <c r="L48" s="119"/>
      <c r="M48" s="4"/>
      <c r="N48" s="4"/>
      <c r="O48"/>
      <c r="P48"/>
      <c r="Q48"/>
      <c r="R48"/>
      <c r="S48"/>
      <c r="T48"/>
      <c r="U48"/>
      <c r="V48"/>
    </row>
    <row r="49" spans="1:22" s="59" customFormat="1" ht="15.95">
      <c r="A49" s="48">
        <v>45</v>
      </c>
      <c r="B49" s="6" t="s">
        <v>30</v>
      </c>
      <c r="C49" s="55" t="s">
        <v>67</v>
      </c>
      <c r="D49" s="55" t="s">
        <v>46</v>
      </c>
      <c r="E49" s="110">
        <f t="shared" si="0"/>
        <v>0.37121300000000002</v>
      </c>
      <c r="F49" s="110">
        <v>0.20217499999999999</v>
      </c>
      <c r="G49" s="110">
        <v>0.11458</v>
      </c>
      <c r="H49" s="110">
        <v>5.4457999999999999E-2</v>
      </c>
      <c r="I49" s="107">
        <f t="shared" si="8"/>
        <v>1.509433962264151E-2</v>
      </c>
      <c r="J49" s="108">
        <v>0.08</v>
      </c>
      <c r="K49" s="103">
        <f t="shared" si="2"/>
        <v>5.6032150943396229E-3</v>
      </c>
      <c r="L49" s="119"/>
      <c r="M49" s="4"/>
      <c r="N49" s="4"/>
      <c r="O49"/>
      <c r="P49"/>
      <c r="Q49"/>
      <c r="R49"/>
      <c r="S49"/>
      <c r="T49"/>
      <c r="U49"/>
      <c r="V49"/>
    </row>
    <row r="50" spans="1:22" s="59" customFormat="1" ht="15.95">
      <c r="A50" s="48">
        <v>46</v>
      </c>
      <c r="B50" s="6" t="s">
        <v>30</v>
      </c>
      <c r="C50" s="55" t="s">
        <v>67</v>
      </c>
      <c r="D50" s="55" t="s">
        <v>69</v>
      </c>
      <c r="E50" s="110">
        <f t="shared" si="0"/>
        <v>0.48309599999999997</v>
      </c>
      <c r="F50" s="110">
        <v>0.20217499999999999</v>
      </c>
      <c r="G50" s="110">
        <v>0.11458</v>
      </c>
      <c r="H50" s="110">
        <v>0.16634099999999999</v>
      </c>
      <c r="I50" s="107">
        <f t="shared" si="8"/>
        <v>1.886792452830189E-2</v>
      </c>
      <c r="J50" s="108">
        <v>0.1</v>
      </c>
      <c r="K50" s="103">
        <f t="shared" si="2"/>
        <v>9.1150188679245299E-3</v>
      </c>
      <c r="L50" s="119"/>
      <c r="M50" s="4"/>
      <c r="N50" s="4"/>
      <c r="O50"/>
      <c r="P50"/>
      <c r="Q50"/>
      <c r="R50"/>
      <c r="S50"/>
      <c r="T50"/>
      <c r="U50"/>
      <c r="V50"/>
    </row>
    <row r="51" spans="1:22" s="59" customFormat="1" ht="15.95">
      <c r="A51" s="48">
        <v>47</v>
      </c>
      <c r="B51" s="6" t="s">
        <v>30</v>
      </c>
      <c r="C51" s="55" t="s">
        <v>67</v>
      </c>
      <c r="D51" s="55" t="s">
        <v>57</v>
      </c>
      <c r="E51" s="110">
        <f t="shared" si="0"/>
        <v>1.096732</v>
      </c>
      <c r="F51" s="110">
        <v>0.20100000000000001</v>
      </c>
      <c r="G51" s="110">
        <v>0.10312</v>
      </c>
      <c r="H51" s="110">
        <v>0.79261199999999998</v>
      </c>
      <c r="I51" s="107">
        <f t="shared" si="8"/>
        <v>1.886792452830189E-2</v>
      </c>
      <c r="J51" s="108">
        <v>0.1</v>
      </c>
      <c r="K51" s="103">
        <f t="shared" si="2"/>
        <v>2.0693056603773588E-2</v>
      </c>
      <c r="L51" s="119"/>
      <c r="M51" s="4"/>
      <c r="N51" s="4"/>
      <c r="O51"/>
      <c r="P51"/>
      <c r="Q51"/>
      <c r="R51"/>
      <c r="S51"/>
      <c r="T51"/>
      <c r="U51"/>
      <c r="V51"/>
    </row>
    <row r="52" spans="1:22" s="59" customFormat="1" ht="15.95">
      <c r="A52" s="48">
        <v>48</v>
      </c>
      <c r="B52" s="6" t="s">
        <v>32</v>
      </c>
      <c r="C52" s="53" t="s">
        <v>32</v>
      </c>
      <c r="D52" s="53" t="s">
        <v>45</v>
      </c>
      <c r="E52" s="106">
        <f t="shared" si="0"/>
        <v>0.609043</v>
      </c>
      <c r="F52" s="106">
        <v>0.44561099999999998</v>
      </c>
      <c r="G52" s="106">
        <v>3.3017999999999999E-2</v>
      </c>
      <c r="H52" s="106">
        <v>0.130414</v>
      </c>
      <c r="I52" s="107">
        <f>J52/SUM($J$52:$J$53)</f>
        <v>0.63829787234042556</v>
      </c>
      <c r="J52" s="108">
        <v>0.6</v>
      </c>
      <c r="K52" s="103">
        <f t="shared" si="2"/>
        <v>0.38875085106382978</v>
      </c>
      <c r="L52" s="119"/>
      <c r="M52" s="4"/>
      <c r="N52" s="4"/>
      <c r="O52"/>
      <c r="P52"/>
      <c r="Q52"/>
      <c r="R52"/>
      <c r="S52"/>
      <c r="T52"/>
      <c r="U52"/>
      <c r="V52"/>
    </row>
    <row r="53" spans="1:22" s="59" customFormat="1" ht="15.95">
      <c r="A53" s="48">
        <v>49</v>
      </c>
      <c r="B53" s="6" t="s">
        <v>32</v>
      </c>
      <c r="C53" s="53" t="s">
        <v>32</v>
      </c>
      <c r="D53" s="53" t="s">
        <v>57</v>
      </c>
      <c r="E53" s="106">
        <f t="shared" si="0"/>
        <v>0.92317300000000002</v>
      </c>
      <c r="F53" s="106">
        <v>0.49074200000000001</v>
      </c>
      <c r="G53" s="106">
        <v>3.2978E-2</v>
      </c>
      <c r="H53" s="106">
        <v>0.399453</v>
      </c>
      <c r="I53" s="107">
        <f>J53/SUM($J$52:$J$53)</f>
        <v>0.36170212765957449</v>
      </c>
      <c r="J53" s="108">
        <v>0.34</v>
      </c>
      <c r="K53" s="103">
        <f t="shared" si="2"/>
        <v>0.33391363829787235</v>
      </c>
      <c r="L53" s="119"/>
      <c r="M53" s="4"/>
      <c r="N53" s="4"/>
      <c r="O53"/>
      <c r="P53"/>
      <c r="Q53"/>
      <c r="R53"/>
      <c r="S53"/>
      <c r="T53"/>
      <c r="U53"/>
      <c r="V53"/>
    </row>
    <row r="54" spans="1:22" s="59" customFormat="1" ht="15.95">
      <c r="A54" s="48">
        <v>50</v>
      </c>
      <c r="B54" s="6" t="s">
        <v>31</v>
      </c>
      <c r="C54" s="55" t="s">
        <v>31</v>
      </c>
      <c r="D54" s="55" t="s">
        <v>70</v>
      </c>
      <c r="E54" s="110">
        <f t="shared" si="0"/>
        <v>2.5333420000000002</v>
      </c>
      <c r="F54" s="110">
        <v>2.6889720000000001</v>
      </c>
      <c r="G54" s="110">
        <v>-0.18823500000000001</v>
      </c>
      <c r="H54" s="110">
        <v>3.2605000000000002E-2</v>
      </c>
      <c r="I54" s="107">
        <f>J54/SUM($J$54:$J$56)</f>
        <v>0.43478260869565222</v>
      </c>
      <c r="J54" s="108">
        <v>0.4</v>
      </c>
      <c r="K54" s="103">
        <f t="shared" si="2"/>
        <v>1.101453043478261</v>
      </c>
      <c r="L54" s="119"/>
      <c r="M54" s="4"/>
      <c r="N54" s="4"/>
      <c r="O54"/>
      <c r="P54"/>
      <c r="Q54"/>
      <c r="R54"/>
      <c r="S54"/>
      <c r="T54"/>
      <c r="U54"/>
      <c r="V54"/>
    </row>
    <row r="55" spans="1:22" s="59" customFormat="1" ht="15.95">
      <c r="A55" s="48">
        <v>51</v>
      </c>
      <c r="B55" s="6" t="s">
        <v>31</v>
      </c>
      <c r="C55" s="55" t="s">
        <v>31</v>
      </c>
      <c r="D55" s="55" t="s">
        <v>66</v>
      </c>
      <c r="E55" s="110">
        <f t="shared" si="0"/>
        <v>2.6716380000000002</v>
      </c>
      <c r="F55" s="110">
        <v>2.9543300000000001</v>
      </c>
      <c r="G55" s="110">
        <v>-0.33082</v>
      </c>
      <c r="H55" s="110">
        <v>4.8127999999999997E-2</v>
      </c>
      <c r="I55" s="107">
        <f t="shared" ref="I55:I56" si="9">J55/SUM($J$54:$J$56)</f>
        <v>0.31521739130434784</v>
      </c>
      <c r="J55" s="108">
        <v>0.28999999999999998</v>
      </c>
      <c r="K55" s="103">
        <f t="shared" si="2"/>
        <v>0.8421467608695653</v>
      </c>
      <c r="L55" s="119"/>
      <c r="M55" s="4"/>
      <c r="N55" s="4"/>
      <c r="O55"/>
      <c r="P55"/>
      <c r="Q55"/>
      <c r="R55"/>
      <c r="S55"/>
      <c r="T55"/>
      <c r="U55"/>
      <c r="V55"/>
    </row>
    <row r="56" spans="1:22" s="59" customFormat="1" ht="15.95">
      <c r="A56" s="48">
        <v>52</v>
      </c>
      <c r="B56" s="6" t="s">
        <v>31</v>
      </c>
      <c r="C56" s="55" t="s">
        <v>31</v>
      </c>
      <c r="D56" s="55" t="s">
        <v>71</v>
      </c>
      <c r="E56" s="110">
        <f t="shared" si="0"/>
        <v>2.5184839999999999</v>
      </c>
      <c r="F56" s="110">
        <v>2.6889720000000001</v>
      </c>
      <c r="G56" s="110">
        <v>-0.221641</v>
      </c>
      <c r="H56" s="110">
        <v>5.1152999999999997E-2</v>
      </c>
      <c r="I56" s="107">
        <f t="shared" si="9"/>
        <v>0.25000000000000006</v>
      </c>
      <c r="J56" s="108">
        <v>0.23</v>
      </c>
      <c r="K56" s="103">
        <f t="shared" si="2"/>
        <v>0.6296210000000001</v>
      </c>
      <c r="L56" s="119"/>
      <c r="M56" s="4"/>
      <c r="N56" s="4"/>
      <c r="O56"/>
      <c r="P56"/>
      <c r="Q56"/>
      <c r="R56"/>
      <c r="S56"/>
      <c r="T56"/>
      <c r="U56"/>
      <c r="V56"/>
    </row>
    <row r="57" spans="1:22" s="59" customFormat="1" ht="15.95">
      <c r="A57" s="48"/>
      <c r="B57" s="125" t="s">
        <v>72</v>
      </c>
      <c r="C57" s="126" t="s">
        <v>119</v>
      </c>
      <c r="D57" s="126" t="s">
        <v>154</v>
      </c>
      <c r="E57" s="127">
        <f>SUM(F57:H57)</f>
        <v>0.41019100000000003</v>
      </c>
      <c r="F57" s="127">
        <f>AVERAGE(F59:F60,F62,F64:F65)</f>
        <v>0.23339199999999999</v>
      </c>
      <c r="G57" s="127">
        <f t="shared" ref="G57:H57" si="10">AVERAGE(G59:G60,G62,G64:G65)</f>
        <v>0.10185740000000001</v>
      </c>
      <c r="H57" s="127">
        <f t="shared" si="10"/>
        <v>7.4941599999999997E-2</v>
      </c>
      <c r="I57" s="128">
        <f>J57/SUM($J$34:$J$35)</f>
        <v>0.86829999999999996</v>
      </c>
      <c r="J57" s="128">
        <v>0.86829999999999996</v>
      </c>
      <c r="K57" s="103"/>
      <c r="L57" s="119"/>
      <c r="M57" s="4"/>
      <c r="N57" s="4"/>
      <c r="O57"/>
      <c r="P57"/>
      <c r="Q57"/>
      <c r="R57"/>
      <c r="S57"/>
      <c r="T57"/>
      <c r="U57"/>
      <c r="V57"/>
    </row>
    <row r="58" spans="1:22" s="59" customFormat="1" ht="15.95">
      <c r="A58" s="48"/>
      <c r="B58" s="125" t="s">
        <v>72</v>
      </c>
      <c r="C58" s="126" t="s">
        <v>119</v>
      </c>
      <c r="D58" s="126" t="s">
        <v>50</v>
      </c>
      <c r="E58" s="127">
        <f>SUM(F58:H58)</f>
        <v>0.52246599999999999</v>
      </c>
      <c r="F58" s="127">
        <f>AVERAGE(F61,F63,F66:F69)</f>
        <v>0.41837200000000002</v>
      </c>
      <c r="G58" s="127">
        <f t="shared" ref="G58:H58" si="11">AVERAGE(G61,G63,G66:G69)</f>
        <v>0.10102999999999999</v>
      </c>
      <c r="H58" s="127">
        <f t="shared" si="11"/>
        <v>3.0640000000000003E-3</v>
      </c>
      <c r="I58" s="128">
        <f>J58/SUM($J$34:$J$35)</f>
        <v>0.13170000000000001</v>
      </c>
      <c r="J58" s="128">
        <v>0.13170000000000001</v>
      </c>
      <c r="K58" s="103"/>
      <c r="L58" s="119"/>
      <c r="M58" s="4"/>
      <c r="N58" s="4"/>
      <c r="O58"/>
      <c r="P58"/>
      <c r="Q58"/>
      <c r="R58"/>
      <c r="S58"/>
      <c r="T58"/>
      <c r="U58"/>
      <c r="V58"/>
    </row>
    <row r="59" spans="1:22" s="59" customFormat="1" ht="15.95">
      <c r="A59" s="48">
        <v>53</v>
      </c>
      <c r="B59" s="6" t="s">
        <v>72</v>
      </c>
      <c r="C59" s="53" t="s">
        <v>73</v>
      </c>
      <c r="D59" s="53" t="s">
        <v>62</v>
      </c>
      <c r="E59" s="106">
        <f t="shared" si="0"/>
        <v>0.429894</v>
      </c>
      <c r="F59" s="106">
        <v>0.240616</v>
      </c>
      <c r="G59" s="106">
        <v>0.100878</v>
      </c>
      <c r="H59" s="115">
        <v>8.8400000000000006E-2</v>
      </c>
      <c r="I59" s="107">
        <f>J59/SUM($J$59:$J$69)</f>
        <v>0.24697110904007463</v>
      </c>
      <c r="J59" s="108">
        <v>0.53</v>
      </c>
      <c r="K59" s="103">
        <f t="shared" si="2"/>
        <v>0.10617139794967384</v>
      </c>
      <c r="L59" s="119"/>
      <c r="M59" s="4"/>
      <c r="N59" s="64"/>
      <c r="O59"/>
      <c r="P59"/>
      <c r="Q59"/>
      <c r="R59"/>
      <c r="S59"/>
      <c r="T59"/>
      <c r="U59"/>
      <c r="V59"/>
    </row>
    <row r="60" spans="1:22" s="59" customFormat="1" ht="15.95">
      <c r="A60" s="48">
        <v>54</v>
      </c>
      <c r="B60" s="6" t="s">
        <v>72</v>
      </c>
      <c r="C60" s="53" t="s">
        <v>73</v>
      </c>
      <c r="D60" s="53" t="s">
        <v>41</v>
      </c>
      <c r="E60" s="106">
        <f t="shared" si="0"/>
        <v>0.43299799999999999</v>
      </c>
      <c r="F60" s="106">
        <v>0.253411</v>
      </c>
      <c r="G60" s="106">
        <v>0.10198699999999999</v>
      </c>
      <c r="H60" s="106">
        <v>7.7600000000000002E-2</v>
      </c>
      <c r="I60" s="107">
        <f t="shared" ref="I60:I69" si="12">J60/SUM($J$59:$J$69)</f>
        <v>8.3876980428704589E-2</v>
      </c>
      <c r="J60" s="108">
        <v>0.18</v>
      </c>
      <c r="K60" s="103">
        <f t="shared" si="2"/>
        <v>3.6318564771668227E-2</v>
      </c>
      <c r="L60" s="119"/>
      <c r="M60" s="4"/>
      <c r="N60" s="4"/>
      <c r="O60"/>
      <c r="P60"/>
      <c r="Q60"/>
      <c r="R60"/>
      <c r="S60"/>
      <c r="T60"/>
      <c r="U60"/>
      <c r="V60"/>
    </row>
    <row r="61" spans="1:22" s="59" customFormat="1" ht="15.95">
      <c r="A61" s="48">
        <v>55</v>
      </c>
      <c r="B61" s="6" t="s">
        <v>72</v>
      </c>
      <c r="C61" s="53" t="s">
        <v>73</v>
      </c>
      <c r="D61" s="53" t="s">
        <v>50</v>
      </c>
      <c r="E61" s="106">
        <f t="shared" si="0"/>
        <v>0.34267999999999998</v>
      </c>
      <c r="F61" s="106">
        <v>0.23880199999999999</v>
      </c>
      <c r="G61" s="106">
        <v>0.100878</v>
      </c>
      <c r="H61" s="106">
        <v>3.0000000000000001E-3</v>
      </c>
      <c r="I61" s="113">
        <f t="shared" si="12"/>
        <v>2.3299161230195719E-2</v>
      </c>
      <c r="J61" s="108">
        <v>0.05</v>
      </c>
      <c r="K61" s="103">
        <f t="shared" si="2"/>
        <v>7.9841565703634692E-3</v>
      </c>
      <c r="L61" s="119"/>
      <c r="M61" s="4"/>
      <c r="N61" s="4"/>
      <c r="O61"/>
      <c r="P61"/>
      <c r="Q61"/>
      <c r="R61"/>
      <c r="S61"/>
      <c r="T61"/>
      <c r="U61"/>
      <c r="V61"/>
    </row>
    <row r="62" spans="1:22" s="59" customFormat="1" ht="15.95">
      <c r="A62" s="48">
        <v>56</v>
      </c>
      <c r="B62" s="6" t="s">
        <v>72</v>
      </c>
      <c r="C62" s="53" t="s">
        <v>74</v>
      </c>
      <c r="D62" s="53" t="s">
        <v>41</v>
      </c>
      <c r="E62" s="106">
        <f t="shared" si="0"/>
        <v>0.27349400000000001</v>
      </c>
      <c r="F62" s="106">
        <v>9.3198000000000003E-2</v>
      </c>
      <c r="G62" s="106">
        <v>0.102448</v>
      </c>
      <c r="H62" s="106">
        <v>7.7848000000000001E-2</v>
      </c>
      <c r="I62" s="107">
        <f t="shared" si="12"/>
        <v>0.32152842497670092</v>
      </c>
      <c r="J62" s="108">
        <v>0.69</v>
      </c>
      <c r="K62" s="103">
        <f t="shared" si="2"/>
        <v>8.793609506057784E-2</v>
      </c>
      <c r="L62" s="119"/>
      <c r="M62" s="4"/>
      <c r="N62" s="4"/>
      <c r="O62"/>
      <c r="P62"/>
      <c r="Q62"/>
      <c r="R62"/>
      <c r="S62"/>
      <c r="T62"/>
      <c r="U62"/>
      <c r="V62"/>
    </row>
    <row r="63" spans="1:22" s="59" customFormat="1" ht="15.95">
      <c r="A63" s="48">
        <v>57</v>
      </c>
      <c r="B63" s="6" t="s">
        <v>72</v>
      </c>
      <c r="C63" s="53" t="s">
        <v>74</v>
      </c>
      <c r="D63" s="53" t="s">
        <v>50</v>
      </c>
      <c r="E63" s="106">
        <f t="shared" si="0"/>
        <v>0.18901899999999999</v>
      </c>
      <c r="F63" s="106">
        <v>8.4638000000000005E-2</v>
      </c>
      <c r="G63" s="106">
        <v>0.10133399999999999</v>
      </c>
      <c r="H63" s="106">
        <v>3.0469999999999998E-3</v>
      </c>
      <c r="I63" s="113">
        <f t="shared" si="12"/>
        <v>1.3979496738117431E-2</v>
      </c>
      <c r="J63" s="108">
        <v>0.03</v>
      </c>
      <c r="K63" s="103">
        <f t="shared" si="2"/>
        <v>2.6423904939422184E-3</v>
      </c>
      <c r="L63" s="119"/>
      <c r="M63" s="4"/>
      <c r="N63" s="4"/>
      <c r="O63"/>
      <c r="P63"/>
      <c r="Q63"/>
      <c r="R63"/>
      <c r="S63"/>
      <c r="T63"/>
      <c r="U63"/>
      <c r="V63"/>
    </row>
    <row r="64" spans="1:22" s="59" customFormat="1" ht="15.95">
      <c r="A64" s="48">
        <v>58</v>
      </c>
      <c r="B64" s="6" t="s">
        <v>72</v>
      </c>
      <c r="C64" s="53" t="s">
        <v>75</v>
      </c>
      <c r="D64" s="53" t="s">
        <v>41</v>
      </c>
      <c r="E64" s="106">
        <f t="shared" si="0"/>
        <v>0.46926399999999996</v>
      </c>
      <c r="F64" s="106">
        <v>0.28902699999999998</v>
      </c>
      <c r="G64" s="106">
        <v>0.10198699999999999</v>
      </c>
      <c r="H64" s="106">
        <v>7.825E-2</v>
      </c>
      <c r="I64" s="107">
        <f t="shared" si="12"/>
        <v>0.26095060577819207</v>
      </c>
      <c r="J64" s="108">
        <v>0.56000000000000005</v>
      </c>
      <c r="K64" s="103">
        <f t="shared" si="2"/>
        <v>0.12245472506989752</v>
      </c>
      <c r="L64" s="119"/>
      <c r="M64" s="4"/>
      <c r="N64" s="4"/>
      <c r="O64"/>
      <c r="P64"/>
      <c r="Q64"/>
      <c r="R64"/>
      <c r="S64"/>
      <c r="T64"/>
      <c r="U64"/>
      <c r="V64"/>
    </row>
    <row r="65" spans="1:22" s="59" customFormat="1" ht="15.95">
      <c r="A65" s="48">
        <v>59</v>
      </c>
      <c r="B65" s="6" t="s">
        <v>72</v>
      </c>
      <c r="C65" s="53" t="s">
        <v>75</v>
      </c>
      <c r="D65" s="53" t="s">
        <v>46</v>
      </c>
      <c r="E65" s="106">
        <f t="shared" si="0"/>
        <v>0.44530500000000001</v>
      </c>
      <c r="F65" s="106">
        <v>0.29070800000000002</v>
      </c>
      <c r="G65" s="106">
        <v>0.10198699999999999</v>
      </c>
      <c r="H65" s="106">
        <v>5.2609999999999997E-2</v>
      </c>
      <c r="I65" s="107">
        <f t="shared" si="12"/>
        <v>4.6598322460391438E-2</v>
      </c>
      <c r="J65" s="108">
        <v>0.1</v>
      </c>
      <c r="K65" s="103">
        <f t="shared" si="2"/>
        <v>2.0750465983224609E-2</v>
      </c>
      <c r="L65" s="119"/>
      <c r="M65" s="4"/>
      <c r="N65" s="4"/>
      <c r="O65"/>
      <c r="P65"/>
      <c r="Q65"/>
      <c r="R65"/>
      <c r="S65"/>
      <c r="T65"/>
      <c r="U65"/>
      <c r="V65"/>
    </row>
    <row r="66" spans="1:22" s="59" customFormat="1" ht="32.1">
      <c r="A66" s="48">
        <v>60</v>
      </c>
      <c r="B66" s="6" t="s">
        <v>72</v>
      </c>
      <c r="C66" s="53" t="s">
        <v>75</v>
      </c>
      <c r="D66" s="52" t="s">
        <v>76</v>
      </c>
      <c r="E66" s="106">
        <f t="shared" si="0"/>
        <v>0.37559099999999995</v>
      </c>
      <c r="F66" s="106">
        <v>0.27157199999999998</v>
      </c>
      <c r="G66" s="106">
        <v>0.100878</v>
      </c>
      <c r="H66" s="106">
        <v>3.1410000000000001E-3</v>
      </c>
      <c r="I66" s="113">
        <f t="shared" si="12"/>
        <v>9.3196644920782881E-4</v>
      </c>
      <c r="J66" s="108">
        <v>2E-3</v>
      </c>
      <c r="K66" s="103">
        <f t="shared" si="2"/>
        <v>3.5003821062441759E-4</v>
      </c>
      <c r="L66" s="119"/>
      <c r="M66" s="4"/>
      <c r="N66" s="4"/>
      <c r="O66"/>
      <c r="P66"/>
      <c r="Q66"/>
      <c r="R66"/>
      <c r="S66"/>
      <c r="T66"/>
      <c r="U66"/>
      <c r="V66"/>
    </row>
    <row r="67" spans="1:22" s="59" customFormat="1" ht="32.1">
      <c r="A67" s="48">
        <v>61</v>
      </c>
      <c r="B67" s="6" t="s">
        <v>72</v>
      </c>
      <c r="C67" s="53" t="s">
        <v>75</v>
      </c>
      <c r="D67" s="52" t="s">
        <v>77</v>
      </c>
      <c r="E67" s="106">
        <f t="shared" si="0"/>
        <v>0.42231399999999997</v>
      </c>
      <c r="F67" s="106">
        <v>0.31795699999999999</v>
      </c>
      <c r="G67" s="106">
        <v>0.10133399999999999</v>
      </c>
      <c r="H67" s="106">
        <v>3.0230000000000001E-3</v>
      </c>
      <c r="I67" s="113">
        <f t="shared" si="12"/>
        <v>9.3196644920782881E-4</v>
      </c>
      <c r="J67" s="108">
        <v>2E-3</v>
      </c>
      <c r="K67" s="103">
        <f t="shared" si="2"/>
        <v>3.9358247903075496E-4</v>
      </c>
      <c r="L67" s="119"/>
      <c r="M67" s="4"/>
      <c r="N67" s="4"/>
      <c r="O67"/>
      <c r="P67"/>
      <c r="Q67"/>
      <c r="R67"/>
      <c r="S67"/>
      <c r="T67"/>
      <c r="U67"/>
      <c r="V67"/>
    </row>
    <row r="68" spans="1:22" s="59" customFormat="1" ht="32.1">
      <c r="A68" s="48">
        <v>62</v>
      </c>
      <c r="B68" s="6" t="s">
        <v>72</v>
      </c>
      <c r="C68" s="53" t="s">
        <v>75</v>
      </c>
      <c r="D68" s="52" t="s">
        <v>78</v>
      </c>
      <c r="E68" s="106">
        <f t="shared" si="0"/>
        <v>0.26782999999999996</v>
      </c>
      <c r="F68" s="106">
        <v>0.16390399999999999</v>
      </c>
      <c r="G68" s="106">
        <v>0.100878</v>
      </c>
      <c r="H68" s="106">
        <v>3.0479999999999999E-3</v>
      </c>
      <c r="I68" s="113">
        <f t="shared" si="12"/>
        <v>9.3196644920782881E-4</v>
      </c>
      <c r="J68" s="108">
        <v>2E-3</v>
      </c>
      <c r="K68" s="103">
        <f t="shared" si="2"/>
        <v>2.4960857409133275E-4</v>
      </c>
      <c r="L68" s="119"/>
      <c r="M68" s="4"/>
      <c r="N68" s="4"/>
      <c r="O68"/>
      <c r="P68"/>
      <c r="Q68"/>
      <c r="R68"/>
      <c r="S68"/>
      <c r="T68"/>
      <c r="U68"/>
      <c r="V68"/>
    </row>
    <row r="69" spans="1:22" s="59" customFormat="1" ht="32.1">
      <c r="A69" s="48">
        <v>63</v>
      </c>
      <c r="B69" s="6" t="s">
        <v>72</v>
      </c>
      <c r="C69" s="53" t="s">
        <v>75</v>
      </c>
      <c r="D69" s="52" t="s">
        <v>79</v>
      </c>
      <c r="E69" s="106">
        <f t="shared" si="0"/>
        <v>1.5373620000000001</v>
      </c>
      <c r="F69" s="106">
        <v>1.433359</v>
      </c>
      <c r="G69" s="106">
        <v>0.100878</v>
      </c>
      <c r="H69" s="106">
        <v>3.1250000000000002E-3</v>
      </c>
      <c r="I69" s="113">
        <f t="shared" si="12"/>
        <v>0</v>
      </c>
      <c r="J69" s="108">
        <v>0</v>
      </c>
      <c r="K69" s="103">
        <f t="shared" si="2"/>
        <v>0</v>
      </c>
      <c r="L69" s="119"/>
      <c r="M69" s="4"/>
      <c r="N69" s="4"/>
      <c r="O69"/>
      <c r="P69"/>
      <c r="Q69"/>
      <c r="R69"/>
      <c r="S69"/>
      <c r="T69"/>
      <c r="U69"/>
      <c r="V69"/>
    </row>
    <row r="70" spans="1:22" s="59" customFormat="1" ht="15.95">
      <c r="A70" s="48"/>
      <c r="B70" s="125" t="s">
        <v>26</v>
      </c>
      <c r="C70" s="126" t="s">
        <v>119</v>
      </c>
      <c r="D70" s="126" t="s">
        <v>154</v>
      </c>
      <c r="E70" s="127">
        <f>SUM(F70:H70)</f>
        <v>5.6030027142857142</v>
      </c>
      <c r="F70" s="127">
        <f t="shared" ref="F70:H70" si="13">AVERAGE(F72:F78)</f>
        <v>3.0364174285714287</v>
      </c>
      <c r="G70" s="127">
        <f t="shared" si="13"/>
        <v>0.69458014285714287</v>
      </c>
      <c r="H70" s="127">
        <f t="shared" si="13"/>
        <v>1.8720051428571429</v>
      </c>
      <c r="I70" s="128">
        <f>J70/SUM($J$70:$J$71)</f>
        <v>0.95340000000000003</v>
      </c>
      <c r="J70" s="128">
        <v>0.95340000000000003</v>
      </c>
      <c r="K70" s="103">
        <f t="shared" si="2"/>
        <v>5.3419027877999996</v>
      </c>
      <c r="L70" s="119"/>
      <c r="M70" s="4"/>
      <c r="N70" s="4"/>
      <c r="O70"/>
      <c r="P70"/>
      <c r="Q70"/>
      <c r="R70"/>
      <c r="S70"/>
      <c r="T70"/>
      <c r="U70"/>
      <c r="V70"/>
    </row>
    <row r="71" spans="1:22" s="59" customFormat="1" ht="15.95">
      <c r="A71" s="48"/>
      <c r="B71" s="125" t="s">
        <v>263</v>
      </c>
      <c r="C71" s="126" t="s">
        <v>119</v>
      </c>
      <c r="D71" s="126" t="s">
        <v>50</v>
      </c>
      <c r="E71" s="127">
        <f>SUM(F71:H71)</f>
        <v>3.9964664999999999</v>
      </c>
      <c r="F71" s="127">
        <f t="shared" ref="F71:H71" si="14">AVERAGE(F79:F80)</f>
        <v>3.1400224999999997</v>
      </c>
      <c r="G71" s="127">
        <f t="shared" si="14"/>
        <v>0.84133849999999999</v>
      </c>
      <c r="H71" s="127">
        <f t="shared" si="14"/>
        <v>1.5105500000000001E-2</v>
      </c>
      <c r="I71" s="128">
        <f>J71/SUM($J$70:$J$71)</f>
        <v>4.6600000000000003E-2</v>
      </c>
      <c r="J71" s="128">
        <v>4.6600000000000003E-2</v>
      </c>
      <c r="K71" s="103"/>
      <c r="L71" s="119"/>
      <c r="M71" s="4"/>
      <c r="N71" s="4"/>
      <c r="O71"/>
      <c r="P71"/>
      <c r="Q71"/>
      <c r="R71"/>
      <c r="S71"/>
      <c r="T71"/>
      <c r="U71"/>
      <c r="V71"/>
    </row>
    <row r="72" spans="1:22" s="59" customFormat="1" ht="15.95">
      <c r="A72" s="48">
        <v>64</v>
      </c>
      <c r="B72" s="6" t="s">
        <v>26</v>
      </c>
      <c r="C72" s="55" t="s">
        <v>80</v>
      </c>
      <c r="D72" s="55" t="s">
        <v>71</v>
      </c>
      <c r="E72" s="110">
        <f t="shared" si="0"/>
        <v>5.6848479999999997</v>
      </c>
      <c r="F72" s="110">
        <v>4.5770249999999999</v>
      </c>
      <c r="G72" s="110">
        <v>1.020249</v>
      </c>
      <c r="H72" s="110">
        <v>8.7573999999999999E-2</v>
      </c>
      <c r="I72" s="107">
        <f>J72/SUM($J$72:$J$80)</f>
        <v>0.28115942028985508</v>
      </c>
      <c r="J72" s="108">
        <v>0.97</v>
      </c>
      <c r="K72" s="103">
        <f t="shared" si="2"/>
        <v>1.5983485681159419</v>
      </c>
      <c r="L72" s="119"/>
      <c r="M72" s="4"/>
      <c r="N72" s="4"/>
      <c r="O72"/>
      <c r="P72"/>
      <c r="Q72"/>
      <c r="R72"/>
      <c r="S72"/>
      <c r="T72"/>
      <c r="U72"/>
      <c r="V72"/>
    </row>
    <row r="73" spans="1:22" s="59" customFormat="1" ht="15.95">
      <c r="A73" s="48">
        <v>65</v>
      </c>
      <c r="B73" s="6" t="s">
        <v>26</v>
      </c>
      <c r="C73" s="55" t="s">
        <v>81</v>
      </c>
      <c r="D73" s="55" t="s">
        <v>82</v>
      </c>
      <c r="E73" s="110">
        <f t="shared" si="0"/>
        <v>13.573368</v>
      </c>
      <c r="F73" s="110">
        <v>1.6381209999999999</v>
      </c>
      <c r="G73" s="110">
        <v>0.120767</v>
      </c>
      <c r="H73" s="110">
        <v>11.81448</v>
      </c>
      <c r="I73" s="107">
        <f t="shared" ref="I73:I80" si="15">J73/SUM($J$72:$J$80)</f>
        <v>0.17101449275362318</v>
      </c>
      <c r="J73" s="108">
        <v>0.59</v>
      </c>
      <c r="K73" s="103">
        <f t="shared" si="2"/>
        <v>2.3212426434782607</v>
      </c>
      <c r="L73" s="119"/>
      <c r="M73" s="4"/>
      <c r="N73" s="4"/>
      <c r="O73"/>
      <c r="P73"/>
      <c r="Q73"/>
      <c r="R73"/>
      <c r="S73"/>
      <c r="T73"/>
      <c r="U73"/>
      <c r="V73"/>
    </row>
    <row r="74" spans="1:22" s="59" customFormat="1" ht="15.95">
      <c r="A74" s="48">
        <v>66</v>
      </c>
      <c r="B74" s="6" t="s">
        <v>26</v>
      </c>
      <c r="C74" s="55" t="s">
        <v>83</v>
      </c>
      <c r="D74" s="55" t="s">
        <v>82</v>
      </c>
      <c r="E74" s="110">
        <f t="shared" ref="E74:E80" si="16">SUM(F74:H74)</f>
        <v>2.2942670000000001</v>
      </c>
      <c r="F74" s="110">
        <v>1.715716</v>
      </c>
      <c r="G74" s="110">
        <v>0.15206900000000001</v>
      </c>
      <c r="H74" s="110">
        <v>0.42648200000000003</v>
      </c>
      <c r="I74" s="107">
        <f t="shared" si="15"/>
        <v>8.6956521739130418E-3</v>
      </c>
      <c r="J74" s="108">
        <v>0.03</v>
      </c>
      <c r="K74" s="103">
        <f t="shared" ref="K74:K99" si="17">E74*I74</f>
        <v>1.9950147826086954E-2</v>
      </c>
      <c r="L74" s="119"/>
      <c r="M74" s="4"/>
      <c r="N74" s="4"/>
      <c r="O74"/>
      <c r="P74"/>
      <c r="Q74"/>
      <c r="R74"/>
      <c r="S74"/>
      <c r="T74"/>
      <c r="U74"/>
      <c r="V74"/>
    </row>
    <row r="75" spans="1:22" s="59" customFormat="1" ht="15.95">
      <c r="A75" s="48">
        <v>67</v>
      </c>
      <c r="B75" s="6" t="s">
        <v>26</v>
      </c>
      <c r="C75" s="55" t="s">
        <v>83</v>
      </c>
      <c r="D75" s="55" t="s">
        <v>84</v>
      </c>
      <c r="E75" s="110">
        <f t="shared" si="16"/>
        <v>2.2537609999999999</v>
      </c>
      <c r="F75" s="110">
        <v>1.6983520000000001</v>
      </c>
      <c r="G75" s="110">
        <v>0.46017599999999997</v>
      </c>
      <c r="H75" s="110">
        <v>9.5232999999999998E-2</v>
      </c>
      <c r="I75" s="107">
        <f t="shared" si="15"/>
        <v>5.7971014492753624E-2</v>
      </c>
      <c r="J75" s="108">
        <v>0.2</v>
      </c>
      <c r="K75" s="103">
        <f t="shared" si="17"/>
        <v>0.13065281159420289</v>
      </c>
      <c r="L75" s="119"/>
      <c r="M75" s="4"/>
      <c r="N75" s="4"/>
      <c r="O75"/>
      <c r="P75"/>
      <c r="Q75"/>
      <c r="R75"/>
      <c r="S75"/>
      <c r="T75"/>
      <c r="U75"/>
      <c r="V75"/>
    </row>
    <row r="76" spans="1:22" s="59" customFormat="1" ht="15.95">
      <c r="A76" s="48">
        <v>68</v>
      </c>
      <c r="B76" s="6" t="s">
        <v>26</v>
      </c>
      <c r="C76" s="55" t="s">
        <v>85</v>
      </c>
      <c r="D76" s="55" t="s">
        <v>82</v>
      </c>
      <c r="E76" s="110">
        <f t="shared" si="16"/>
        <v>4.6855399999999996</v>
      </c>
      <c r="F76" s="110">
        <v>3.8360919999999998</v>
      </c>
      <c r="G76" s="110">
        <v>0.44528499999999999</v>
      </c>
      <c r="H76" s="110">
        <v>0.40416299999999999</v>
      </c>
      <c r="I76" s="107">
        <f t="shared" si="15"/>
        <v>6.6666666666666666E-2</v>
      </c>
      <c r="J76" s="108">
        <v>0.23</v>
      </c>
      <c r="K76" s="103">
        <f t="shared" si="17"/>
        <v>0.31236933333333328</v>
      </c>
      <c r="L76" s="119"/>
      <c r="M76" s="4"/>
      <c r="N76" s="4"/>
      <c r="O76"/>
      <c r="P76"/>
      <c r="Q76"/>
      <c r="R76"/>
      <c r="S76"/>
      <c r="T76"/>
      <c r="U76"/>
      <c r="V76"/>
    </row>
    <row r="77" spans="1:22" s="59" customFormat="1" ht="15.95">
      <c r="A77" s="48">
        <v>69</v>
      </c>
      <c r="B77" s="6" t="s">
        <v>26</v>
      </c>
      <c r="C77" s="55" t="s">
        <v>85</v>
      </c>
      <c r="D77" s="55" t="s">
        <v>62</v>
      </c>
      <c r="E77" s="110">
        <f t="shared" si="16"/>
        <v>5.5576039999999995</v>
      </c>
      <c r="F77" s="110">
        <v>3.8948079999999998</v>
      </c>
      <c r="G77" s="110">
        <v>1.5669139999999999</v>
      </c>
      <c r="H77" s="110">
        <v>9.5881999999999995E-2</v>
      </c>
      <c r="I77" s="107">
        <f t="shared" si="15"/>
        <v>8.9855072463768115E-2</v>
      </c>
      <c r="J77" s="108">
        <v>0.31</v>
      </c>
      <c r="K77" s="103">
        <f t="shared" si="17"/>
        <v>0.49937891014492747</v>
      </c>
      <c r="L77" s="119"/>
      <c r="M77" s="4"/>
      <c r="N77" s="4"/>
      <c r="O77"/>
      <c r="P77"/>
      <c r="Q77"/>
      <c r="R77"/>
      <c r="S77"/>
      <c r="T77"/>
      <c r="U77"/>
      <c r="V77"/>
    </row>
    <row r="78" spans="1:22" s="59" customFormat="1" ht="15.95">
      <c r="A78" s="48">
        <v>70</v>
      </c>
      <c r="B78" s="6" t="s">
        <v>26</v>
      </c>
      <c r="C78" s="55" t="s">
        <v>85</v>
      </c>
      <c r="D78" s="55" t="s">
        <v>86</v>
      </c>
      <c r="E78" s="110">
        <f t="shared" si="16"/>
        <v>5.1716309999999996</v>
      </c>
      <c r="F78" s="110">
        <v>3.8948079999999998</v>
      </c>
      <c r="G78" s="110">
        <v>1.0966009999999999</v>
      </c>
      <c r="H78" s="110">
        <v>0.18022199999999999</v>
      </c>
      <c r="I78" s="107">
        <f t="shared" si="15"/>
        <v>3.4782608695652167E-2</v>
      </c>
      <c r="J78" s="108">
        <v>0.12</v>
      </c>
      <c r="K78" s="103">
        <f t="shared" si="17"/>
        <v>0.17988281739130429</v>
      </c>
      <c r="L78" s="119"/>
      <c r="M78" s="4"/>
      <c r="N78" s="4"/>
      <c r="O78"/>
      <c r="P78"/>
      <c r="Q78"/>
      <c r="R78"/>
      <c r="S78"/>
      <c r="T78"/>
      <c r="U78"/>
      <c r="V78"/>
    </row>
    <row r="79" spans="1:22" s="59" customFormat="1" ht="15.95">
      <c r="A79" s="48">
        <v>71</v>
      </c>
      <c r="B79" s="6" t="s">
        <v>26</v>
      </c>
      <c r="C79" s="55" t="s">
        <v>87</v>
      </c>
      <c r="D79" s="55" t="s">
        <v>50</v>
      </c>
      <c r="E79" s="110">
        <f t="shared" si="16"/>
        <v>3.7301799999999998</v>
      </c>
      <c r="F79" s="110">
        <v>2.9317169999999999</v>
      </c>
      <c r="G79" s="110">
        <v>0.79142299999999999</v>
      </c>
      <c r="H79" s="110">
        <v>7.0400000000000003E-3</v>
      </c>
      <c r="I79" s="113">
        <f t="shared" si="15"/>
        <v>0.23478260869565218</v>
      </c>
      <c r="J79" s="108">
        <v>0.81</v>
      </c>
      <c r="K79" s="103">
        <f t="shared" si="17"/>
        <v>0.87578139130434784</v>
      </c>
      <c r="L79" s="119"/>
      <c r="M79" s="4"/>
      <c r="N79" s="4"/>
      <c r="O79"/>
      <c r="P79"/>
      <c r="Q79"/>
      <c r="R79"/>
      <c r="S79"/>
      <c r="T79"/>
      <c r="U79"/>
      <c r="V79"/>
    </row>
    <row r="80" spans="1:22" s="59" customFormat="1" ht="15.95">
      <c r="A80" s="48">
        <v>72</v>
      </c>
      <c r="B80" s="6" t="s">
        <v>26</v>
      </c>
      <c r="C80" s="55" t="s">
        <v>88</v>
      </c>
      <c r="D80" s="55" t="s">
        <v>50</v>
      </c>
      <c r="E80" s="110">
        <f t="shared" si="16"/>
        <v>4.262753</v>
      </c>
      <c r="F80" s="110">
        <v>3.348328</v>
      </c>
      <c r="G80" s="110">
        <v>0.89125399999999999</v>
      </c>
      <c r="H80" s="110">
        <v>2.3171000000000001E-2</v>
      </c>
      <c r="I80" s="113">
        <f t="shared" si="15"/>
        <v>5.5072463768115941E-2</v>
      </c>
      <c r="J80" s="108">
        <v>0.19</v>
      </c>
      <c r="K80" s="103">
        <f t="shared" si="17"/>
        <v>0.23476031014492754</v>
      </c>
      <c r="L80" s="119"/>
      <c r="M80" s="4"/>
      <c r="N80" s="4"/>
      <c r="O80"/>
      <c r="P80"/>
      <c r="Q80"/>
      <c r="R80"/>
      <c r="S80"/>
      <c r="T80"/>
      <c r="U80"/>
      <c r="V80"/>
    </row>
    <row r="81" spans="1:22" s="59" customFormat="1" ht="15.95">
      <c r="A81" s="48"/>
      <c r="B81" s="125" t="s">
        <v>27</v>
      </c>
      <c r="C81" s="126" t="s">
        <v>119</v>
      </c>
      <c r="D81" s="126" t="s">
        <v>154</v>
      </c>
      <c r="E81" s="127">
        <f>SUM(F81:H81)</f>
        <v>5.2635628881249996</v>
      </c>
      <c r="F81" s="127">
        <f t="shared" ref="F81:H81" si="18">AVERAGE(F83:F86,F88:F99)</f>
        <v>4.2625649156249992</v>
      </c>
      <c r="G81" s="127">
        <f t="shared" si="18"/>
        <v>0.84579806062499996</v>
      </c>
      <c r="H81" s="127">
        <f t="shared" si="18"/>
        <v>0.15519991187499996</v>
      </c>
      <c r="I81" s="128">
        <f>J81/SUM($J$81:$J$82)</f>
        <v>0.98319999999999996</v>
      </c>
      <c r="J81" s="128">
        <v>0.98319999999999996</v>
      </c>
      <c r="K81" s="103">
        <f t="shared" si="17"/>
        <v>5.1751350316044995</v>
      </c>
      <c r="L81" s="119"/>
      <c r="M81" s="4"/>
      <c r="N81" s="4"/>
      <c r="O81"/>
      <c r="P81"/>
      <c r="Q81"/>
      <c r="R81"/>
      <c r="S81"/>
      <c r="T81"/>
      <c r="U81"/>
      <c r="V81"/>
    </row>
    <row r="82" spans="1:22" s="59" customFormat="1" ht="15.95">
      <c r="A82" s="48"/>
      <c r="B82" s="125" t="s">
        <v>27</v>
      </c>
      <c r="C82" s="126" t="s">
        <v>119</v>
      </c>
      <c r="D82" s="126" t="s">
        <v>50</v>
      </c>
      <c r="E82" s="127">
        <f>SUM(F82:H82)</f>
        <v>5.1386244200000002</v>
      </c>
      <c r="F82" s="127">
        <f t="shared" ref="F82:H82" si="19">F87</f>
        <v>4.5079172600000001</v>
      </c>
      <c r="G82" s="127">
        <f t="shared" si="19"/>
        <v>0.61092601000000002</v>
      </c>
      <c r="H82" s="127">
        <f t="shared" si="19"/>
        <v>1.9781150000000001E-2</v>
      </c>
      <c r="I82" s="128">
        <f>J82/SUM($J$81:$J$82)</f>
        <v>1.6799999999999999E-2</v>
      </c>
      <c r="J82" s="128">
        <v>1.6799999999999999E-2</v>
      </c>
      <c r="K82" s="103"/>
      <c r="L82" s="119"/>
      <c r="M82" s="4"/>
      <c r="N82" s="4"/>
      <c r="O82"/>
      <c r="P82"/>
      <c r="Q82"/>
      <c r="R82"/>
      <c r="S82"/>
      <c r="T82"/>
      <c r="U82"/>
      <c r="V82"/>
    </row>
    <row r="83" spans="1:22" s="59" customFormat="1" ht="15.95">
      <c r="A83" s="48">
        <v>73</v>
      </c>
      <c r="B83" s="6" t="s">
        <v>27</v>
      </c>
      <c r="C83" s="53" t="s">
        <v>89</v>
      </c>
      <c r="D83" s="53" t="s">
        <v>71</v>
      </c>
      <c r="E83" s="106">
        <f t="shared" ref="E83:E99" si="20">SUM(F83:H83)</f>
        <v>5.8283054500000002</v>
      </c>
      <c r="F83" s="106">
        <v>4.6900983800000002</v>
      </c>
      <c r="G83" s="106">
        <v>1.0417997999999999</v>
      </c>
      <c r="H83" s="106">
        <v>9.6407270000000003E-2</v>
      </c>
      <c r="I83" s="116">
        <f>J83/SUM($J$83:$J$99)</f>
        <v>4.0160642570281124E-2</v>
      </c>
      <c r="J83" s="117">
        <v>0.1</v>
      </c>
      <c r="K83" s="103">
        <f t="shared" si="17"/>
        <v>0.23406849196787149</v>
      </c>
      <c r="L83" s="120"/>
      <c r="M83"/>
      <c r="N83"/>
      <c r="O83" s="65"/>
      <c r="P83"/>
      <c r="Q83"/>
      <c r="R83"/>
      <c r="T83"/>
      <c r="U83"/>
      <c r="V83"/>
    </row>
    <row r="84" spans="1:22" s="4" customFormat="1" ht="15.95">
      <c r="A84" s="48">
        <v>74</v>
      </c>
      <c r="B84" s="6" t="s">
        <v>27</v>
      </c>
      <c r="C84" s="53" t="s">
        <v>89</v>
      </c>
      <c r="D84" s="53" t="s">
        <v>41</v>
      </c>
      <c r="E84" s="106">
        <f t="shared" si="20"/>
        <v>5.9016710300000002</v>
      </c>
      <c r="F84" s="106">
        <v>4.7533466300000002</v>
      </c>
      <c r="G84" s="106">
        <v>1.0619243</v>
      </c>
      <c r="H84" s="106">
        <v>8.6400099999999994E-2</v>
      </c>
      <c r="I84" s="116">
        <f t="shared" ref="I84:I99" si="21">J84/SUM($J$83:$J$99)</f>
        <v>0.19277108433734938</v>
      </c>
      <c r="J84" s="117">
        <v>0.48</v>
      </c>
      <c r="K84" s="103">
        <f t="shared" si="17"/>
        <v>1.1376715238554216</v>
      </c>
      <c r="L84" s="120"/>
      <c r="M84"/>
      <c r="N84"/>
      <c r="O84"/>
      <c r="P84"/>
      <c r="Q84"/>
      <c r="R84"/>
      <c r="S84" s="59"/>
      <c r="T84"/>
      <c r="U84"/>
      <c r="V84"/>
    </row>
    <row r="85" spans="1:22" s="4" customFormat="1" ht="15.95">
      <c r="A85" s="48">
        <v>75</v>
      </c>
      <c r="B85" s="6" t="s">
        <v>27</v>
      </c>
      <c r="C85" s="53" t="s">
        <v>89</v>
      </c>
      <c r="D85" s="53" t="s">
        <v>46</v>
      </c>
      <c r="E85" s="106">
        <f t="shared" si="20"/>
        <v>6.488153650000001</v>
      </c>
      <c r="F85" s="106">
        <v>5.2182964500000004</v>
      </c>
      <c r="G85" s="106">
        <v>1.2098633000000001</v>
      </c>
      <c r="H85" s="106">
        <v>5.9993900000000003E-2</v>
      </c>
      <c r="I85" s="116">
        <f t="shared" si="21"/>
        <v>3.2128514056224897E-2</v>
      </c>
      <c r="J85" s="117">
        <v>0.08</v>
      </c>
      <c r="K85" s="103">
        <f t="shared" si="17"/>
        <v>0.20845473574297191</v>
      </c>
      <c r="L85" s="120"/>
      <c r="M85"/>
      <c r="N85"/>
      <c r="O85"/>
      <c r="P85"/>
      <c r="Q85"/>
      <c r="R85"/>
      <c r="S85" s="59"/>
      <c r="T85"/>
      <c r="U85"/>
      <c r="V85"/>
    </row>
    <row r="86" spans="1:22" s="4" customFormat="1" ht="15.95">
      <c r="A86" s="48">
        <v>76</v>
      </c>
      <c r="B86" s="6" t="s">
        <v>27</v>
      </c>
      <c r="C86" s="53" t="s">
        <v>89</v>
      </c>
      <c r="D86" s="53" t="s">
        <v>62</v>
      </c>
      <c r="E86" s="106">
        <f t="shared" si="20"/>
        <v>7.2232415300000001</v>
      </c>
      <c r="F86" s="106">
        <v>5.8551775900000003</v>
      </c>
      <c r="G86" s="106">
        <v>1.2781811999999999</v>
      </c>
      <c r="H86" s="106">
        <v>8.9882740000000003E-2</v>
      </c>
      <c r="I86" s="116">
        <f t="shared" si="21"/>
        <v>8.0321285140562249E-2</v>
      </c>
      <c r="J86" s="117">
        <v>0.2</v>
      </c>
      <c r="K86" s="103">
        <f t="shared" si="17"/>
        <v>0.58018004257028111</v>
      </c>
      <c r="L86" s="120"/>
      <c r="M86"/>
      <c r="N86"/>
      <c r="O86"/>
      <c r="P86"/>
      <c r="Q86"/>
      <c r="R86"/>
      <c r="S86" s="59"/>
      <c r="T86"/>
      <c r="U86"/>
      <c r="V86"/>
    </row>
    <row r="87" spans="1:22" s="4" customFormat="1" ht="15.95">
      <c r="A87" s="48">
        <v>77</v>
      </c>
      <c r="B87" s="6" t="s">
        <v>27</v>
      </c>
      <c r="C87" s="53" t="s">
        <v>89</v>
      </c>
      <c r="D87" s="53" t="s">
        <v>50</v>
      </c>
      <c r="E87" s="106">
        <f t="shared" si="20"/>
        <v>5.1386244200000002</v>
      </c>
      <c r="F87" s="106">
        <v>4.5079172600000001</v>
      </c>
      <c r="G87" s="106">
        <v>0.61092601000000002</v>
      </c>
      <c r="H87" s="106">
        <v>1.9781150000000001E-2</v>
      </c>
      <c r="I87" s="118">
        <f t="shared" si="21"/>
        <v>8.0321285140562242E-3</v>
      </c>
      <c r="J87" s="117">
        <v>0.02</v>
      </c>
      <c r="K87" s="103">
        <f t="shared" si="17"/>
        <v>4.127409172690763E-2</v>
      </c>
      <c r="L87" s="120"/>
      <c r="M87"/>
      <c r="N87"/>
      <c r="O87"/>
      <c r="P87"/>
      <c r="Q87"/>
      <c r="R87"/>
      <c r="S87" s="59"/>
      <c r="T87"/>
      <c r="U87"/>
      <c r="V87"/>
    </row>
    <row r="88" spans="1:22" s="4" customFormat="1" ht="15.95">
      <c r="A88" s="48">
        <v>78</v>
      </c>
      <c r="B88" s="6" t="s">
        <v>27</v>
      </c>
      <c r="C88" s="53" t="s">
        <v>90</v>
      </c>
      <c r="D88" s="53" t="s">
        <v>46</v>
      </c>
      <c r="E88" s="106">
        <f t="shared" si="20"/>
        <v>4.8643129299999996</v>
      </c>
      <c r="F88" s="106">
        <v>3.28595477</v>
      </c>
      <c r="G88" s="106">
        <v>1.3523988899999999</v>
      </c>
      <c r="H88" s="106">
        <v>0.22595926999999999</v>
      </c>
      <c r="I88" s="116">
        <f t="shared" si="21"/>
        <v>1.2048192771084336E-2</v>
      </c>
      <c r="J88" s="117">
        <v>0.03</v>
      </c>
      <c r="K88" s="103">
        <f t="shared" si="17"/>
        <v>5.8606179879518064E-2</v>
      </c>
      <c r="L88" s="120"/>
      <c r="M88"/>
      <c r="N88"/>
      <c r="O88" s="65"/>
      <c r="P88"/>
      <c r="Q88"/>
      <c r="R88"/>
      <c r="S88" s="59"/>
      <c r="T88"/>
      <c r="U88"/>
      <c r="V88"/>
    </row>
    <row r="89" spans="1:22" s="4" customFormat="1" ht="15.95">
      <c r="A89" s="48">
        <v>79</v>
      </c>
      <c r="B89" s="6" t="s">
        <v>27</v>
      </c>
      <c r="C89" s="53" t="s">
        <v>90</v>
      </c>
      <c r="D89" s="53" t="s">
        <v>52</v>
      </c>
      <c r="E89" s="106">
        <f t="shared" si="20"/>
        <v>4.9684077999999996</v>
      </c>
      <c r="F89" s="106">
        <v>3.28595477</v>
      </c>
      <c r="G89" s="106">
        <v>1.3196891399999999</v>
      </c>
      <c r="H89" s="106">
        <v>0.36276388999999998</v>
      </c>
      <c r="I89" s="116">
        <f t="shared" si="21"/>
        <v>4.0160642570281121E-3</v>
      </c>
      <c r="J89" s="117">
        <v>0.01</v>
      </c>
      <c r="K89" s="103">
        <f t="shared" si="17"/>
        <v>1.9953444979919674E-2</v>
      </c>
      <c r="L89" s="120"/>
      <c r="M89"/>
      <c r="N89"/>
      <c r="O89"/>
      <c r="P89"/>
      <c r="Q89"/>
      <c r="R89"/>
      <c r="S89" s="59"/>
      <c r="T89"/>
      <c r="U89"/>
      <c r="V89"/>
    </row>
    <row r="90" spans="1:22" s="4" customFormat="1" ht="15.95">
      <c r="A90" s="48">
        <v>80</v>
      </c>
      <c r="B90" s="6" t="s">
        <v>27</v>
      </c>
      <c r="C90" s="53" t="s">
        <v>90</v>
      </c>
      <c r="D90" s="53" t="s">
        <v>66</v>
      </c>
      <c r="E90" s="106">
        <f t="shared" si="20"/>
        <v>5.0447311099999999</v>
      </c>
      <c r="F90" s="106">
        <v>3.28595477</v>
      </c>
      <c r="G90" s="106">
        <v>1.3988526800000001</v>
      </c>
      <c r="H90" s="106">
        <v>0.35992365999999998</v>
      </c>
      <c r="I90" s="116">
        <f t="shared" si="21"/>
        <v>4.0160642570281124E-2</v>
      </c>
      <c r="J90" s="117">
        <v>0.1</v>
      </c>
      <c r="K90" s="103">
        <f t="shared" si="17"/>
        <v>0.20259964297188754</v>
      </c>
      <c r="L90" s="120"/>
      <c r="M90"/>
      <c r="N90"/>
      <c r="O90"/>
      <c r="P90"/>
      <c r="Q90"/>
      <c r="R90"/>
      <c r="S90" s="59"/>
      <c r="T90"/>
      <c r="U90"/>
      <c r="V90"/>
    </row>
    <row r="91" spans="1:22" s="4" customFormat="1" ht="15.95">
      <c r="A91" s="48">
        <v>81</v>
      </c>
      <c r="B91" s="6" t="s">
        <v>27</v>
      </c>
      <c r="C91" s="53" t="s">
        <v>91</v>
      </c>
      <c r="D91" s="53" t="s">
        <v>46</v>
      </c>
      <c r="E91" s="106">
        <f t="shared" si="20"/>
        <v>4.7981276300000006</v>
      </c>
      <c r="F91" s="106">
        <v>3.28595477</v>
      </c>
      <c r="G91" s="106">
        <v>1.32956783</v>
      </c>
      <c r="H91" s="106">
        <v>0.18260503</v>
      </c>
      <c r="I91" s="116">
        <f t="shared" si="21"/>
        <v>0.12449799196787148</v>
      </c>
      <c r="J91" s="117">
        <v>0.31</v>
      </c>
      <c r="K91" s="103">
        <f t="shared" si="17"/>
        <v>0.59735725514056226</v>
      </c>
      <c r="L91" s="120"/>
      <c r="M91"/>
      <c r="N91"/>
      <c r="O91"/>
      <c r="P91"/>
      <c r="Q91"/>
      <c r="R91"/>
      <c r="S91" s="59"/>
      <c r="T91"/>
      <c r="U91"/>
      <c r="V91"/>
    </row>
    <row r="92" spans="1:22" ht="15.95">
      <c r="A92" s="48">
        <v>82</v>
      </c>
      <c r="B92" s="6" t="s">
        <v>27</v>
      </c>
      <c r="C92" s="53" t="s">
        <v>91</v>
      </c>
      <c r="D92" s="53" t="s">
        <v>52</v>
      </c>
      <c r="E92" s="106">
        <f t="shared" si="20"/>
        <v>4.8447730199999999</v>
      </c>
      <c r="F92" s="106">
        <v>3.28595477</v>
      </c>
      <c r="G92" s="106">
        <v>1.2968580700000001</v>
      </c>
      <c r="H92" s="106">
        <v>0.26196017999999999</v>
      </c>
      <c r="I92" s="116">
        <f t="shared" si="21"/>
        <v>0.10441767068273092</v>
      </c>
      <c r="J92" s="117">
        <v>0.26</v>
      </c>
      <c r="K92" s="103">
        <f t="shared" si="17"/>
        <v>0.50587991373493968</v>
      </c>
      <c r="L92" s="120"/>
    </row>
    <row r="93" spans="1:22" ht="15.95">
      <c r="A93" s="48">
        <v>83</v>
      </c>
      <c r="B93" s="6" t="s">
        <v>27</v>
      </c>
      <c r="C93" s="53" t="s">
        <v>91</v>
      </c>
      <c r="D93" s="53" t="s">
        <v>66</v>
      </c>
      <c r="E93" s="106">
        <f t="shared" si="20"/>
        <v>4.9222890599999998</v>
      </c>
      <c r="F93" s="106">
        <v>3.28595477</v>
      </c>
      <c r="G93" s="106">
        <v>1.3760216199999999</v>
      </c>
      <c r="H93" s="106">
        <v>0.26031267000000002</v>
      </c>
      <c r="I93" s="116">
        <f t="shared" si="21"/>
        <v>4.4176706827309231E-2</v>
      </c>
      <c r="J93" s="117">
        <v>0.11</v>
      </c>
      <c r="K93" s="103">
        <f t="shared" si="17"/>
        <v>0.21745052072289153</v>
      </c>
      <c r="L93" s="120"/>
    </row>
    <row r="94" spans="1:22" ht="15.95">
      <c r="A94" s="48">
        <v>84</v>
      </c>
      <c r="B94" s="6" t="s">
        <v>27</v>
      </c>
      <c r="C94" s="53" t="s">
        <v>92</v>
      </c>
      <c r="D94" s="53" t="s">
        <v>41</v>
      </c>
      <c r="E94" s="106">
        <f t="shared" si="20"/>
        <v>4.76347232</v>
      </c>
      <c r="F94" s="106">
        <v>4.6062284599999996</v>
      </c>
      <c r="G94" s="106">
        <v>6.4783439999999998E-2</v>
      </c>
      <c r="H94" s="106">
        <v>9.2460420000000001E-2</v>
      </c>
      <c r="I94" s="116">
        <f t="shared" si="21"/>
        <v>0.10843373493975904</v>
      </c>
      <c r="J94" s="117">
        <v>0.27</v>
      </c>
      <c r="K94" s="103">
        <f t="shared" si="17"/>
        <v>0.51652109493975906</v>
      </c>
      <c r="L94" s="120"/>
      <c r="O94" s="65"/>
    </row>
    <row r="95" spans="1:22" ht="15.95">
      <c r="A95" s="48">
        <v>85</v>
      </c>
      <c r="B95" s="6" t="s">
        <v>27</v>
      </c>
      <c r="C95" s="53" t="s">
        <v>92</v>
      </c>
      <c r="D95" s="53" t="s">
        <v>46</v>
      </c>
      <c r="E95" s="106">
        <f t="shared" si="20"/>
        <v>4.7386509700000001</v>
      </c>
      <c r="F95" s="106">
        <v>4.6062284599999996</v>
      </c>
      <c r="G95" s="106">
        <v>6.4783439999999998E-2</v>
      </c>
      <c r="H95" s="106">
        <v>6.7639069999999996E-2</v>
      </c>
      <c r="I95" s="116">
        <f t="shared" si="21"/>
        <v>4.0160642570281121E-3</v>
      </c>
      <c r="J95" s="117">
        <v>0.01</v>
      </c>
      <c r="K95" s="103">
        <f t="shared" si="17"/>
        <v>1.9030726787148594E-2</v>
      </c>
      <c r="L95" s="120"/>
    </row>
    <row r="96" spans="1:22" ht="15.95">
      <c r="A96" s="48">
        <v>86</v>
      </c>
      <c r="B96" s="6" t="s">
        <v>27</v>
      </c>
      <c r="C96" s="53" t="s">
        <v>92</v>
      </c>
      <c r="D96" s="53" t="s">
        <v>62</v>
      </c>
      <c r="E96" s="106">
        <f t="shared" si="20"/>
        <v>4.9005926200000003</v>
      </c>
      <c r="F96" s="106">
        <v>4.7717385700000001</v>
      </c>
      <c r="G96" s="106">
        <v>3.7696470000000003E-2</v>
      </c>
      <c r="H96" s="106">
        <v>9.1157580000000002E-2</v>
      </c>
      <c r="I96" s="116">
        <f t="shared" si="21"/>
        <v>8.0321285140562242E-3</v>
      </c>
      <c r="J96" s="117">
        <v>0.02</v>
      </c>
      <c r="K96" s="103">
        <f t="shared" si="17"/>
        <v>3.93621897188755E-2</v>
      </c>
      <c r="L96" s="120"/>
    </row>
    <row r="97" spans="1:12" ht="15.95">
      <c r="A97" s="48">
        <v>87</v>
      </c>
      <c r="B97" s="6" t="s">
        <v>27</v>
      </c>
      <c r="C97" s="53" t="s">
        <v>93</v>
      </c>
      <c r="D97" s="53" t="s">
        <v>41</v>
      </c>
      <c r="E97" s="106">
        <f t="shared" si="20"/>
        <v>4.9424914700000002</v>
      </c>
      <c r="F97" s="106">
        <v>4.6062284599999996</v>
      </c>
      <c r="G97" s="106">
        <v>0.24492955</v>
      </c>
      <c r="H97" s="106">
        <v>9.1333460000000005E-2</v>
      </c>
      <c r="I97" s="116">
        <f t="shared" si="21"/>
        <v>2.4096385542168672E-2</v>
      </c>
      <c r="J97" s="117">
        <v>0.06</v>
      </c>
      <c r="K97" s="103">
        <f t="shared" si="17"/>
        <v>0.11909618</v>
      </c>
      <c r="L97" s="120"/>
    </row>
    <row r="98" spans="1:12" ht="15.95">
      <c r="A98" s="48">
        <v>88</v>
      </c>
      <c r="B98" s="6" t="s">
        <v>27</v>
      </c>
      <c r="C98" s="53" t="s">
        <v>93</v>
      </c>
      <c r="D98" s="53" t="s">
        <v>46</v>
      </c>
      <c r="E98" s="106">
        <f t="shared" si="20"/>
        <v>4.9143997800000001</v>
      </c>
      <c r="F98" s="106">
        <v>4.6062284599999996</v>
      </c>
      <c r="G98" s="106">
        <v>0.24492955</v>
      </c>
      <c r="H98" s="106">
        <v>6.3241770000000003E-2</v>
      </c>
      <c r="I98" s="116">
        <f t="shared" si="21"/>
        <v>6.8273092369477914E-2</v>
      </c>
      <c r="J98" s="117">
        <v>0.17</v>
      </c>
      <c r="K98" s="103">
        <f t="shared" si="17"/>
        <v>0.33552127012048194</v>
      </c>
      <c r="L98" s="120"/>
    </row>
    <row r="99" spans="1:12" ht="15.95">
      <c r="A99" s="48">
        <v>89</v>
      </c>
      <c r="B99" s="6" t="s">
        <v>27</v>
      </c>
      <c r="C99" s="53" t="s">
        <v>93</v>
      </c>
      <c r="D99" s="53" t="s">
        <v>62</v>
      </c>
      <c r="E99" s="106">
        <f t="shared" si="20"/>
        <v>5.0733858400000003</v>
      </c>
      <c r="F99" s="106">
        <v>4.7717385700000001</v>
      </c>
      <c r="G99" s="106">
        <v>0.21048969000000001</v>
      </c>
      <c r="H99" s="106">
        <v>9.1157580000000002E-2</v>
      </c>
      <c r="I99" s="116">
        <f t="shared" si="21"/>
        <v>0.10441767068273092</v>
      </c>
      <c r="J99" s="117">
        <v>0.26</v>
      </c>
      <c r="K99" s="103">
        <f t="shared" si="17"/>
        <v>0.52975113188755019</v>
      </c>
      <c r="L99" s="120"/>
    </row>
    <row r="100" spans="1:12" ht="32.1">
      <c r="A100" s="134"/>
      <c r="B100" s="135" t="s">
        <v>155</v>
      </c>
      <c r="C100" s="134" t="s">
        <v>119</v>
      </c>
      <c r="D100" s="134" t="s">
        <v>50</v>
      </c>
      <c r="E100" s="134">
        <f>SUM(F100:H100)</f>
        <v>3.52</v>
      </c>
      <c r="F100" s="134">
        <v>1.9</v>
      </c>
      <c r="G100" s="134">
        <v>1.6</v>
      </c>
      <c r="H100" s="134">
        <v>0.02</v>
      </c>
      <c r="I100" s="136"/>
      <c r="J100" s="136"/>
      <c r="K100" s="140" t="s">
        <v>264</v>
      </c>
    </row>
    <row r="101" spans="1:12" ht="32.1">
      <c r="A101" s="134"/>
      <c r="B101" s="135" t="s">
        <v>156</v>
      </c>
      <c r="C101" s="134" t="s">
        <v>119</v>
      </c>
      <c r="D101" s="134" t="s">
        <v>50</v>
      </c>
      <c r="E101" s="134">
        <f>SUM(F101:H101)</f>
        <v>9.1199999999999992</v>
      </c>
      <c r="F101" s="134">
        <v>7.5</v>
      </c>
      <c r="G101" s="134">
        <v>1.6</v>
      </c>
      <c r="H101" s="134">
        <v>0.02</v>
      </c>
      <c r="I101" s="136"/>
      <c r="J101" s="136"/>
      <c r="K101" s="139" t="s">
        <v>265</v>
      </c>
    </row>
    <row r="102" spans="1:12" ht="15.95">
      <c r="A102" s="134"/>
      <c r="B102" s="135" t="s">
        <v>157</v>
      </c>
      <c r="C102" s="134" t="s">
        <v>119</v>
      </c>
      <c r="D102" s="134" t="s">
        <v>50</v>
      </c>
      <c r="E102" s="134">
        <f>SUM(F102:G102)</f>
        <v>1.6700000000000002</v>
      </c>
      <c r="F102" s="134">
        <v>7.0000000000000007E-2</v>
      </c>
      <c r="G102" s="134">
        <v>1.6</v>
      </c>
      <c r="H102" s="134">
        <v>3.0000000000000001E-3</v>
      </c>
      <c r="I102" s="136"/>
      <c r="J102" s="136"/>
      <c r="K102" s="139" t="s">
        <v>266</v>
      </c>
    </row>
    <row r="103" spans="1:12">
      <c r="K103" s="139" t="s">
        <v>267</v>
      </c>
    </row>
  </sheetData>
  <mergeCells count="1">
    <mergeCell ref="B5:D5"/>
  </mergeCell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65F83-1EB7-44AF-8564-C280B0DD3754}">
  <dimension ref="B1:K128"/>
  <sheetViews>
    <sheetView zoomScale="70" zoomScaleNormal="70" workbookViewId="0">
      <selection activeCell="D3" sqref="D3"/>
    </sheetView>
  </sheetViews>
  <sheetFormatPr defaultColWidth="8.7109375" defaultRowHeight="14.1"/>
  <cols>
    <col min="1" max="1" width="2.28515625" style="5" customWidth="1"/>
    <col min="2" max="2" width="28.85546875" style="5" customWidth="1"/>
    <col min="3" max="3" width="27.7109375" style="5" bestFit="1" customWidth="1"/>
    <col min="4" max="4" width="21" style="5" bestFit="1" customWidth="1"/>
    <col min="5" max="5" width="37.140625" style="5" bestFit="1" customWidth="1"/>
    <col min="6" max="6" width="30.7109375" style="5" customWidth="1"/>
    <col min="7" max="10" width="21.7109375" style="5" bestFit="1" customWidth="1"/>
    <col min="11" max="11" width="25.85546875" style="5" bestFit="1" customWidth="1"/>
    <col min="12" max="16384" width="8.7109375" style="5"/>
  </cols>
  <sheetData>
    <row r="1" spans="2:7">
      <c r="B1" s="22" t="s">
        <v>0</v>
      </c>
    </row>
    <row r="2" spans="2:7">
      <c r="B2" s="22"/>
      <c r="C2" s="21">
        <v>2018</v>
      </c>
      <c r="D2" s="21">
        <v>2030</v>
      </c>
    </row>
    <row r="3" spans="2:7" ht="30">
      <c r="B3" s="33" t="s">
        <v>1</v>
      </c>
      <c r="C3" s="50">
        <v>932.87271739941821</v>
      </c>
      <c r="D3" s="102">
        <f>SUM(F23:F35)</f>
        <v>932.87271739941821</v>
      </c>
    </row>
    <row r="4" spans="2:7" ht="15">
      <c r="B4" s="33" t="s">
        <v>2</v>
      </c>
      <c r="C4" s="35">
        <v>365</v>
      </c>
      <c r="D4" s="29">
        <f>SUM(D23:D35)</f>
        <v>365</v>
      </c>
      <c r="E4" s="32"/>
    </row>
    <row r="7" spans="2:7">
      <c r="B7" s="22" t="s">
        <v>3</v>
      </c>
      <c r="E7" s="31"/>
      <c r="F7" s="34"/>
      <c r="G7" s="28"/>
    </row>
    <row r="8" spans="2:7">
      <c r="B8" s="22"/>
      <c r="E8" s="31"/>
      <c r="F8" s="34"/>
      <c r="G8" s="28"/>
    </row>
    <row r="9" spans="2:7">
      <c r="B9" s="16" t="s">
        <v>4</v>
      </c>
      <c r="C9" s="17">
        <v>2018</v>
      </c>
      <c r="D9" s="17" t="s">
        <v>5</v>
      </c>
      <c r="E9" s="31"/>
      <c r="F9" s="34"/>
      <c r="G9" s="28"/>
    </row>
    <row r="10" spans="2:7">
      <c r="B10" s="23" t="s">
        <v>6</v>
      </c>
      <c r="C10" s="30">
        <f>C23+C24+C25+C26+C27+C28+C29+C30</f>
        <v>0.29041095890410956</v>
      </c>
      <c r="D10" s="15">
        <v>0.25</v>
      </c>
      <c r="E10" s="31"/>
      <c r="F10" s="34"/>
      <c r="G10" s="28"/>
    </row>
    <row r="11" spans="2:7">
      <c r="B11" s="23" t="s">
        <v>7</v>
      </c>
      <c r="C11" s="30">
        <f>C34+C35</f>
        <v>0.24931506849315069</v>
      </c>
      <c r="D11" s="15">
        <v>0.25</v>
      </c>
      <c r="E11" s="31"/>
      <c r="F11" s="34"/>
      <c r="G11" s="28"/>
    </row>
    <row r="12" spans="2:7">
      <c r="B12" s="23" t="s">
        <v>8</v>
      </c>
      <c r="C12" s="30">
        <f>C31+C32+C33</f>
        <v>0.46027397260273972</v>
      </c>
      <c r="D12" s="15">
        <v>0.5</v>
      </c>
      <c r="E12" s="31"/>
      <c r="F12" s="34"/>
      <c r="G12" s="28"/>
    </row>
    <row r="13" spans="2:7">
      <c r="E13" s="31"/>
      <c r="F13" s="34"/>
      <c r="G13" s="28"/>
    </row>
    <row r="14" spans="2:7">
      <c r="B14" s="16" t="s">
        <v>132</v>
      </c>
      <c r="C14" s="17">
        <v>2018</v>
      </c>
      <c r="D14" s="17" t="s">
        <v>10</v>
      </c>
      <c r="E14" s="31"/>
      <c r="F14" s="34"/>
      <c r="G14" s="28"/>
    </row>
    <row r="15" spans="2:7">
      <c r="B15" s="18" t="s">
        <v>133</v>
      </c>
      <c r="C15" s="87">
        <f>((F61*D28)+(F77*D33)+(F94*D32)+(F96*D32)+(F99*D32)+(F100*D32)+(F101*D32)+(F102*D32)+(F110*D29)+(F111*D29)+(F116*D30))/D4</f>
        <v>6.0817380412513819E-2</v>
      </c>
      <c r="D15" s="19">
        <v>0.3</v>
      </c>
      <c r="E15" s="31"/>
      <c r="F15" s="34"/>
      <c r="G15" s="86"/>
    </row>
    <row r="16" spans="2:7">
      <c r="B16" s="18" t="s">
        <v>134</v>
      </c>
      <c r="C16" s="87">
        <f>((F40+F41+F42)*D26 + (F43+F44)*D27 +(F45+F46)*D24 + (F47+F48+F49+F50+F51+F52+F53)*D25 + (F54+F55+F56+F57+F58+F59)*D23 + (F60*D28) + (F62+F63+F64+F65+F66+F67+F68+F69+F70)*D31 + (F71+F72+F73+F74+F75+F76+F78+F79+F80+F81+F82+F83+F84+F85+F86)*D33 + (F87+F88)*D35 + (F89+F90+F91)*D34 + (F92+F93+F95+F97+F98)*D32 + (F103+F104+F105+F106+F107+F108+F109)*D29 + (F112+F113+F114+F115+F117+F118+F119+F120+F121+F122+F123+F124+F125+F126+F127+F128)*D30)/365</f>
        <v>0.93918261958748617</v>
      </c>
      <c r="D16" s="19">
        <v>0.7</v>
      </c>
      <c r="E16" s="31"/>
      <c r="F16" s="34"/>
      <c r="G16" s="28"/>
    </row>
    <row r="17" spans="2:10">
      <c r="B17" s="22"/>
      <c r="E17" s="31"/>
      <c r="F17" s="34"/>
      <c r="G17" s="28"/>
    </row>
    <row r="18" spans="2:10">
      <c r="B18" s="36"/>
      <c r="C18" s="37"/>
      <c r="G18" s="38"/>
    </row>
    <row r="19" spans="2:10">
      <c r="B19" s="22" t="s">
        <v>13</v>
      </c>
      <c r="C19" s="37"/>
      <c r="G19" s="38"/>
      <c r="H19" s="22" t="s">
        <v>131</v>
      </c>
    </row>
    <row r="20" spans="2:10">
      <c r="B20" s="36"/>
      <c r="C20" s="37"/>
      <c r="G20" s="38"/>
    </row>
    <row r="21" spans="2:10">
      <c r="B21" s="39" t="s">
        <v>14</v>
      </c>
      <c r="H21" s="39" t="s">
        <v>14</v>
      </c>
    </row>
    <row r="22" spans="2:10" ht="30">
      <c r="B22" s="21" t="s">
        <v>15</v>
      </c>
      <c r="C22" s="26" t="s">
        <v>16</v>
      </c>
      <c r="D22" s="26" t="s">
        <v>17</v>
      </c>
      <c r="E22" s="26" t="s">
        <v>18</v>
      </c>
      <c r="F22" s="26" t="s">
        <v>19</v>
      </c>
      <c r="H22" s="21" t="s">
        <v>15</v>
      </c>
      <c r="I22" s="26" t="s">
        <v>143</v>
      </c>
      <c r="J22" s="26" t="s">
        <v>144</v>
      </c>
    </row>
    <row r="23" spans="2:10" ht="15">
      <c r="B23" s="20" t="s">
        <v>20</v>
      </c>
      <c r="C23" s="27">
        <v>8.21917808219178E-3</v>
      </c>
      <c r="D23" s="24">
        <f t="shared" ref="D23:D35" si="0">C23*$C$4</f>
        <v>2.9999999999999996</v>
      </c>
      <c r="E23" s="49">
        <f>SUM(K54:K59)</f>
        <v>24.291314857142858</v>
      </c>
      <c r="F23" s="49">
        <f>D23*E23</f>
        <v>72.873944571428567</v>
      </c>
      <c r="H23" s="20" t="s">
        <v>20</v>
      </c>
      <c r="I23" s="27">
        <v>6.5753424657534242E-3</v>
      </c>
      <c r="J23" s="97">
        <f>SUM(F54:F59)</f>
        <v>1</v>
      </c>
    </row>
    <row r="24" spans="2:10" ht="15">
      <c r="B24" s="20" t="s">
        <v>21</v>
      </c>
      <c r="C24" s="27">
        <v>5.4794520547945206E-3</v>
      </c>
      <c r="D24" s="24">
        <f t="shared" si="0"/>
        <v>2</v>
      </c>
      <c r="E24" s="49">
        <f>SUM(K45:K46)</f>
        <v>16.406103899999998</v>
      </c>
      <c r="F24" s="49">
        <f t="shared" ref="F24:F35" si="1">D24*E24</f>
        <v>32.812207799999996</v>
      </c>
      <c r="H24" s="20" t="s">
        <v>21</v>
      </c>
      <c r="I24" s="27">
        <v>4.3835616438356196E-3</v>
      </c>
      <c r="J24" s="97">
        <f>SUM(F45:F46)</f>
        <v>1</v>
      </c>
    </row>
    <row r="25" spans="2:10" ht="15">
      <c r="B25" s="20" t="s">
        <v>22</v>
      </c>
      <c r="C25" s="27">
        <v>6.0273972602739728E-2</v>
      </c>
      <c r="D25" s="24">
        <f t="shared" si="0"/>
        <v>22</v>
      </c>
      <c r="E25" s="49">
        <f>SUM(K47:K53)</f>
        <v>11.945393876296295</v>
      </c>
      <c r="F25" s="49">
        <f t="shared" si="1"/>
        <v>262.79866527851851</v>
      </c>
      <c r="H25" s="20" t="s">
        <v>22</v>
      </c>
      <c r="I25" s="27">
        <v>4.8219178082191783E-2</v>
      </c>
      <c r="J25" s="97">
        <f>SUM(F47:F53)</f>
        <v>0.99999999999999989</v>
      </c>
    </row>
    <row r="26" spans="2:10" ht="15">
      <c r="B26" s="20" t="s">
        <v>23</v>
      </c>
      <c r="C26" s="27">
        <v>9.3150684931506855E-2</v>
      </c>
      <c r="D26" s="24">
        <f t="shared" si="0"/>
        <v>34</v>
      </c>
      <c r="E26" s="49">
        <f>SUM(K40:K42)</f>
        <v>3.5247584216867471</v>
      </c>
      <c r="F26" s="49">
        <f t="shared" si="1"/>
        <v>119.8417863373494</v>
      </c>
      <c r="H26" s="20" t="s">
        <v>23</v>
      </c>
      <c r="I26" s="27">
        <v>7.452054794520549E-2</v>
      </c>
      <c r="J26" s="97">
        <f>SUM(F40:F42)</f>
        <v>1</v>
      </c>
    </row>
    <row r="27" spans="2:10" ht="15">
      <c r="B27" s="20" t="s">
        <v>24</v>
      </c>
      <c r="C27" s="27">
        <v>5.4794520547945206E-3</v>
      </c>
      <c r="D27" s="24">
        <f t="shared" si="0"/>
        <v>2</v>
      </c>
      <c r="E27" s="49">
        <f>SUM(K43:K44)</f>
        <v>4.2112411489361712</v>
      </c>
      <c r="F27" s="49">
        <f t="shared" si="1"/>
        <v>8.4224822978723424</v>
      </c>
      <c r="H27" s="20" t="s">
        <v>24</v>
      </c>
      <c r="I27" s="27">
        <v>4.383561643835617E-3</v>
      </c>
      <c r="J27" s="97">
        <f>SUM(F43:F44)</f>
        <v>1</v>
      </c>
    </row>
    <row r="28" spans="2:10" ht="15">
      <c r="B28" s="20" t="s">
        <v>25</v>
      </c>
      <c r="C28" s="27">
        <v>6.0273972602739728E-2</v>
      </c>
      <c r="D28" s="24">
        <f t="shared" si="0"/>
        <v>22</v>
      </c>
      <c r="E28" s="49">
        <f>SUM(K60:K61)</f>
        <v>3.0794528699999999</v>
      </c>
      <c r="F28" s="49">
        <f t="shared" si="1"/>
        <v>67.747963139999996</v>
      </c>
      <c r="H28" s="20" t="s">
        <v>25</v>
      </c>
      <c r="I28" s="27">
        <v>4.8219178082191783E-2</v>
      </c>
      <c r="J28" s="97">
        <f>SUM(F60:F61)</f>
        <v>1</v>
      </c>
    </row>
    <row r="29" spans="2:10" ht="15">
      <c r="B29" s="20" t="s">
        <v>26</v>
      </c>
      <c r="C29" s="27">
        <v>4.1095890410958902E-2</v>
      </c>
      <c r="D29" s="24">
        <f t="shared" si="0"/>
        <v>15</v>
      </c>
      <c r="E29" s="49">
        <f>SUM(K103:K111)</f>
        <v>6.1723669333333318</v>
      </c>
      <c r="F29" s="49">
        <f t="shared" si="1"/>
        <v>92.585503999999972</v>
      </c>
      <c r="H29" s="20" t="s">
        <v>26</v>
      </c>
      <c r="I29" s="27">
        <v>3.287671232876712E-2</v>
      </c>
      <c r="J29" s="97">
        <f>SUM(F103:F111)</f>
        <v>1</v>
      </c>
    </row>
    <row r="30" spans="2:10" ht="15">
      <c r="B30" s="20" t="s">
        <v>27</v>
      </c>
      <c r="C30" s="27">
        <v>1.643835616438356E-2</v>
      </c>
      <c r="D30" s="24">
        <f t="shared" si="0"/>
        <v>5.9999999999999991</v>
      </c>
      <c r="E30" s="49">
        <f>SUM(K112:K128)</f>
        <v>5.3627784367469866</v>
      </c>
      <c r="F30" s="49">
        <f t="shared" si="1"/>
        <v>32.176670620481914</v>
      </c>
      <c r="H30" s="20" t="s">
        <v>27</v>
      </c>
      <c r="I30" s="27">
        <v>1.3150684931506848E-2</v>
      </c>
      <c r="J30" s="97">
        <f>SUM(F112:F128)</f>
        <v>0.99999999999999989</v>
      </c>
    </row>
    <row r="31" spans="2:10" ht="15">
      <c r="B31" s="20" t="s">
        <v>28</v>
      </c>
      <c r="C31" s="27">
        <v>0.19726027397260273</v>
      </c>
      <c r="D31" s="24">
        <f t="shared" si="0"/>
        <v>72</v>
      </c>
      <c r="E31" s="49">
        <f>SUM(K62:K70)</f>
        <v>0.4049254074889867</v>
      </c>
      <c r="F31" s="49">
        <f t="shared" si="1"/>
        <v>29.154629339207041</v>
      </c>
      <c r="H31" s="20" t="s">
        <v>28</v>
      </c>
      <c r="I31" s="27">
        <v>0.15780821917808219</v>
      </c>
      <c r="J31" s="97">
        <f>SUM(F62:F70)</f>
        <v>1</v>
      </c>
    </row>
    <row r="32" spans="2:10" ht="15">
      <c r="B32" s="20" t="s">
        <v>29</v>
      </c>
      <c r="C32" s="27">
        <v>4.3835616438356165E-2</v>
      </c>
      <c r="D32" s="24">
        <f t="shared" si="0"/>
        <v>16</v>
      </c>
      <c r="E32" s="49">
        <f>SUM(K92:K102)</f>
        <v>0.38525102516309423</v>
      </c>
      <c r="F32" s="49">
        <f t="shared" si="1"/>
        <v>6.1640164026095077</v>
      </c>
      <c r="H32" s="20" t="s">
        <v>29</v>
      </c>
      <c r="I32" s="27">
        <v>3.5068493150684936E-2</v>
      </c>
      <c r="J32" s="97">
        <f>SUM(F92:F102)</f>
        <v>1.0000000000000002</v>
      </c>
    </row>
    <row r="33" spans="2:11" ht="15">
      <c r="B33" s="20" t="s">
        <v>30</v>
      </c>
      <c r="C33" s="27">
        <v>0.21917808219178081</v>
      </c>
      <c r="D33" s="24">
        <f t="shared" si="0"/>
        <v>80</v>
      </c>
      <c r="E33" s="49">
        <f>SUM(K71:K86)</f>
        <v>0.74071681132075473</v>
      </c>
      <c r="F33" s="49">
        <f t="shared" si="1"/>
        <v>59.257344905660375</v>
      </c>
      <c r="H33" s="20" t="s">
        <v>30</v>
      </c>
      <c r="I33" s="27">
        <v>0.17534246575342466</v>
      </c>
      <c r="J33" s="97">
        <f>SUM(F71:F86)</f>
        <v>0.99999999999999989</v>
      </c>
    </row>
    <row r="34" spans="2:11" ht="15">
      <c r="B34" s="20" t="s">
        <v>31</v>
      </c>
      <c r="C34" s="27">
        <v>0.12328767123287671</v>
      </c>
      <c r="D34" s="24">
        <f t="shared" si="0"/>
        <v>45</v>
      </c>
      <c r="E34" s="49">
        <f>SUM(K89:K91)</f>
        <v>2.5732208043478266</v>
      </c>
      <c r="F34" s="49">
        <f t="shared" si="1"/>
        <v>115.7949361956522</v>
      </c>
      <c r="H34" s="20" t="s">
        <v>31</v>
      </c>
      <c r="I34" s="27">
        <v>9.8630136986301367E-2</v>
      </c>
      <c r="J34" s="97">
        <f>SUM(F89:F91)</f>
        <v>1</v>
      </c>
    </row>
    <row r="35" spans="2:11" ht="15">
      <c r="B35" s="20" t="s">
        <v>32</v>
      </c>
      <c r="C35" s="27">
        <v>0.12602739726027398</v>
      </c>
      <c r="D35" s="24">
        <f t="shared" si="0"/>
        <v>46</v>
      </c>
      <c r="E35" s="49">
        <f>SUM(K87:K88)</f>
        <v>0.72266448936170213</v>
      </c>
      <c r="F35" s="49">
        <f t="shared" si="1"/>
        <v>33.242566510638298</v>
      </c>
      <c r="H35" s="20" t="s">
        <v>32</v>
      </c>
      <c r="I35" s="27">
        <v>0.1008219178082192</v>
      </c>
      <c r="J35" s="97">
        <f>SUM(F87:F88)</f>
        <v>1</v>
      </c>
    </row>
    <row r="36" spans="2:11" s="14" customFormat="1"/>
    <row r="37" spans="2:11">
      <c r="C37" s="77"/>
      <c r="D37" s="25"/>
    </row>
    <row r="38" spans="2:11">
      <c r="B38" s="22" t="s">
        <v>147</v>
      </c>
      <c r="G38" s="25"/>
    </row>
    <row r="39" spans="2:11" ht="30">
      <c r="B39" s="68" t="s">
        <v>33</v>
      </c>
      <c r="C39" s="68" t="s">
        <v>15</v>
      </c>
      <c r="D39" s="68" t="s">
        <v>34</v>
      </c>
      <c r="E39" s="68" t="s">
        <v>35</v>
      </c>
      <c r="F39" s="67" t="s">
        <v>148</v>
      </c>
      <c r="G39" s="67" t="s">
        <v>149</v>
      </c>
      <c r="H39" s="67" t="s">
        <v>150</v>
      </c>
      <c r="I39" s="67" t="s">
        <v>151</v>
      </c>
      <c r="J39" s="67" t="s">
        <v>152</v>
      </c>
      <c r="K39" s="67" t="s">
        <v>153</v>
      </c>
    </row>
    <row r="40" spans="2:11" ht="15">
      <c r="B40" s="70">
        <v>1</v>
      </c>
      <c r="C40" s="69" t="s">
        <v>23</v>
      </c>
      <c r="D40" s="70" t="s">
        <v>40</v>
      </c>
      <c r="E40" s="69" t="s">
        <v>41</v>
      </c>
      <c r="F40" s="71">
        <v>0.4337349397590361</v>
      </c>
      <c r="G40" s="88">
        <v>2.995031</v>
      </c>
      <c r="H40" s="88">
        <v>0.38144</v>
      </c>
      <c r="I40" s="88">
        <v>3.8969999999999999E-3</v>
      </c>
      <c r="J40" s="88">
        <f>SUM(G40:I40)</f>
        <v>3.3803679999999998</v>
      </c>
      <c r="K40" s="93">
        <f>F40*J40</f>
        <v>1.4661837108433733</v>
      </c>
    </row>
    <row r="41" spans="2:11" ht="15">
      <c r="B41" s="70">
        <v>2</v>
      </c>
      <c r="C41" s="69" t="s">
        <v>23</v>
      </c>
      <c r="D41" s="70" t="s">
        <v>42</v>
      </c>
      <c r="E41" s="70" t="s">
        <v>41</v>
      </c>
      <c r="F41" s="72">
        <v>1.2048192771084336E-2</v>
      </c>
      <c r="G41" s="88">
        <v>2.9989279999999998</v>
      </c>
      <c r="H41" s="88">
        <v>0.76137900000000003</v>
      </c>
      <c r="I41" s="88">
        <v>2.7139999999999998E-3</v>
      </c>
      <c r="J41" s="88">
        <f t="shared" ref="J41:J104" si="2">SUM(G41:I41)</f>
        <v>3.7630210000000002</v>
      </c>
      <c r="K41" s="93">
        <f t="shared" ref="K41:K104" si="3">F41*J41</f>
        <v>4.533760240963855E-2</v>
      </c>
    </row>
    <row r="42" spans="2:11" ht="15">
      <c r="B42" s="70">
        <v>3</v>
      </c>
      <c r="C42" s="69" t="s">
        <v>23</v>
      </c>
      <c r="D42" s="70" t="s">
        <v>42</v>
      </c>
      <c r="E42" s="70" t="s">
        <v>43</v>
      </c>
      <c r="F42" s="72">
        <v>0.55421686746987953</v>
      </c>
      <c r="G42" s="88">
        <v>2.5277020000000001</v>
      </c>
      <c r="H42" s="88">
        <v>0.68049199999999999</v>
      </c>
      <c r="I42" s="88">
        <v>0.42438599999999999</v>
      </c>
      <c r="J42" s="88">
        <f t="shared" si="2"/>
        <v>3.6325800000000004</v>
      </c>
      <c r="K42" s="93">
        <f t="shared" si="3"/>
        <v>2.013237108433735</v>
      </c>
    </row>
    <row r="43" spans="2:11" ht="15">
      <c r="B43" s="74">
        <v>4</v>
      </c>
      <c r="C43" s="73" t="s">
        <v>24</v>
      </c>
      <c r="D43" s="74" t="s">
        <v>40</v>
      </c>
      <c r="E43" s="73" t="s">
        <v>41</v>
      </c>
      <c r="F43" s="75">
        <v>0.36170212765957449</v>
      </c>
      <c r="G43" s="89">
        <v>3.812459</v>
      </c>
      <c r="H43" s="89">
        <v>0.32567699999999999</v>
      </c>
      <c r="I43" s="89">
        <v>4.0559999999999997E-3</v>
      </c>
      <c r="J43" s="89">
        <f t="shared" si="2"/>
        <v>4.1421920000000005</v>
      </c>
      <c r="K43" s="94">
        <f t="shared" si="3"/>
        <v>1.4982396595744685</v>
      </c>
    </row>
    <row r="44" spans="2:11" ht="15">
      <c r="B44" s="74">
        <v>5</v>
      </c>
      <c r="C44" s="73" t="s">
        <v>24</v>
      </c>
      <c r="D44" s="74" t="s">
        <v>42</v>
      </c>
      <c r="E44" s="73" t="s">
        <v>41</v>
      </c>
      <c r="F44" s="75">
        <v>0.63829787234042556</v>
      </c>
      <c r="G44" s="89">
        <v>3.812459</v>
      </c>
      <c r="H44" s="89">
        <v>0.43385400000000002</v>
      </c>
      <c r="I44" s="89">
        <v>4.0559999999999997E-3</v>
      </c>
      <c r="J44" s="89">
        <f t="shared" si="2"/>
        <v>4.2503690000000001</v>
      </c>
      <c r="K44" s="94">
        <f t="shared" si="3"/>
        <v>2.7130014893617025</v>
      </c>
    </row>
    <row r="45" spans="2:11" ht="15">
      <c r="B45" s="70">
        <v>6</v>
      </c>
      <c r="C45" s="69" t="s">
        <v>21</v>
      </c>
      <c r="D45" s="70" t="s">
        <v>44</v>
      </c>
      <c r="E45" s="70" t="s">
        <v>45</v>
      </c>
      <c r="F45" s="72">
        <v>0.3</v>
      </c>
      <c r="G45" s="88">
        <v>13.19894</v>
      </c>
      <c r="H45" s="88">
        <v>0.90092099999999997</v>
      </c>
      <c r="I45" s="88">
        <v>7.1202430000000003</v>
      </c>
      <c r="J45" s="88">
        <f t="shared" si="2"/>
        <v>21.220103999999999</v>
      </c>
      <c r="K45" s="93">
        <f t="shared" si="3"/>
        <v>6.3660311999999992</v>
      </c>
    </row>
    <row r="46" spans="2:11" ht="15">
      <c r="B46" s="70">
        <v>7</v>
      </c>
      <c r="C46" s="69" t="s">
        <v>21</v>
      </c>
      <c r="D46" s="70" t="s">
        <v>42</v>
      </c>
      <c r="E46" s="70" t="s">
        <v>45</v>
      </c>
      <c r="F46" s="72">
        <v>0.7</v>
      </c>
      <c r="G46" s="88">
        <v>13.19894</v>
      </c>
      <c r="H46" s="88">
        <v>0.96768900000000002</v>
      </c>
      <c r="I46" s="88">
        <v>0.17633199999999999</v>
      </c>
      <c r="J46" s="88">
        <f t="shared" si="2"/>
        <v>14.342961000000001</v>
      </c>
      <c r="K46" s="93">
        <f t="shared" si="3"/>
        <v>10.0400727</v>
      </c>
    </row>
    <row r="47" spans="2:11" ht="15">
      <c r="B47" s="74">
        <v>8</v>
      </c>
      <c r="C47" s="73" t="s">
        <v>22</v>
      </c>
      <c r="D47" s="74" t="s">
        <v>40</v>
      </c>
      <c r="E47" s="73" t="s">
        <v>46</v>
      </c>
      <c r="F47" s="75">
        <v>0.20987654320987653</v>
      </c>
      <c r="G47" s="89">
        <v>7.22039819</v>
      </c>
      <c r="H47" s="89">
        <v>1.7484542000000001</v>
      </c>
      <c r="I47" s="89">
        <v>4.0494910000000002E-2</v>
      </c>
      <c r="J47" s="89">
        <f t="shared" si="2"/>
        <v>9.0093472999999999</v>
      </c>
      <c r="K47" s="94">
        <f t="shared" si="3"/>
        <v>1.8908506679012345</v>
      </c>
    </row>
    <row r="48" spans="2:11" ht="15">
      <c r="B48" s="74">
        <v>9</v>
      </c>
      <c r="C48" s="73" t="s">
        <v>22</v>
      </c>
      <c r="D48" s="74" t="s">
        <v>44</v>
      </c>
      <c r="E48" s="74" t="s">
        <v>43</v>
      </c>
      <c r="F48" s="76">
        <v>0.12345679012345678</v>
      </c>
      <c r="G48" s="89">
        <v>7.2956225999999997</v>
      </c>
      <c r="H48" s="89">
        <v>0.81951735000000003</v>
      </c>
      <c r="I48" s="89">
        <v>18.8588928</v>
      </c>
      <c r="J48" s="89">
        <f t="shared" si="2"/>
        <v>26.974032749999999</v>
      </c>
      <c r="K48" s="94">
        <f t="shared" si="3"/>
        <v>3.3301274999999997</v>
      </c>
    </row>
    <row r="49" spans="2:11" ht="15">
      <c r="B49" s="74">
        <v>10</v>
      </c>
      <c r="C49" s="73" t="s">
        <v>22</v>
      </c>
      <c r="D49" s="74" t="s">
        <v>44</v>
      </c>
      <c r="E49" s="74" t="s">
        <v>45</v>
      </c>
      <c r="F49" s="76">
        <v>4.9382716049382713E-2</v>
      </c>
      <c r="G49" s="89">
        <v>7.1395445799999999</v>
      </c>
      <c r="H49" s="89">
        <v>4.0700936900000002</v>
      </c>
      <c r="I49" s="89">
        <v>7.1202434300000004</v>
      </c>
      <c r="J49" s="89">
        <f t="shared" si="2"/>
        <v>18.329881700000001</v>
      </c>
      <c r="K49" s="94">
        <f t="shared" si="3"/>
        <v>0.90517934320987659</v>
      </c>
    </row>
    <row r="50" spans="2:11" ht="15">
      <c r="B50" s="74">
        <v>11</v>
      </c>
      <c r="C50" s="73" t="s">
        <v>22</v>
      </c>
      <c r="D50" s="74" t="s">
        <v>42</v>
      </c>
      <c r="E50" s="74" t="s">
        <v>43</v>
      </c>
      <c r="F50" s="76">
        <v>0.29629629629629628</v>
      </c>
      <c r="G50" s="89">
        <v>7.2956225999999997</v>
      </c>
      <c r="H50" s="89">
        <v>0.84836555000000002</v>
      </c>
      <c r="I50" s="89">
        <v>0.42201559999999999</v>
      </c>
      <c r="J50" s="89">
        <f t="shared" si="2"/>
        <v>8.5660037500000001</v>
      </c>
      <c r="K50" s="94">
        <f t="shared" si="3"/>
        <v>2.538075185185185</v>
      </c>
    </row>
    <row r="51" spans="2:11" ht="15">
      <c r="B51" s="74">
        <v>12</v>
      </c>
      <c r="C51" s="73" t="s">
        <v>22</v>
      </c>
      <c r="D51" s="74" t="s">
        <v>42</v>
      </c>
      <c r="E51" s="74" t="s">
        <v>45</v>
      </c>
      <c r="F51" s="76">
        <v>9.8765432098765427E-2</v>
      </c>
      <c r="G51" s="89">
        <v>7.1395445799999999</v>
      </c>
      <c r="H51" s="89">
        <v>4.1668280099999997</v>
      </c>
      <c r="I51" s="89">
        <v>0.17633204</v>
      </c>
      <c r="J51" s="89">
        <f t="shared" si="2"/>
        <v>11.482704629999999</v>
      </c>
      <c r="K51" s="94">
        <f t="shared" si="3"/>
        <v>1.1340942844444444</v>
      </c>
    </row>
    <row r="52" spans="2:11" ht="15">
      <c r="B52" s="74">
        <v>13</v>
      </c>
      <c r="C52" s="73" t="s">
        <v>22</v>
      </c>
      <c r="D52" s="74" t="s">
        <v>42</v>
      </c>
      <c r="E52" s="74" t="s">
        <v>47</v>
      </c>
      <c r="F52" s="76">
        <v>0.14814814814814814</v>
      </c>
      <c r="G52" s="89">
        <v>7.0857764300000001</v>
      </c>
      <c r="H52" s="89">
        <v>2.3632220799999999</v>
      </c>
      <c r="I52" s="89">
        <v>0.36202464000000001</v>
      </c>
      <c r="J52" s="89">
        <f t="shared" si="2"/>
        <v>9.8110231499999987</v>
      </c>
      <c r="K52" s="94">
        <f t="shared" si="3"/>
        <v>1.4534849111111108</v>
      </c>
    </row>
    <row r="53" spans="2:11" ht="15">
      <c r="B53" s="74">
        <v>14</v>
      </c>
      <c r="C53" s="73" t="s">
        <v>22</v>
      </c>
      <c r="D53" s="74" t="s">
        <v>42</v>
      </c>
      <c r="E53" s="74" t="s">
        <v>48</v>
      </c>
      <c r="F53" s="76">
        <v>7.407407407407407E-2</v>
      </c>
      <c r="G53" s="89">
        <v>7.2956225999999997</v>
      </c>
      <c r="H53" s="89">
        <v>1.77765705</v>
      </c>
      <c r="I53" s="89">
        <v>0.29007714000000001</v>
      </c>
      <c r="J53" s="89">
        <f t="shared" si="2"/>
        <v>9.3633567899999992</v>
      </c>
      <c r="K53" s="94">
        <f t="shared" si="3"/>
        <v>0.6935819844444443</v>
      </c>
    </row>
    <row r="54" spans="2:11" ht="15">
      <c r="B54" s="70">
        <v>15</v>
      </c>
      <c r="C54" s="69" t="s">
        <v>20</v>
      </c>
      <c r="D54" s="70" t="s">
        <v>44</v>
      </c>
      <c r="E54" s="70" t="s">
        <v>43</v>
      </c>
      <c r="F54" s="72">
        <v>0.17582417582417581</v>
      </c>
      <c r="G54" s="88">
        <v>18.833870000000001</v>
      </c>
      <c r="H54" s="88">
        <v>0.69446600000000003</v>
      </c>
      <c r="I54" s="88">
        <v>18.858889999999999</v>
      </c>
      <c r="J54" s="88">
        <f t="shared" si="2"/>
        <v>38.387225999999998</v>
      </c>
      <c r="K54" s="93">
        <f t="shared" si="3"/>
        <v>6.7494023736263724</v>
      </c>
    </row>
    <row r="55" spans="2:11" ht="15">
      <c r="B55" s="70">
        <v>16</v>
      </c>
      <c r="C55" s="69" t="s">
        <v>20</v>
      </c>
      <c r="D55" s="70" t="s">
        <v>44</v>
      </c>
      <c r="E55" s="70" t="s">
        <v>45</v>
      </c>
      <c r="F55" s="72">
        <v>8.7912087912087905E-2</v>
      </c>
      <c r="G55" s="88">
        <v>18.857240000000001</v>
      </c>
      <c r="H55" s="88">
        <v>1.5193319999999999</v>
      </c>
      <c r="I55" s="88">
        <v>7.1202430000000003</v>
      </c>
      <c r="J55" s="88">
        <f t="shared" si="2"/>
        <v>27.496814999999998</v>
      </c>
      <c r="K55" s="93">
        <f t="shared" si="3"/>
        <v>2.4173024175824174</v>
      </c>
    </row>
    <row r="56" spans="2:11" ht="15">
      <c r="B56" s="70">
        <v>17</v>
      </c>
      <c r="C56" s="69" t="s">
        <v>20</v>
      </c>
      <c r="D56" s="70" t="s">
        <v>44</v>
      </c>
      <c r="E56" s="70" t="s">
        <v>49</v>
      </c>
      <c r="F56" s="72">
        <v>3.2967032967032968E-2</v>
      </c>
      <c r="G56" s="88">
        <v>18.760680000000001</v>
      </c>
      <c r="H56" s="88">
        <v>0.63292700000000002</v>
      </c>
      <c r="I56" s="88">
        <v>9.8971769999999992</v>
      </c>
      <c r="J56" s="88">
        <f t="shared" si="2"/>
        <v>29.290783999999999</v>
      </c>
      <c r="K56" s="93">
        <f t="shared" si="3"/>
        <v>0.96563024175824175</v>
      </c>
    </row>
    <row r="57" spans="2:11" ht="15">
      <c r="B57" s="70">
        <v>18</v>
      </c>
      <c r="C57" s="69" t="s">
        <v>20</v>
      </c>
      <c r="D57" s="70" t="s">
        <v>42</v>
      </c>
      <c r="E57" s="70" t="s">
        <v>43</v>
      </c>
      <c r="F57" s="72">
        <v>0.39560439560439559</v>
      </c>
      <c r="G57" s="88">
        <v>18.833870000000001</v>
      </c>
      <c r="H57" s="88">
        <v>0.714009</v>
      </c>
      <c r="I57" s="88">
        <v>0.422016</v>
      </c>
      <c r="J57" s="88">
        <f t="shared" si="2"/>
        <v>19.969895000000001</v>
      </c>
      <c r="K57" s="93">
        <f t="shared" si="3"/>
        <v>7.9001782417582422</v>
      </c>
    </row>
    <row r="58" spans="2:11" ht="15">
      <c r="B58" s="70">
        <v>19</v>
      </c>
      <c r="C58" s="69" t="s">
        <v>20</v>
      </c>
      <c r="D58" s="70" t="s">
        <v>42</v>
      </c>
      <c r="E58" s="70" t="s">
        <v>45</v>
      </c>
      <c r="F58" s="72">
        <v>0.21978021978021978</v>
      </c>
      <c r="G58" s="88">
        <v>18.857240000000001</v>
      </c>
      <c r="H58" s="88">
        <v>1.5861000000000001</v>
      </c>
      <c r="I58" s="88">
        <v>0.17633199999999999</v>
      </c>
      <c r="J58" s="88">
        <f t="shared" si="2"/>
        <v>20.619671999999998</v>
      </c>
      <c r="K58" s="93">
        <f t="shared" si="3"/>
        <v>4.5317960439560432</v>
      </c>
    </row>
    <row r="59" spans="2:11" ht="15">
      <c r="B59" s="70">
        <v>20</v>
      </c>
      <c r="C59" s="69" t="s">
        <v>20</v>
      </c>
      <c r="D59" s="70" t="s">
        <v>42</v>
      </c>
      <c r="E59" s="70" t="s">
        <v>49</v>
      </c>
      <c r="F59" s="72">
        <v>8.7912087912087905E-2</v>
      </c>
      <c r="G59" s="88">
        <v>18.760680000000001</v>
      </c>
      <c r="H59" s="88">
        <v>0.64853400000000005</v>
      </c>
      <c r="I59" s="88">
        <v>0.23547399999999999</v>
      </c>
      <c r="J59" s="88">
        <f t="shared" si="2"/>
        <v>19.644688000000002</v>
      </c>
      <c r="K59" s="93">
        <f t="shared" si="3"/>
        <v>1.7270055384615386</v>
      </c>
    </row>
    <row r="60" spans="2:11" ht="15">
      <c r="B60" s="74">
        <v>21</v>
      </c>
      <c r="C60" s="73" t="s">
        <v>25</v>
      </c>
      <c r="D60" s="74" t="s">
        <v>40</v>
      </c>
      <c r="E60" s="74" t="s">
        <v>41</v>
      </c>
      <c r="F60" s="76">
        <v>0.81</v>
      </c>
      <c r="G60" s="89">
        <v>3.0457689999999999</v>
      </c>
      <c r="H60" s="89">
        <v>5.5363000000000002E-2</v>
      </c>
      <c r="I60" s="89">
        <v>7.358E-3</v>
      </c>
      <c r="J60" s="89">
        <f t="shared" si="2"/>
        <v>3.1084899999999998</v>
      </c>
      <c r="K60" s="94">
        <f t="shared" si="3"/>
        <v>2.5178769000000001</v>
      </c>
    </row>
    <row r="61" spans="2:11" s="81" customFormat="1" ht="15">
      <c r="B61" s="78">
        <v>22</v>
      </c>
      <c r="C61" s="79" t="s">
        <v>25</v>
      </c>
      <c r="D61" s="78" t="s">
        <v>40</v>
      </c>
      <c r="E61" s="78" t="s">
        <v>50</v>
      </c>
      <c r="F61" s="80">
        <v>0.19</v>
      </c>
      <c r="G61" s="90">
        <v>2.924229</v>
      </c>
      <c r="H61" s="90">
        <v>3.1273000000000002E-2</v>
      </c>
      <c r="I61" s="90">
        <v>1.6100000000000001E-4</v>
      </c>
      <c r="J61" s="90">
        <f t="shared" si="2"/>
        <v>2.9556629999999999</v>
      </c>
      <c r="K61" s="95">
        <f t="shared" si="3"/>
        <v>0.56157597000000004</v>
      </c>
    </row>
    <row r="62" spans="2:11" ht="15">
      <c r="B62" s="70">
        <v>23</v>
      </c>
      <c r="C62" s="69" t="s">
        <v>28</v>
      </c>
      <c r="D62" s="70" t="s">
        <v>51</v>
      </c>
      <c r="E62" s="70" t="s">
        <v>41</v>
      </c>
      <c r="F62" s="72">
        <v>9.0308370044052858E-2</v>
      </c>
      <c r="G62" s="88">
        <v>0.19164700000000001</v>
      </c>
      <c r="H62" s="88">
        <v>0.10198699999999999</v>
      </c>
      <c r="I62" s="88">
        <v>8.8981000000000005E-2</v>
      </c>
      <c r="J62" s="88">
        <f t="shared" si="2"/>
        <v>0.38261500000000004</v>
      </c>
      <c r="K62" s="93">
        <f t="shared" si="3"/>
        <v>3.4553337004405285E-2</v>
      </c>
    </row>
    <row r="63" spans="2:11" ht="15">
      <c r="B63" s="70">
        <v>24</v>
      </c>
      <c r="C63" s="69" t="s">
        <v>28</v>
      </c>
      <c r="D63" s="70" t="s">
        <v>51</v>
      </c>
      <c r="E63" s="70" t="s">
        <v>52</v>
      </c>
      <c r="F63" s="72">
        <v>9.2511013215859028E-2</v>
      </c>
      <c r="G63" s="88">
        <v>0.199766</v>
      </c>
      <c r="H63" s="88">
        <v>0.10198699999999999</v>
      </c>
      <c r="I63" s="88">
        <v>8.9165999999999995E-2</v>
      </c>
      <c r="J63" s="88">
        <f t="shared" si="2"/>
        <v>0.39091900000000002</v>
      </c>
      <c r="K63" s="93">
        <f t="shared" si="3"/>
        <v>3.6164312775330394E-2</v>
      </c>
    </row>
    <row r="64" spans="2:11" ht="15">
      <c r="B64" s="70">
        <v>25</v>
      </c>
      <c r="C64" s="69" t="s">
        <v>28</v>
      </c>
      <c r="D64" s="70" t="s">
        <v>53</v>
      </c>
      <c r="E64" s="70" t="s">
        <v>41</v>
      </c>
      <c r="F64" s="72">
        <v>0.21806167400881057</v>
      </c>
      <c r="G64" s="88">
        <v>0.127414</v>
      </c>
      <c r="H64" s="88">
        <v>0.10198699999999999</v>
      </c>
      <c r="I64" s="88">
        <v>8.8981000000000005E-2</v>
      </c>
      <c r="J64" s="88">
        <f t="shared" si="2"/>
        <v>0.318382</v>
      </c>
      <c r="K64" s="93">
        <f t="shared" si="3"/>
        <v>6.9426911894273122E-2</v>
      </c>
    </row>
    <row r="65" spans="2:11" ht="15">
      <c r="B65" s="70">
        <v>26</v>
      </c>
      <c r="C65" s="69" t="s">
        <v>28</v>
      </c>
      <c r="D65" s="70" t="s">
        <v>54</v>
      </c>
      <c r="E65" s="70" t="s">
        <v>41</v>
      </c>
      <c r="F65" s="72">
        <v>0.21365638766519823</v>
      </c>
      <c r="G65" s="88">
        <v>0.14409</v>
      </c>
      <c r="H65" s="88">
        <v>0.10198699999999999</v>
      </c>
      <c r="I65" s="88">
        <v>8.8981000000000005E-2</v>
      </c>
      <c r="J65" s="88">
        <f t="shared" si="2"/>
        <v>0.33505799999999997</v>
      </c>
      <c r="K65" s="93">
        <f t="shared" si="3"/>
        <v>7.1587281938325989E-2</v>
      </c>
    </row>
    <row r="66" spans="2:11" ht="15">
      <c r="B66" s="70">
        <v>27</v>
      </c>
      <c r="C66" s="69" t="s">
        <v>28</v>
      </c>
      <c r="D66" s="70" t="s">
        <v>55</v>
      </c>
      <c r="E66" s="70" t="s">
        <v>41</v>
      </c>
      <c r="F66" s="72">
        <v>0.18502202643171806</v>
      </c>
      <c r="G66" s="88">
        <v>9.3112E-2</v>
      </c>
      <c r="H66" s="88">
        <v>0.10198699999999999</v>
      </c>
      <c r="I66" s="88">
        <v>8.8981000000000005E-2</v>
      </c>
      <c r="J66" s="88">
        <f t="shared" si="2"/>
        <v>0.28408</v>
      </c>
      <c r="K66" s="93">
        <f t="shared" si="3"/>
        <v>5.2561057268722462E-2</v>
      </c>
    </row>
    <row r="67" spans="2:11" ht="15">
      <c r="B67" s="70">
        <v>28</v>
      </c>
      <c r="C67" s="69" t="s">
        <v>28</v>
      </c>
      <c r="D67" s="70" t="s">
        <v>56</v>
      </c>
      <c r="E67" s="70" t="s">
        <v>45</v>
      </c>
      <c r="F67" s="72">
        <v>5.2863436123348012E-2</v>
      </c>
      <c r="G67" s="88">
        <v>0.19825000000000001</v>
      </c>
      <c r="H67" s="88">
        <v>9.6673999999999996E-2</v>
      </c>
      <c r="I67" s="88">
        <v>0.20535600000000001</v>
      </c>
      <c r="J67" s="88">
        <f t="shared" si="2"/>
        <v>0.50028000000000006</v>
      </c>
      <c r="K67" s="93">
        <f t="shared" si="3"/>
        <v>2.6446519823788546E-2</v>
      </c>
    </row>
    <row r="68" spans="2:11" ht="15">
      <c r="B68" s="70">
        <v>29</v>
      </c>
      <c r="C68" s="69" t="s">
        <v>28</v>
      </c>
      <c r="D68" s="70" t="s">
        <v>56</v>
      </c>
      <c r="E68" s="70" t="s">
        <v>57</v>
      </c>
      <c r="F68" s="72">
        <v>6.8281938325991193E-2</v>
      </c>
      <c r="G68" s="88">
        <v>0.156613</v>
      </c>
      <c r="H68" s="88">
        <v>9.6673999999999996E-2</v>
      </c>
      <c r="I68" s="88">
        <v>0.74357899999999999</v>
      </c>
      <c r="J68" s="88">
        <f t="shared" si="2"/>
        <v>0.99686600000000003</v>
      </c>
      <c r="K68" s="93">
        <f t="shared" si="3"/>
        <v>6.8067942731277545E-2</v>
      </c>
    </row>
    <row r="69" spans="2:11" ht="15">
      <c r="B69" s="70">
        <v>30</v>
      </c>
      <c r="C69" s="69" t="s">
        <v>28</v>
      </c>
      <c r="D69" s="70" t="s">
        <v>56</v>
      </c>
      <c r="E69" s="70" t="s">
        <v>58</v>
      </c>
      <c r="F69" s="72">
        <v>4.405286343612335E-2</v>
      </c>
      <c r="G69" s="88">
        <v>0.196074</v>
      </c>
      <c r="H69" s="88">
        <v>0.10198699999999999</v>
      </c>
      <c r="I69" s="88">
        <v>0.29580099999999998</v>
      </c>
      <c r="J69" s="88">
        <f t="shared" si="2"/>
        <v>0.593862</v>
      </c>
      <c r="K69" s="93">
        <f t="shared" si="3"/>
        <v>2.6161321585903084E-2</v>
      </c>
    </row>
    <row r="70" spans="2:11" ht="15">
      <c r="B70" s="70">
        <v>31</v>
      </c>
      <c r="C70" s="69" t="s">
        <v>28</v>
      </c>
      <c r="D70" s="70" t="s">
        <v>56</v>
      </c>
      <c r="E70" s="70" t="s">
        <v>59</v>
      </c>
      <c r="F70" s="72">
        <v>3.5242290748898682E-2</v>
      </c>
      <c r="G70" s="88">
        <v>0.18069099999999999</v>
      </c>
      <c r="H70" s="88">
        <v>0.10312</v>
      </c>
      <c r="I70" s="88">
        <v>0.28246100000000002</v>
      </c>
      <c r="J70" s="88">
        <f t="shared" si="2"/>
        <v>0.566272</v>
      </c>
      <c r="K70" s="93">
        <f t="shared" si="3"/>
        <v>1.9956722466960355E-2</v>
      </c>
    </row>
    <row r="71" spans="2:11" ht="15">
      <c r="B71" s="74">
        <v>32</v>
      </c>
      <c r="C71" s="73" t="s">
        <v>30</v>
      </c>
      <c r="D71" s="74" t="s">
        <v>60</v>
      </c>
      <c r="E71" s="74" t="s">
        <v>41</v>
      </c>
      <c r="F71" s="76">
        <v>0.1811320754716981</v>
      </c>
      <c r="G71" s="89">
        <v>0.42276799999999998</v>
      </c>
      <c r="H71" s="89">
        <v>0.10198699999999999</v>
      </c>
      <c r="I71" s="89">
        <v>7.4112999999999998E-2</v>
      </c>
      <c r="J71" s="89">
        <f t="shared" si="2"/>
        <v>0.59886799999999996</v>
      </c>
      <c r="K71" s="94">
        <f t="shared" si="3"/>
        <v>0.1084742037735849</v>
      </c>
    </row>
    <row r="72" spans="2:11" ht="15">
      <c r="B72" s="74">
        <v>33</v>
      </c>
      <c r="C72" s="73" t="s">
        <v>30</v>
      </c>
      <c r="D72" s="74" t="s">
        <v>61</v>
      </c>
      <c r="E72" s="74" t="s">
        <v>62</v>
      </c>
      <c r="F72" s="76">
        <v>0.12264150943396228</v>
      </c>
      <c r="G72" s="89">
        <v>0.534582</v>
      </c>
      <c r="H72" s="89">
        <v>0.122128</v>
      </c>
      <c r="I72" s="89">
        <v>8.4875000000000006E-2</v>
      </c>
      <c r="J72" s="89">
        <f t="shared" si="2"/>
        <v>0.74158500000000005</v>
      </c>
      <c r="K72" s="94">
        <f t="shared" si="3"/>
        <v>9.0949103773584922E-2</v>
      </c>
    </row>
    <row r="73" spans="2:11" ht="15">
      <c r="B73" s="74">
        <v>34</v>
      </c>
      <c r="C73" s="73" t="s">
        <v>30</v>
      </c>
      <c r="D73" s="74" t="s">
        <v>61</v>
      </c>
      <c r="E73" s="74" t="s">
        <v>46</v>
      </c>
      <c r="F73" s="76">
        <v>3.3962264150943396E-2</v>
      </c>
      <c r="G73" s="89">
        <v>0.57922600000000002</v>
      </c>
      <c r="H73" s="89">
        <v>0.12615599999999999</v>
      </c>
      <c r="I73" s="89">
        <v>4.8473000000000002E-2</v>
      </c>
      <c r="J73" s="89">
        <f t="shared" si="2"/>
        <v>0.75385499999999994</v>
      </c>
      <c r="K73" s="94">
        <f t="shared" si="3"/>
        <v>2.5602622641509431E-2</v>
      </c>
    </row>
    <row r="74" spans="2:11" ht="15">
      <c r="B74" s="74">
        <v>35</v>
      </c>
      <c r="C74" s="73" t="s">
        <v>30</v>
      </c>
      <c r="D74" s="74" t="s">
        <v>63</v>
      </c>
      <c r="E74" s="74" t="s">
        <v>45</v>
      </c>
      <c r="F74" s="76">
        <v>8.8679245283018862E-2</v>
      </c>
      <c r="G74" s="89">
        <v>0.74356199999999995</v>
      </c>
      <c r="H74" s="89">
        <v>0.35627599999999998</v>
      </c>
      <c r="I74" s="89">
        <v>0.21850800000000001</v>
      </c>
      <c r="J74" s="89">
        <f t="shared" si="2"/>
        <v>1.3183459999999998</v>
      </c>
      <c r="K74" s="94">
        <f t="shared" si="3"/>
        <v>0.11690992830188676</v>
      </c>
    </row>
    <row r="75" spans="2:11" ht="15">
      <c r="B75" s="74">
        <v>36</v>
      </c>
      <c r="C75" s="73" t="s">
        <v>30</v>
      </c>
      <c r="D75" s="74" t="s">
        <v>63</v>
      </c>
      <c r="E75" s="74" t="s">
        <v>62</v>
      </c>
      <c r="F75" s="76">
        <v>5.849056603773585E-2</v>
      </c>
      <c r="G75" s="89">
        <v>0.74465899999999996</v>
      </c>
      <c r="H75" s="89">
        <v>0.34478199999999998</v>
      </c>
      <c r="I75" s="89">
        <v>8.3961999999999995E-2</v>
      </c>
      <c r="J75" s="89">
        <f t="shared" si="2"/>
        <v>1.173403</v>
      </c>
      <c r="K75" s="94">
        <f t="shared" si="3"/>
        <v>6.8633005660377361E-2</v>
      </c>
    </row>
    <row r="76" spans="2:11" ht="15">
      <c r="B76" s="74">
        <v>37</v>
      </c>
      <c r="C76" s="73" t="s">
        <v>30</v>
      </c>
      <c r="D76" s="74" t="s">
        <v>63</v>
      </c>
      <c r="E76" s="74" t="s">
        <v>41</v>
      </c>
      <c r="F76" s="76">
        <v>3.3962264150943396E-2</v>
      </c>
      <c r="G76" s="89">
        <v>0.584422</v>
      </c>
      <c r="H76" s="89">
        <v>0.39586399999999999</v>
      </c>
      <c r="I76" s="89">
        <v>8.3263000000000004E-2</v>
      </c>
      <c r="J76" s="89">
        <f t="shared" si="2"/>
        <v>1.0635490000000001</v>
      </c>
      <c r="K76" s="94">
        <f t="shared" si="3"/>
        <v>3.6120532075471702E-2</v>
      </c>
    </row>
    <row r="77" spans="2:11" s="81" customFormat="1" ht="15">
      <c r="B77" s="78">
        <v>38</v>
      </c>
      <c r="C77" s="79" t="s">
        <v>30</v>
      </c>
      <c r="D77" s="78" t="s">
        <v>64</v>
      </c>
      <c r="E77" s="78" t="s">
        <v>50</v>
      </c>
      <c r="F77" s="80">
        <v>0.16226415094339622</v>
      </c>
      <c r="G77" s="90">
        <v>4.8299000000000002E-2</v>
      </c>
      <c r="H77" s="90">
        <v>0.18532499999999999</v>
      </c>
      <c r="I77" s="90">
        <v>1.2090999999999999E-2</v>
      </c>
      <c r="J77" s="90">
        <f t="shared" si="2"/>
        <v>0.24571499999999999</v>
      </c>
      <c r="K77" s="95">
        <f t="shared" si="3"/>
        <v>3.98707358490566E-2</v>
      </c>
    </row>
    <row r="78" spans="2:11" ht="15">
      <c r="B78" s="74">
        <v>39</v>
      </c>
      <c r="C78" s="73" t="s">
        <v>30</v>
      </c>
      <c r="D78" s="74" t="s">
        <v>65</v>
      </c>
      <c r="E78" s="74" t="s">
        <v>62</v>
      </c>
      <c r="F78" s="76">
        <v>1.509433962264151E-2</v>
      </c>
      <c r="G78" s="89">
        <v>0.80690799999999996</v>
      </c>
      <c r="H78" s="89">
        <v>9.9793000000000007E-2</v>
      </c>
      <c r="I78" s="89">
        <v>8.3961999999999995E-2</v>
      </c>
      <c r="J78" s="89">
        <f t="shared" si="2"/>
        <v>0.99066299999999996</v>
      </c>
      <c r="K78" s="94">
        <f t="shared" si="3"/>
        <v>1.4953403773584905E-2</v>
      </c>
    </row>
    <row r="79" spans="2:11" ht="15">
      <c r="B79" s="74">
        <v>40</v>
      </c>
      <c r="C79" s="73" t="s">
        <v>30</v>
      </c>
      <c r="D79" s="74" t="s">
        <v>65</v>
      </c>
      <c r="E79" s="74" t="s">
        <v>41</v>
      </c>
      <c r="F79" s="76">
        <v>2.8301886792452831E-2</v>
      </c>
      <c r="G79" s="89">
        <v>0.64535600000000004</v>
      </c>
      <c r="H79" s="89">
        <v>0.11458</v>
      </c>
      <c r="I79" s="89">
        <v>8.3263000000000004E-2</v>
      </c>
      <c r="J79" s="89">
        <f t="shared" si="2"/>
        <v>0.84319900000000003</v>
      </c>
      <c r="K79" s="94">
        <f t="shared" si="3"/>
        <v>2.3864122641509434E-2</v>
      </c>
    </row>
    <row r="80" spans="2:11" ht="15">
      <c r="B80" s="74">
        <v>41</v>
      </c>
      <c r="C80" s="73" t="s">
        <v>30</v>
      </c>
      <c r="D80" s="74" t="s">
        <v>65</v>
      </c>
      <c r="E80" s="74" t="s">
        <v>66</v>
      </c>
      <c r="F80" s="76">
        <v>0.1</v>
      </c>
      <c r="G80" s="89">
        <v>0.97326199999999996</v>
      </c>
      <c r="H80" s="89">
        <v>0.11458</v>
      </c>
      <c r="I80" s="89">
        <v>9.8639000000000004E-2</v>
      </c>
      <c r="J80" s="89">
        <f t="shared" si="2"/>
        <v>1.1864809999999999</v>
      </c>
      <c r="K80" s="94">
        <f t="shared" si="3"/>
        <v>0.11864809999999999</v>
      </c>
    </row>
    <row r="81" spans="2:11" ht="15">
      <c r="B81" s="74">
        <v>42</v>
      </c>
      <c r="C81" s="73" t="s">
        <v>30</v>
      </c>
      <c r="D81" s="74" t="s">
        <v>65</v>
      </c>
      <c r="E81" s="74" t="s">
        <v>47</v>
      </c>
      <c r="F81" s="76">
        <v>1.6981132075471698E-2</v>
      </c>
      <c r="G81" s="89">
        <v>0.57052999999999998</v>
      </c>
      <c r="H81" s="89">
        <v>0.10198699999999999</v>
      </c>
      <c r="I81" s="89">
        <v>0.447106</v>
      </c>
      <c r="J81" s="89">
        <f t="shared" si="2"/>
        <v>1.119623</v>
      </c>
      <c r="K81" s="94">
        <f t="shared" si="3"/>
        <v>1.9012466037735848E-2</v>
      </c>
    </row>
    <row r="82" spans="2:11" ht="15">
      <c r="B82" s="74">
        <v>43</v>
      </c>
      <c r="C82" s="73" t="s">
        <v>30</v>
      </c>
      <c r="D82" s="74" t="s">
        <v>67</v>
      </c>
      <c r="E82" s="74" t="s">
        <v>68</v>
      </c>
      <c r="F82" s="76">
        <v>2.0754716981132078E-2</v>
      </c>
      <c r="G82" s="89">
        <v>0.20217499999999999</v>
      </c>
      <c r="H82" s="89">
        <v>0.11458</v>
      </c>
      <c r="I82" s="89">
        <v>9.8222000000000004E-2</v>
      </c>
      <c r="J82" s="89">
        <f t="shared" si="2"/>
        <v>0.41497700000000004</v>
      </c>
      <c r="K82" s="94">
        <f t="shared" si="3"/>
        <v>8.6127301886792466E-3</v>
      </c>
    </row>
    <row r="83" spans="2:11" ht="15">
      <c r="B83" s="74">
        <v>44</v>
      </c>
      <c r="C83" s="73" t="s">
        <v>30</v>
      </c>
      <c r="D83" s="74" t="s">
        <v>67</v>
      </c>
      <c r="E83" s="74" t="s">
        <v>62</v>
      </c>
      <c r="F83" s="76">
        <v>8.4905660377358499E-2</v>
      </c>
      <c r="G83" s="89">
        <v>0.212621</v>
      </c>
      <c r="H83" s="89">
        <v>9.9793000000000007E-2</v>
      </c>
      <c r="I83" s="89">
        <v>8.3961999999999995E-2</v>
      </c>
      <c r="J83" s="89">
        <f t="shared" si="2"/>
        <v>0.39637600000000001</v>
      </c>
      <c r="K83" s="94">
        <f t="shared" si="3"/>
        <v>3.3654566037735853E-2</v>
      </c>
    </row>
    <row r="84" spans="2:11" ht="15">
      <c r="B84" s="74">
        <v>45</v>
      </c>
      <c r="C84" s="73" t="s">
        <v>30</v>
      </c>
      <c r="D84" s="74" t="s">
        <v>67</v>
      </c>
      <c r="E84" s="74" t="s">
        <v>46</v>
      </c>
      <c r="F84" s="76">
        <v>1.509433962264151E-2</v>
      </c>
      <c r="G84" s="89">
        <v>0.20217499999999999</v>
      </c>
      <c r="H84" s="89">
        <v>0.11458</v>
      </c>
      <c r="I84" s="89">
        <v>5.4457999999999999E-2</v>
      </c>
      <c r="J84" s="89">
        <f t="shared" si="2"/>
        <v>0.37121300000000002</v>
      </c>
      <c r="K84" s="94">
        <f t="shared" si="3"/>
        <v>5.6032150943396229E-3</v>
      </c>
    </row>
    <row r="85" spans="2:11" ht="15">
      <c r="B85" s="74">
        <v>46</v>
      </c>
      <c r="C85" s="73" t="s">
        <v>30</v>
      </c>
      <c r="D85" s="74" t="s">
        <v>67</v>
      </c>
      <c r="E85" s="74" t="s">
        <v>69</v>
      </c>
      <c r="F85" s="76">
        <v>1.886792452830189E-2</v>
      </c>
      <c r="G85" s="89">
        <v>0.20217499999999999</v>
      </c>
      <c r="H85" s="89">
        <v>0.11458</v>
      </c>
      <c r="I85" s="89">
        <v>0.16634099999999999</v>
      </c>
      <c r="J85" s="89">
        <f t="shared" si="2"/>
        <v>0.48309599999999997</v>
      </c>
      <c r="K85" s="94">
        <f t="shared" si="3"/>
        <v>9.1150188679245299E-3</v>
      </c>
    </row>
    <row r="86" spans="2:11" ht="15">
      <c r="B86" s="74">
        <v>47</v>
      </c>
      <c r="C86" s="73" t="s">
        <v>30</v>
      </c>
      <c r="D86" s="74" t="s">
        <v>67</v>
      </c>
      <c r="E86" s="74" t="s">
        <v>57</v>
      </c>
      <c r="F86" s="76">
        <v>1.886792452830189E-2</v>
      </c>
      <c r="G86" s="89">
        <v>0.20100000000000001</v>
      </c>
      <c r="H86" s="89">
        <v>0.10312</v>
      </c>
      <c r="I86" s="89">
        <v>0.79261199999999998</v>
      </c>
      <c r="J86" s="89">
        <f t="shared" si="2"/>
        <v>1.096732</v>
      </c>
      <c r="K86" s="94">
        <f t="shared" si="3"/>
        <v>2.0693056603773588E-2</v>
      </c>
    </row>
    <row r="87" spans="2:11" ht="15">
      <c r="B87" s="70">
        <v>48</v>
      </c>
      <c r="C87" s="69" t="s">
        <v>32</v>
      </c>
      <c r="D87" s="70" t="s">
        <v>32</v>
      </c>
      <c r="E87" s="70" t="s">
        <v>45</v>
      </c>
      <c r="F87" s="72">
        <v>0.63829787234042556</v>
      </c>
      <c r="G87" s="88">
        <v>0.44561099999999998</v>
      </c>
      <c r="H87" s="88">
        <v>3.3017999999999999E-2</v>
      </c>
      <c r="I87" s="88">
        <v>0.130414</v>
      </c>
      <c r="J87" s="88">
        <f t="shared" si="2"/>
        <v>0.609043</v>
      </c>
      <c r="K87" s="93">
        <f t="shared" si="3"/>
        <v>0.38875085106382978</v>
      </c>
    </row>
    <row r="88" spans="2:11" ht="15">
      <c r="B88" s="70">
        <v>49</v>
      </c>
      <c r="C88" s="69" t="s">
        <v>32</v>
      </c>
      <c r="D88" s="70" t="s">
        <v>32</v>
      </c>
      <c r="E88" s="70" t="s">
        <v>57</v>
      </c>
      <c r="F88" s="72">
        <v>0.36170212765957449</v>
      </c>
      <c r="G88" s="88">
        <v>0.49074200000000001</v>
      </c>
      <c r="H88" s="88">
        <v>3.2978E-2</v>
      </c>
      <c r="I88" s="88">
        <v>0.399453</v>
      </c>
      <c r="J88" s="88">
        <f t="shared" si="2"/>
        <v>0.92317300000000002</v>
      </c>
      <c r="K88" s="93">
        <f t="shared" si="3"/>
        <v>0.33391363829787235</v>
      </c>
    </row>
    <row r="89" spans="2:11" ht="15">
      <c r="B89" s="74">
        <v>50</v>
      </c>
      <c r="C89" s="73" t="s">
        <v>31</v>
      </c>
      <c r="D89" s="74" t="s">
        <v>31</v>
      </c>
      <c r="E89" s="74" t="s">
        <v>70</v>
      </c>
      <c r="F89" s="76">
        <v>0.43478260869565222</v>
      </c>
      <c r="G89" s="89">
        <v>2.6889720000000001</v>
      </c>
      <c r="H89" s="89">
        <v>-0.18823500000000001</v>
      </c>
      <c r="I89" s="89">
        <v>3.2605000000000002E-2</v>
      </c>
      <c r="J89" s="89">
        <f t="shared" si="2"/>
        <v>2.5333420000000002</v>
      </c>
      <c r="K89" s="94">
        <f t="shared" si="3"/>
        <v>1.101453043478261</v>
      </c>
    </row>
    <row r="90" spans="2:11" ht="15">
      <c r="B90" s="74">
        <v>51</v>
      </c>
      <c r="C90" s="73" t="s">
        <v>31</v>
      </c>
      <c r="D90" s="74" t="s">
        <v>31</v>
      </c>
      <c r="E90" s="74" t="s">
        <v>66</v>
      </c>
      <c r="F90" s="76">
        <v>0.31521739130434784</v>
      </c>
      <c r="G90" s="89">
        <v>2.9543300000000001</v>
      </c>
      <c r="H90" s="89">
        <v>-0.33082</v>
      </c>
      <c r="I90" s="89">
        <v>4.8127999999999997E-2</v>
      </c>
      <c r="J90" s="89">
        <f t="shared" si="2"/>
        <v>2.6716380000000002</v>
      </c>
      <c r="K90" s="94">
        <f t="shared" si="3"/>
        <v>0.8421467608695653</v>
      </c>
    </row>
    <row r="91" spans="2:11" ht="15">
      <c r="B91" s="74">
        <v>52</v>
      </c>
      <c r="C91" s="73" t="s">
        <v>31</v>
      </c>
      <c r="D91" s="74" t="s">
        <v>31</v>
      </c>
      <c r="E91" s="74" t="s">
        <v>71</v>
      </c>
      <c r="F91" s="76">
        <v>0.25000000000000006</v>
      </c>
      <c r="G91" s="89">
        <v>2.6889720000000001</v>
      </c>
      <c r="H91" s="89">
        <v>-0.221641</v>
      </c>
      <c r="I91" s="89">
        <v>5.1152999999999997E-2</v>
      </c>
      <c r="J91" s="89">
        <f t="shared" si="2"/>
        <v>2.5184839999999999</v>
      </c>
      <c r="K91" s="94">
        <f t="shared" si="3"/>
        <v>0.6296210000000001</v>
      </c>
    </row>
    <row r="92" spans="2:11" ht="15">
      <c r="B92" s="70">
        <v>53</v>
      </c>
      <c r="C92" s="69" t="s">
        <v>125</v>
      </c>
      <c r="D92" s="70" t="s">
        <v>73</v>
      </c>
      <c r="E92" s="70" t="s">
        <v>62</v>
      </c>
      <c r="F92" s="72">
        <v>0.24697110904007463</v>
      </c>
      <c r="G92" s="88">
        <v>0.240616</v>
      </c>
      <c r="H92" s="88">
        <v>0.100878</v>
      </c>
      <c r="I92" s="91">
        <v>8.8400000000000006E-2</v>
      </c>
      <c r="J92" s="88">
        <f t="shared" si="2"/>
        <v>0.429894</v>
      </c>
      <c r="K92" s="93">
        <f t="shared" si="3"/>
        <v>0.10617139794967384</v>
      </c>
    </row>
    <row r="93" spans="2:11" ht="15">
      <c r="B93" s="70">
        <v>54</v>
      </c>
      <c r="C93" s="69" t="s">
        <v>125</v>
      </c>
      <c r="D93" s="70" t="s">
        <v>73</v>
      </c>
      <c r="E93" s="70" t="s">
        <v>41</v>
      </c>
      <c r="F93" s="72">
        <v>8.3876980428704589E-2</v>
      </c>
      <c r="G93" s="88">
        <v>0.253411</v>
      </c>
      <c r="H93" s="88">
        <v>0.10198699999999999</v>
      </c>
      <c r="I93" s="88">
        <v>7.7600000000000002E-2</v>
      </c>
      <c r="J93" s="88">
        <f t="shared" si="2"/>
        <v>0.43299799999999999</v>
      </c>
      <c r="K93" s="93">
        <f t="shared" si="3"/>
        <v>3.6318564771668227E-2</v>
      </c>
    </row>
    <row r="94" spans="2:11" s="81" customFormat="1" ht="15">
      <c r="B94" s="82">
        <v>55</v>
      </c>
      <c r="C94" s="83" t="s">
        <v>125</v>
      </c>
      <c r="D94" s="82" t="s">
        <v>73</v>
      </c>
      <c r="E94" s="82" t="s">
        <v>50</v>
      </c>
      <c r="F94" s="84">
        <v>2.3299161230195719E-2</v>
      </c>
      <c r="G94" s="92">
        <v>0.23880199999999999</v>
      </c>
      <c r="H94" s="92">
        <v>0.100878</v>
      </c>
      <c r="I94" s="92">
        <v>3.0000000000000001E-3</v>
      </c>
      <c r="J94" s="92">
        <f t="shared" si="2"/>
        <v>0.34267999999999998</v>
      </c>
      <c r="K94" s="96">
        <f t="shared" si="3"/>
        <v>7.9841565703634692E-3</v>
      </c>
    </row>
    <row r="95" spans="2:11" ht="15">
      <c r="B95" s="70">
        <v>56</v>
      </c>
      <c r="C95" s="69" t="s">
        <v>125</v>
      </c>
      <c r="D95" s="70" t="s">
        <v>74</v>
      </c>
      <c r="E95" s="70" t="s">
        <v>41</v>
      </c>
      <c r="F95" s="72">
        <v>0.32152842497670092</v>
      </c>
      <c r="G95" s="88">
        <v>9.3198000000000003E-2</v>
      </c>
      <c r="H95" s="88">
        <v>0.102448</v>
      </c>
      <c r="I95" s="88">
        <v>7.7848000000000001E-2</v>
      </c>
      <c r="J95" s="88">
        <f t="shared" si="2"/>
        <v>0.27349400000000001</v>
      </c>
      <c r="K95" s="93">
        <f t="shared" si="3"/>
        <v>8.793609506057784E-2</v>
      </c>
    </row>
    <row r="96" spans="2:11" s="81" customFormat="1" ht="15">
      <c r="B96" s="82">
        <v>57</v>
      </c>
      <c r="C96" s="83" t="s">
        <v>125</v>
      </c>
      <c r="D96" s="82" t="s">
        <v>74</v>
      </c>
      <c r="E96" s="82" t="s">
        <v>50</v>
      </c>
      <c r="F96" s="84">
        <v>1.3979496738117431E-2</v>
      </c>
      <c r="G96" s="92">
        <v>8.4638000000000005E-2</v>
      </c>
      <c r="H96" s="92">
        <v>0.10133399999999999</v>
      </c>
      <c r="I96" s="92">
        <v>3.0469999999999998E-3</v>
      </c>
      <c r="J96" s="92">
        <f t="shared" si="2"/>
        <v>0.18901899999999999</v>
      </c>
      <c r="K96" s="96">
        <f t="shared" si="3"/>
        <v>2.6423904939422184E-3</v>
      </c>
    </row>
    <row r="97" spans="2:11" ht="15">
      <c r="B97" s="70">
        <v>58</v>
      </c>
      <c r="C97" s="69" t="s">
        <v>125</v>
      </c>
      <c r="D97" s="70" t="s">
        <v>75</v>
      </c>
      <c r="E97" s="70" t="s">
        <v>41</v>
      </c>
      <c r="F97" s="72">
        <v>0.26095060577819207</v>
      </c>
      <c r="G97" s="88">
        <v>0.28902699999999998</v>
      </c>
      <c r="H97" s="88">
        <v>0.10198699999999999</v>
      </c>
      <c r="I97" s="88">
        <v>7.825E-2</v>
      </c>
      <c r="J97" s="88">
        <f t="shared" si="2"/>
        <v>0.46926399999999996</v>
      </c>
      <c r="K97" s="93">
        <f t="shared" si="3"/>
        <v>0.12245472506989752</v>
      </c>
    </row>
    <row r="98" spans="2:11" ht="15">
      <c r="B98" s="70">
        <v>59</v>
      </c>
      <c r="C98" s="69" t="s">
        <v>125</v>
      </c>
      <c r="D98" s="70" t="s">
        <v>75</v>
      </c>
      <c r="E98" s="70" t="s">
        <v>46</v>
      </c>
      <c r="F98" s="72">
        <v>4.6598322460391438E-2</v>
      </c>
      <c r="G98" s="88">
        <v>0.29070800000000002</v>
      </c>
      <c r="H98" s="88">
        <v>0.10198699999999999</v>
      </c>
      <c r="I98" s="88">
        <v>5.2609999999999997E-2</v>
      </c>
      <c r="J98" s="88">
        <f t="shared" si="2"/>
        <v>0.44530500000000001</v>
      </c>
      <c r="K98" s="93">
        <f t="shared" si="3"/>
        <v>2.0750465983224609E-2</v>
      </c>
    </row>
    <row r="99" spans="2:11" s="81" customFormat="1" ht="30">
      <c r="B99" s="82">
        <v>60</v>
      </c>
      <c r="C99" s="83" t="s">
        <v>125</v>
      </c>
      <c r="D99" s="82" t="s">
        <v>75</v>
      </c>
      <c r="E99" s="83" t="s">
        <v>76</v>
      </c>
      <c r="F99" s="85">
        <v>9.3196644920782881E-4</v>
      </c>
      <c r="G99" s="92">
        <v>0.27157199999999998</v>
      </c>
      <c r="H99" s="92">
        <v>0.100878</v>
      </c>
      <c r="I99" s="92">
        <v>3.1410000000000001E-3</v>
      </c>
      <c r="J99" s="92">
        <f t="shared" si="2"/>
        <v>0.37559099999999995</v>
      </c>
      <c r="K99" s="96">
        <f t="shared" si="3"/>
        <v>3.5003821062441759E-4</v>
      </c>
    </row>
    <row r="100" spans="2:11" s="81" customFormat="1" ht="30">
      <c r="B100" s="82">
        <v>61</v>
      </c>
      <c r="C100" s="83" t="s">
        <v>125</v>
      </c>
      <c r="D100" s="82" t="s">
        <v>75</v>
      </c>
      <c r="E100" s="83" t="s">
        <v>77</v>
      </c>
      <c r="F100" s="85">
        <v>9.3196644920782881E-4</v>
      </c>
      <c r="G100" s="92">
        <v>0.31795699999999999</v>
      </c>
      <c r="H100" s="92">
        <v>0.10133399999999999</v>
      </c>
      <c r="I100" s="92">
        <v>3.0230000000000001E-3</v>
      </c>
      <c r="J100" s="92">
        <f t="shared" si="2"/>
        <v>0.42231399999999997</v>
      </c>
      <c r="K100" s="96">
        <f t="shared" si="3"/>
        <v>3.9358247903075496E-4</v>
      </c>
    </row>
    <row r="101" spans="2:11" s="81" customFormat="1" ht="30">
      <c r="B101" s="82">
        <v>62</v>
      </c>
      <c r="C101" s="83" t="s">
        <v>125</v>
      </c>
      <c r="D101" s="82" t="s">
        <v>75</v>
      </c>
      <c r="E101" s="83" t="s">
        <v>78</v>
      </c>
      <c r="F101" s="85">
        <v>9.3196644920782881E-4</v>
      </c>
      <c r="G101" s="92">
        <v>0.16390399999999999</v>
      </c>
      <c r="H101" s="92">
        <v>0.100878</v>
      </c>
      <c r="I101" s="92">
        <v>3.0479999999999999E-3</v>
      </c>
      <c r="J101" s="92">
        <f t="shared" si="2"/>
        <v>0.26782999999999996</v>
      </c>
      <c r="K101" s="96">
        <f t="shared" si="3"/>
        <v>2.4960857409133275E-4</v>
      </c>
    </row>
    <row r="102" spans="2:11" s="81" customFormat="1" ht="30">
      <c r="B102" s="82">
        <v>63</v>
      </c>
      <c r="C102" s="83" t="s">
        <v>125</v>
      </c>
      <c r="D102" s="82" t="s">
        <v>75</v>
      </c>
      <c r="E102" s="83" t="s">
        <v>79</v>
      </c>
      <c r="F102" s="85">
        <v>0</v>
      </c>
      <c r="G102" s="92">
        <v>1.433359</v>
      </c>
      <c r="H102" s="92">
        <v>0.100878</v>
      </c>
      <c r="I102" s="92">
        <v>3.1250000000000002E-3</v>
      </c>
      <c r="J102" s="92">
        <f t="shared" si="2"/>
        <v>1.5373620000000001</v>
      </c>
      <c r="K102" s="96">
        <f t="shared" si="3"/>
        <v>0</v>
      </c>
    </row>
    <row r="103" spans="2:11" ht="15">
      <c r="B103" s="74">
        <v>64</v>
      </c>
      <c r="C103" s="73" t="s">
        <v>26</v>
      </c>
      <c r="D103" s="74" t="s">
        <v>80</v>
      </c>
      <c r="E103" s="74" t="s">
        <v>71</v>
      </c>
      <c r="F103" s="76">
        <v>0.28115942028985508</v>
      </c>
      <c r="G103" s="89">
        <v>4.5770249999999999</v>
      </c>
      <c r="H103" s="89">
        <v>1.020249</v>
      </c>
      <c r="I103" s="89">
        <v>8.7573999999999999E-2</v>
      </c>
      <c r="J103" s="89">
        <f t="shared" si="2"/>
        <v>5.6848479999999997</v>
      </c>
      <c r="K103" s="94">
        <f t="shared" si="3"/>
        <v>1.5983485681159419</v>
      </c>
    </row>
    <row r="104" spans="2:11" ht="15">
      <c r="B104" s="74">
        <v>65</v>
      </c>
      <c r="C104" s="73" t="s">
        <v>26</v>
      </c>
      <c r="D104" s="74" t="s">
        <v>81</v>
      </c>
      <c r="E104" s="74" t="s">
        <v>82</v>
      </c>
      <c r="F104" s="76">
        <v>0.17101449275362318</v>
      </c>
      <c r="G104" s="89">
        <v>1.6381209999999999</v>
      </c>
      <c r="H104" s="89">
        <v>0.120767</v>
      </c>
      <c r="I104" s="89">
        <v>11.81448</v>
      </c>
      <c r="J104" s="89">
        <f t="shared" si="2"/>
        <v>13.573368</v>
      </c>
      <c r="K104" s="94">
        <f t="shared" si="3"/>
        <v>2.3212426434782607</v>
      </c>
    </row>
    <row r="105" spans="2:11" ht="15">
      <c r="B105" s="74">
        <v>66</v>
      </c>
      <c r="C105" s="73" t="s">
        <v>26</v>
      </c>
      <c r="D105" s="74" t="s">
        <v>83</v>
      </c>
      <c r="E105" s="74" t="s">
        <v>82</v>
      </c>
      <c r="F105" s="76">
        <v>8.6956521739130418E-3</v>
      </c>
      <c r="G105" s="89">
        <v>1.715716</v>
      </c>
      <c r="H105" s="89">
        <v>0.15206900000000001</v>
      </c>
      <c r="I105" s="89">
        <v>0.42648200000000003</v>
      </c>
      <c r="J105" s="89">
        <f t="shared" ref="J105:J128" si="4">SUM(G105:I105)</f>
        <v>2.2942670000000001</v>
      </c>
      <c r="K105" s="94">
        <f t="shared" ref="K105:K128" si="5">F105*J105</f>
        <v>1.9950147826086954E-2</v>
      </c>
    </row>
    <row r="106" spans="2:11" ht="15">
      <c r="B106" s="74">
        <v>67</v>
      </c>
      <c r="C106" s="73" t="s">
        <v>26</v>
      </c>
      <c r="D106" s="74" t="s">
        <v>83</v>
      </c>
      <c r="E106" s="74" t="s">
        <v>84</v>
      </c>
      <c r="F106" s="76">
        <v>5.7971014492753624E-2</v>
      </c>
      <c r="G106" s="89">
        <v>1.6983520000000001</v>
      </c>
      <c r="H106" s="89">
        <v>0.46017599999999997</v>
      </c>
      <c r="I106" s="89">
        <v>9.5232999999999998E-2</v>
      </c>
      <c r="J106" s="89">
        <f t="shared" si="4"/>
        <v>2.2537609999999999</v>
      </c>
      <c r="K106" s="94">
        <f t="shared" si="5"/>
        <v>0.13065281159420289</v>
      </c>
    </row>
    <row r="107" spans="2:11" ht="15">
      <c r="B107" s="74">
        <v>68</v>
      </c>
      <c r="C107" s="73" t="s">
        <v>26</v>
      </c>
      <c r="D107" s="74" t="s">
        <v>85</v>
      </c>
      <c r="E107" s="74" t="s">
        <v>82</v>
      </c>
      <c r="F107" s="76">
        <v>6.6666666666666666E-2</v>
      </c>
      <c r="G107" s="89">
        <v>3.8360919999999998</v>
      </c>
      <c r="H107" s="89">
        <v>0.44528499999999999</v>
      </c>
      <c r="I107" s="89">
        <v>0.40416299999999999</v>
      </c>
      <c r="J107" s="89">
        <f t="shared" si="4"/>
        <v>4.6855399999999996</v>
      </c>
      <c r="K107" s="94">
        <f t="shared" si="5"/>
        <v>0.31236933333333328</v>
      </c>
    </row>
    <row r="108" spans="2:11" ht="15">
      <c r="B108" s="74">
        <v>69</v>
      </c>
      <c r="C108" s="73" t="s">
        <v>26</v>
      </c>
      <c r="D108" s="74" t="s">
        <v>85</v>
      </c>
      <c r="E108" s="74" t="s">
        <v>62</v>
      </c>
      <c r="F108" s="76">
        <v>8.9855072463768115E-2</v>
      </c>
      <c r="G108" s="89">
        <v>3.8948079999999998</v>
      </c>
      <c r="H108" s="89">
        <v>1.5669139999999999</v>
      </c>
      <c r="I108" s="89">
        <v>9.5881999999999995E-2</v>
      </c>
      <c r="J108" s="89">
        <f t="shared" si="4"/>
        <v>5.5576039999999995</v>
      </c>
      <c r="K108" s="94">
        <f t="shared" si="5"/>
        <v>0.49937891014492747</v>
      </c>
    </row>
    <row r="109" spans="2:11" ht="15">
      <c r="B109" s="74">
        <v>70</v>
      </c>
      <c r="C109" s="73" t="s">
        <v>26</v>
      </c>
      <c r="D109" s="74" t="s">
        <v>85</v>
      </c>
      <c r="E109" s="74" t="s">
        <v>86</v>
      </c>
      <c r="F109" s="76">
        <v>3.4782608695652167E-2</v>
      </c>
      <c r="G109" s="89">
        <v>3.8948079999999998</v>
      </c>
      <c r="H109" s="89">
        <v>1.0966009999999999</v>
      </c>
      <c r="I109" s="89">
        <v>0.18022199999999999</v>
      </c>
      <c r="J109" s="89">
        <f t="shared" si="4"/>
        <v>5.1716309999999996</v>
      </c>
      <c r="K109" s="94">
        <f t="shared" si="5"/>
        <v>0.17988281739130429</v>
      </c>
    </row>
    <row r="110" spans="2:11" s="81" customFormat="1" ht="15">
      <c r="B110" s="78">
        <v>71</v>
      </c>
      <c r="C110" s="79" t="s">
        <v>26</v>
      </c>
      <c r="D110" s="78" t="s">
        <v>87</v>
      </c>
      <c r="E110" s="78" t="s">
        <v>50</v>
      </c>
      <c r="F110" s="80">
        <v>0.23478260869565218</v>
      </c>
      <c r="G110" s="90">
        <v>2.9317169999999999</v>
      </c>
      <c r="H110" s="90">
        <v>0.79142299999999999</v>
      </c>
      <c r="I110" s="90">
        <v>7.0400000000000003E-3</v>
      </c>
      <c r="J110" s="90">
        <f t="shared" si="4"/>
        <v>3.7301799999999998</v>
      </c>
      <c r="K110" s="95">
        <f t="shared" si="5"/>
        <v>0.87578139130434784</v>
      </c>
    </row>
    <row r="111" spans="2:11" s="81" customFormat="1" ht="15">
      <c r="B111" s="78">
        <v>72</v>
      </c>
      <c r="C111" s="79" t="s">
        <v>26</v>
      </c>
      <c r="D111" s="78" t="s">
        <v>88</v>
      </c>
      <c r="E111" s="78" t="s">
        <v>50</v>
      </c>
      <c r="F111" s="80">
        <v>5.5072463768115941E-2</v>
      </c>
      <c r="G111" s="90">
        <v>3.348328</v>
      </c>
      <c r="H111" s="90">
        <v>0.89125399999999999</v>
      </c>
      <c r="I111" s="90">
        <v>2.3171000000000001E-2</v>
      </c>
      <c r="J111" s="90">
        <f t="shared" si="4"/>
        <v>4.262753</v>
      </c>
      <c r="K111" s="95">
        <f t="shared" si="5"/>
        <v>0.23476031014492754</v>
      </c>
    </row>
    <row r="112" spans="2:11" ht="15">
      <c r="B112" s="70">
        <v>73</v>
      </c>
      <c r="C112" s="69" t="s">
        <v>27</v>
      </c>
      <c r="D112" s="70" t="s">
        <v>89</v>
      </c>
      <c r="E112" s="70" t="s">
        <v>71</v>
      </c>
      <c r="F112" s="72">
        <v>4.0160642570281124E-2</v>
      </c>
      <c r="G112" s="88">
        <v>4.6900983800000002</v>
      </c>
      <c r="H112" s="88">
        <v>1.0417997999999999</v>
      </c>
      <c r="I112" s="88">
        <v>9.6407270000000003E-2</v>
      </c>
      <c r="J112" s="88">
        <f t="shared" si="4"/>
        <v>5.8283054500000002</v>
      </c>
      <c r="K112" s="93">
        <f t="shared" si="5"/>
        <v>0.23406849196787149</v>
      </c>
    </row>
    <row r="113" spans="2:11" ht="15">
      <c r="B113" s="70">
        <v>74</v>
      </c>
      <c r="C113" s="69" t="s">
        <v>27</v>
      </c>
      <c r="D113" s="70" t="s">
        <v>89</v>
      </c>
      <c r="E113" s="70" t="s">
        <v>41</v>
      </c>
      <c r="F113" s="72">
        <v>0.19277108433734938</v>
      </c>
      <c r="G113" s="88">
        <v>4.7533466300000002</v>
      </c>
      <c r="H113" s="88">
        <v>1.0619243</v>
      </c>
      <c r="I113" s="88">
        <v>8.6400099999999994E-2</v>
      </c>
      <c r="J113" s="88">
        <f t="shared" si="4"/>
        <v>5.9016710300000002</v>
      </c>
      <c r="K113" s="93">
        <f t="shared" si="5"/>
        <v>1.1376715238554216</v>
      </c>
    </row>
    <row r="114" spans="2:11" ht="15">
      <c r="B114" s="70">
        <v>75</v>
      </c>
      <c r="C114" s="69" t="s">
        <v>27</v>
      </c>
      <c r="D114" s="70" t="s">
        <v>89</v>
      </c>
      <c r="E114" s="70" t="s">
        <v>46</v>
      </c>
      <c r="F114" s="72">
        <v>3.2128514056224897E-2</v>
      </c>
      <c r="G114" s="88">
        <v>5.2182964500000004</v>
      </c>
      <c r="H114" s="88">
        <v>1.2098633000000001</v>
      </c>
      <c r="I114" s="88">
        <v>5.9993900000000003E-2</v>
      </c>
      <c r="J114" s="88">
        <f t="shared" si="4"/>
        <v>6.488153650000001</v>
      </c>
      <c r="K114" s="93">
        <f t="shared" si="5"/>
        <v>0.20845473574297191</v>
      </c>
    </row>
    <row r="115" spans="2:11" ht="15">
      <c r="B115" s="70">
        <v>76</v>
      </c>
      <c r="C115" s="69" t="s">
        <v>27</v>
      </c>
      <c r="D115" s="70" t="s">
        <v>89</v>
      </c>
      <c r="E115" s="70" t="s">
        <v>62</v>
      </c>
      <c r="F115" s="72">
        <v>8.0321285140562249E-2</v>
      </c>
      <c r="G115" s="88">
        <v>5.8551775900000003</v>
      </c>
      <c r="H115" s="88">
        <v>1.2781811999999999</v>
      </c>
      <c r="I115" s="88">
        <v>8.9882740000000003E-2</v>
      </c>
      <c r="J115" s="88">
        <f t="shared" si="4"/>
        <v>7.2232415300000001</v>
      </c>
      <c r="K115" s="93">
        <f t="shared" si="5"/>
        <v>0.58018004257028111</v>
      </c>
    </row>
    <row r="116" spans="2:11" s="81" customFormat="1" ht="15">
      <c r="B116" s="82">
        <v>77</v>
      </c>
      <c r="C116" s="83" t="s">
        <v>27</v>
      </c>
      <c r="D116" s="82" t="s">
        <v>89</v>
      </c>
      <c r="E116" s="82" t="s">
        <v>50</v>
      </c>
      <c r="F116" s="84">
        <v>8.0321285140562242E-3</v>
      </c>
      <c r="G116" s="92">
        <v>4.5079172600000001</v>
      </c>
      <c r="H116" s="92">
        <v>0.61092601000000002</v>
      </c>
      <c r="I116" s="92">
        <v>1.9781150000000001E-2</v>
      </c>
      <c r="J116" s="92">
        <f t="shared" si="4"/>
        <v>5.1386244200000002</v>
      </c>
      <c r="K116" s="96">
        <f t="shared" si="5"/>
        <v>4.127409172690763E-2</v>
      </c>
    </row>
    <row r="117" spans="2:11" ht="15">
      <c r="B117" s="70">
        <v>78</v>
      </c>
      <c r="C117" s="69" t="s">
        <v>27</v>
      </c>
      <c r="D117" s="70" t="s">
        <v>90</v>
      </c>
      <c r="E117" s="70" t="s">
        <v>46</v>
      </c>
      <c r="F117" s="72">
        <v>1.2048192771084336E-2</v>
      </c>
      <c r="G117" s="88">
        <v>3.28595477</v>
      </c>
      <c r="H117" s="88">
        <v>1.3523988899999999</v>
      </c>
      <c r="I117" s="88">
        <v>0.22595926999999999</v>
      </c>
      <c r="J117" s="88">
        <f t="shared" si="4"/>
        <v>4.8643129299999996</v>
      </c>
      <c r="K117" s="93">
        <f t="shared" si="5"/>
        <v>5.8606179879518064E-2</v>
      </c>
    </row>
    <row r="118" spans="2:11" ht="15">
      <c r="B118" s="70">
        <v>79</v>
      </c>
      <c r="C118" s="69" t="s">
        <v>27</v>
      </c>
      <c r="D118" s="70" t="s">
        <v>90</v>
      </c>
      <c r="E118" s="70" t="s">
        <v>52</v>
      </c>
      <c r="F118" s="72">
        <v>4.0160642570281121E-3</v>
      </c>
      <c r="G118" s="88">
        <v>3.28595477</v>
      </c>
      <c r="H118" s="88">
        <v>1.3196891399999999</v>
      </c>
      <c r="I118" s="88">
        <v>0.36276388999999998</v>
      </c>
      <c r="J118" s="88">
        <f t="shared" si="4"/>
        <v>4.9684077999999996</v>
      </c>
      <c r="K118" s="93">
        <f t="shared" si="5"/>
        <v>1.9953444979919674E-2</v>
      </c>
    </row>
    <row r="119" spans="2:11" ht="15">
      <c r="B119" s="70">
        <v>80</v>
      </c>
      <c r="C119" s="69" t="s">
        <v>27</v>
      </c>
      <c r="D119" s="70" t="s">
        <v>90</v>
      </c>
      <c r="E119" s="70" t="s">
        <v>66</v>
      </c>
      <c r="F119" s="72">
        <v>4.0160642570281124E-2</v>
      </c>
      <c r="G119" s="88">
        <v>3.28595477</v>
      </c>
      <c r="H119" s="88">
        <v>1.3988526800000001</v>
      </c>
      <c r="I119" s="88">
        <v>0.35992365999999998</v>
      </c>
      <c r="J119" s="88">
        <f t="shared" si="4"/>
        <v>5.0447311099999999</v>
      </c>
      <c r="K119" s="93">
        <f t="shared" si="5"/>
        <v>0.20259964297188754</v>
      </c>
    </row>
    <row r="120" spans="2:11" ht="15">
      <c r="B120" s="70">
        <v>81</v>
      </c>
      <c r="C120" s="69" t="s">
        <v>27</v>
      </c>
      <c r="D120" s="70" t="s">
        <v>91</v>
      </c>
      <c r="E120" s="70" t="s">
        <v>46</v>
      </c>
      <c r="F120" s="72">
        <v>0.12449799196787148</v>
      </c>
      <c r="G120" s="88">
        <v>3.28595477</v>
      </c>
      <c r="H120" s="88">
        <v>1.32956783</v>
      </c>
      <c r="I120" s="88">
        <v>0.18260503</v>
      </c>
      <c r="J120" s="88">
        <f t="shared" si="4"/>
        <v>4.7981276300000006</v>
      </c>
      <c r="K120" s="93">
        <f t="shared" si="5"/>
        <v>0.59735725514056226</v>
      </c>
    </row>
    <row r="121" spans="2:11" ht="15">
      <c r="B121" s="70">
        <v>82</v>
      </c>
      <c r="C121" s="69" t="s">
        <v>27</v>
      </c>
      <c r="D121" s="70" t="s">
        <v>91</v>
      </c>
      <c r="E121" s="70" t="s">
        <v>52</v>
      </c>
      <c r="F121" s="72">
        <v>0.10441767068273092</v>
      </c>
      <c r="G121" s="88">
        <v>3.28595477</v>
      </c>
      <c r="H121" s="88">
        <v>1.2968580700000001</v>
      </c>
      <c r="I121" s="88">
        <v>0.26196017999999999</v>
      </c>
      <c r="J121" s="88">
        <f t="shared" si="4"/>
        <v>4.8447730199999999</v>
      </c>
      <c r="K121" s="93">
        <f t="shared" si="5"/>
        <v>0.50587991373493968</v>
      </c>
    </row>
    <row r="122" spans="2:11" ht="15">
      <c r="B122" s="70">
        <v>83</v>
      </c>
      <c r="C122" s="69" t="s">
        <v>27</v>
      </c>
      <c r="D122" s="70" t="s">
        <v>91</v>
      </c>
      <c r="E122" s="70" t="s">
        <v>66</v>
      </c>
      <c r="F122" s="72">
        <v>4.4176706827309231E-2</v>
      </c>
      <c r="G122" s="88">
        <v>3.28595477</v>
      </c>
      <c r="H122" s="88">
        <v>1.3760216199999999</v>
      </c>
      <c r="I122" s="88">
        <v>0.26031267000000002</v>
      </c>
      <c r="J122" s="88">
        <f t="shared" si="4"/>
        <v>4.9222890599999998</v>
      </c>
      <c r="K122" s="93">
        <f t="shared" si="5"/>
        <v>0.21745052072289153</v>
      </c>
    </row>
    <row r="123" spans="2:11" ht="15">
      <c r="B123" s="70">
        <v>84</v>
      </c>
      <c r="C123" s="69" t="s">
        <v>27</v>
      </c>
      <c r="D123" s="70" t="s">
        <v>92</v>
      </c>
      <c r="E123" s="70" t="s">
        <v>41</v>
      </c>
      <c r="F123" s="72">
        <v>0.10843373493975904</v>
      </c>
      <c r="G123" s="88">
        <v>4.6062284599999996</v>
      </c>
      <c r="H123" s="88">
        <v>6.4783439999999998E-2</v>
      </c>
      <c r="I123" s="88">
        <v>9.2460420000000001E-2</v>
      </c>
      <c r="J123" s="88">
        <f t="shared" si="4"/>
        <v>4.76347232</v>
      </c>
      <c r="K123" s="93">
        <f t="shared" si="5"/>
        <v>0.51652109493975906</v>
      </c>
    </row>
    <row r="124" spans="2:11" ht="15">
      <c r="B124" s="70">
        <v>85</v>
      </c>
      <c r="C124" s="69" t="s">
        <v>27</v>
      </c>
      <c r="D124" s="70" t="s">
        <v>92</v>
      </c>
      <c r="E124" s="70" t="s">
        <v>46</v>
      </c>
      <c r="F124" s="72">
        <v>4.0160642570281121E-3</v>
      </c>
      <c r="G124" s="88">
        <v>4.6062284599999996</v>
      </c>
      <c r="H124" s="88">
        <v>6.4783439999999998E-2</v>
      </c>
      <c r="I124" s="88">
        <v>6.7639069999999996E-2</v>
      </c>
      <c r="J124" s="88">
        <f t="shared" si="4"/>
        <v>4.7386509700000001</v>
      </c>
      <c r="K124" s="93">
        <f t="shared" si="5"/>
        <v>1.9030726787148594E-2</v>
      </c>
    </row>
    <row r="125" spans="2:11" ht="15">
      <c r="B125" s="70">
        <v>86</v>
      </c>
      <c r="C125" s="69" t="s">
        <v>27</v>
      </c>
      <c r="D125" s="70" t="s">
        <v>92</v>
      </c>
      <c r="E125" s="70" t="s">
        <v>62</v>
      </c>
      <c r="F125" s="72">
        <v>8.0321285140562242E-3</v>
      </c>
      <c r="G125" s="88">
        <v>4.7717385700000001</v>
      </c>
      <c r="H125" s="88">
        <v>3.7696470000000003E-2</v>
      </c>
      <c r="I125" s="88">
        <v>9.1157580000000002E-2</v>
      </c>
      <c r="J125" s="88">
        <f t="shared" si="4"/>
        <v>4.9005926200000003</v>
      </c>
      <c r="K125" s="93">
        <f t="shared" si="5"/>
        <v>3.93621897188755E-2</v>
      </c>
    </row>
    <row r="126" spans="2:11" ht="15">
      <c r="B126" s="70">
        <v>87</v>
      </c>
      <c r="C126" s="69" t="s">
        <v>27</v>
      </c>
      <c r="D126" s="70" t="s">
        <v>93</v>
      </c>
      <c r="E126" s="70" t="s">
        <v>41</v>
      </c>
      <c r="F126" s="72">
        <v>2.4096385542168672E-2</v>
      </c>
      <c r="G126" s="88">
        <v>4.6062284599999996</v>
      </c>
      <c r="H126" s="88">
        <v>0.24492955</v>
      </c>
      <c r="I126" s="88">
        <v>9.1333460000000005E-2</v>
      </c>
      <c r="J126" s="88">
        <f t="shared" si="4"/>
        <v>4.9424914700000002</v>
      </c>
      <c r="K126" s="93">
        <f t="shared" si="5"/>
        <v>0.11909618</v>
      </c>
    </row>
    <row r="127" spans="2:11" ht="15">
      <c r="B127" s="70">
        <v>88</v>
      </c>
      <c r="C127" s="69" t="s">
        <v>27</v>
      </c>
      <c r="D127" s="70" t="s">
        <v>93</v>
      </c>
      <c r="E127" s="70" t="s">
        <v>46</v>
      </c>
      <c r="F127" s="72">
        <v>6.8273092369477914E-2</v>
      </c>
      <c r="G127" s="88">
        <v>4.6062284599999996</v>
      </c>
      <c r="H127" s="88">
        <v>0.24492955</v>
      </c>
      <c r="I127" s="88">
        <v>6.3241770000000003E-2</v>
      </c>
      <c r="J127" s="88">
        <f t="shared" si="4"/>
        <v>4.9143997800000001</v>
      </c>
      <c r="K127" s="93">
        <f t="shared" si="5"/>
        <v>0.33552127012048194</v>
      </c>
    </row>
    <row r="128" spans="2:11" ht="15">
      <c r="B128" s="70">
        <v>89</v>
      </c>
      <c r="C128" s="69" t="s">
        <v>27</v>
      </c>
      <c r="D128" s="70" t="s">
        <v>93</v>
      </c>
      <c r="E128" s="70" t="s">
        <v>62</v>
      </c>
      <c r="F128" s="72">
        <v>0.10441767068273092</v>
      </c>
      <c r="G128" s="88">
        <v>4.7717385700000001</v>
      </c>
      <c r="H128" s="88">
        <v>0.21048969000000001</v>
      </c>
      <c r="I128" s="88">
        <v>9.1157580000000002E-2</v>
      </c>
      <c r="J128" s="88">
        <f t="shared" si="4"/>
        <v>5.0733858400000003</v>
      </c>
      <c r="K128" s="93">
        <f t="shared" si="5"/>
        <v>0.52975113188755019</v>
      </c>
    </row>
  </sheetData>
  <pageMargins left="0.7" right="0.7" top="0.75" bottom="0.75" header="0.3" footer="0.3"/>
  <pageSetup paperSize="9" orientation="portrait" horizontalDpi="0" verticalDpi="0" r:id="rId1"/>
  <ignoredErrors>
    <ignoredError sqref="J40:J128 J23:J35" formulaRange="1"/>
  </ignoredErrors>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8FABA-0E5B-4E3F-BB3D-45BB57D59C4D}">
  <dimension ref="B1:L91"/>
  <sheetViews>
    <sheetView zoomScaleNormal="100" workbookViewId="0">
      <selection activeCell="G25" sqref="G25"/>
    </sheetView>
  </sheetViews>
  <sheetFormatPr defaultColWidth="8.7109375" defaultRowHeight="14.1"/>
  <cols>
    <col min="1" max="1" width="2.28515625" style="5" customWidth="1"/>
    <col min="2" max="2" width="28.85546875" style="5" customWidth="1"/>
    <col min="3" max="3" width="27.7109375" style="5" bestFit="1" customWidth="1"/>
    <col min="4" max="4" width="21" style="5" bestFit="1" customWidth="1"/>
    <col min="5" max="5" width="39" style="5" customWidth="1"/>
    <col min="6" max="6" width="30.7109375" style="5" customWidth="1"/>
    <col min="7" max="10" width="21.7109375" style="5" bestFit="1" customWidth="1"/>
    <col min="11" max="11" width="25.85546875" style="5" bestFit="1" customWidth="1"/>
    <col min="12" max="12" width="11" style="5" bestFit="1" customWidth="1"/>
    <col min="13" max="16384" width="8.7109375" style="5"/>
  </cols>
  <sheetData>
    <row r="1" spans="2:7">
      <c r="B1" s="22" t="s">
        <v>0</v>
      </c>
    </row>
    <row r="2" spans="2:7">
      <c r="B2" s="22"/>
    </row>
    <row r="3" spans="2:7" ht="30">
      <c r="B3" s="33" t="s">
        <v>1</v>
      </c>
      <c r="C3" s="130">
        <f>SUM(F28:F40)</f>
        <v>929.41751284347959</v>
      </c>
    </row>
    <row r="4" spans="2:7" ht="15">
      <c r="B4" s="142" t="s">
        <v>130</v>
      </c>
      <c r="C4" s="130">
        <f>SUM(F28:F40)-SUM(F28:F35)*D22-F28*D21-SUM(F28:F35)*D20+SUM(C28:C35)*D20*SUM(D28:D35)*K89+C28*D21*D28*K90+SUM(C28:C35)*D22*SUM(D28:D35)*K91</f>
        <v>929.41751284347959</v>
      </c>
    </row>
    <row r="6" spans="2:7">
      <c r="B6" s="22" t="s">
        <v>3</v>
      </c>
      <c r="E6" s="31"/>
      <c r="F6" s="34"/>
      <c r="G6" s="28"/>
    </row>
    <row r="7" spans="2:7">
      <c r="B7" s="22"/>
      <c r="E7" s="31"/>
      <c r="F7" s="34"/>
      <c r="G7" s="28"/>
    </row>
    <row r="8" spans="2:7" ht="15">
      <c r="B8" s="33" t="s">
        <v>2</v>
      </c>
      <c r="C8" s="129">
        <v>365</v>
      </c>
      <c r="D8" s="32"/>
    </row>
    <row r="9" spans="2:7">
      <c r="B9" s="22"/>
      <c r="E9" s="31"/>
      <c r="F9" s="34"/>
      <c r="G9" s="28"/>
    </row>
    <row r="10" spans="2:7">
      <c r="B10" s="16" t="s">
        <v>4</v>
      </c>
      <c r="D10" s="133" t="s">
        <v>131</v>
      </c>
      <c r="E10" s="31"/>
      <c r="F10" s="34"/>
      <c r="G10" s="28"/>
    </row>
    <row r="11" spans="2:7">
      <c r="B11" s="23" t="s">
        <v>6</v>
      </c>
      <c r="C11" s="30">
        <f>SUM(C28:C35)</f>
        <v>0.29041095890410956</v>
      </c>
      <c r="D11" s="131">
        <v>0.25</v>
      </c>
      <c r="E11" s="31"/>
      <c r="F11" s="34"/>
      <c r="G11" s="28"/>
    </row>
    <row r="12" spans="2:7">
      <c r="B12" s="23" t="s">
        <v>7</v>
      </c>
      <c r="C12" s="30">
        <f>SUM(C39:C40)</f>
        <v>0.24931506849315069</v>
      </c>
      <c r="D12" s="131">
        <v>0.25</v>
      </c>
      <c r="E12" s="31"/>
      <c r="F12" s="34"/>
      <c r="G12" s="28"/>
    </row>
    <row r="13" spans="2:7">
      <c r="B13" s="23" t="s">
        <v>8</v>
      </c>
      <c r="C13" s="30">
        <f>SUM(C36:C38)</f>
        <v>0.46027397260273972</v>
      </c>
      <c r="D13" s="131">
        <v>0.5</v>
      </c>
      <c r="E13" s="31"/>
      <c r="F13" s="34"/>
      <c r="G13" s="28"/>
    </row>
    <row r="14" spans="2:7">
      <c r="E14" s="31"/>
      <c r="F14" s="34"/>
      <c r="G14" s="28"/>
    </row>
    <row r="15" spans="2:7">
      <c r="B15" s="16" t="s">
        <v>132</v>
      </c>
      <c r="D15" s="133" t="s">
        <v>131</v>
      </c>
      <c r="E15" s="31"/>
      <c r="F15" s="34"/>
      <c r="G15" s="28"/>
    </row>
    <row r="16" spans="2:7">
      <c r="B16" s="18" t="s">
        <v>133</v>
      </c>
      <c r="C16" s="87">
        <f>((F66*D33)+(F77*D38)+(F84*D37)+(F86*D34)+(F88*D35))/C8</f>
        <v>2.610958904109589E-2</v>
      </c>
      <c r="D16" s="132">
        <v>0.3</v>
      </c>
      <c r="E16" s="31"/>
      <c r="F16" s="34"/>
      <c r="G16" s="86"/>
    </row>
    <row r="17" spans="2:12">
      <c r="B17" s="18" t="s">
        <v>134</v>
      </c>
      <c r="C17" s="87">
        <f>(SUM(F45:F47)*D31+SUM(F48:F49)*D32+SUM(F50:F51)*D29+SUM(F52:F58)*D30+SUM(F59:F64)*D28+SUM(F65)*D33+SUM(F67:F75)*D36+SUM(F76)*D38+SUM(F78:F79)*D40+SUM(F80:F82)*D39+SUM(F83)*D37+SUM(F85)*D34+SUM(F87)*D35)/C8</f>
        <v>0.97389041095890405</v>
      </c>
      <c r="D17" s="132">
        <v>0.7</v>
      </c>
      <c r="E17" s="31"/>
      <c r="F17" s="34"/>
      <c r="G17" s="28"/>
    </row>
    <row r="18" spans="2:12">
      <c r="B18" s="39"/>
      <c r="C18" s="137"/>
      <c r="D18" s="138"/>
      <c r="E18" s="31"/>
      <c r="F18" s="34"/>
      <c r="G18" s="28"/>
    </row>
    <row r="19" spans="2:12">
      <c r="B19" s="22"/>
      <c r="C19" s="17" t="s">
        <v>135</v>
      </c>
      <c r="D19" s="17" t="s">
        <v>136</v>
      </c>
      <c r="E19" s="31"/>
      <c r="F19" s="34"/>
      <c r="G19" s="28"/>
    </row>
    <row r="20" spans="2:12">
      <c r="B20" s="141" t="s">
        <v>137</v>
      </c>
      <c r="C20" s="19">
        <v>0.6</v>
      </c>
      <c r="D20" s="132">
        <v>0</v>
      </c>
      <c r="E20" s="31"/>
      <c r="F20" s="34"/>
      <c r="G20" s="28"/>
    </row>
    <row r="21" spans="2:12" ht="30">
      <c r="B21" s="143" t="s">
        <v>138</v>
      </c>
      <c r="C21" s="19">
        <v>0.55000000000000004</v>
      </c>
      <c r="D21" s="132">
        <v>0</v>
      </c>
      <c r="E21" s="31" t="s">
        <v>139</v>
      </c>
      <c r="F21" s="34"/>
      <c r="G21" s="28"/>
    </row>
    <row r="22" spans="2:12" ht="30">
      <c r="B22" s="141" t="s">
        <v>140</v>
      </c>
      <c r="C22" s="19">
        <v>0.99</v>
      </c>
      <c r="D22" s="132">
        <v>0</v>
      </c>
      <c r="E22" s="31" t="s">
        <v>141</v>
      </c>
      <c r="F22" s="34"/>
      <c r="G22" s="28"/>
    </row>
    <row r="23" spans="2:12">
      <c r="B23" s="39"/>
      <c r="C23" s="137"/>
      <c r="D23" s="138"/>
      <c r="E23" s="31"/>
      <c r="F23" s="34"/>
      <c r="G23" s="28"/>
    </row>
    <row r="24" spans="2:12">
      <c r="B24" s="22" t="s">
        <v>13</v>
      </c>
      <c r="C24" s="37"/>
      <c r="G24" s="38"/>
      <c r="H24" s="22" t="s">
        <v>142</v>
      </c>
    </row>
    <row r="25" spans="2:12">
      <c r="B25" s="36"/>
      <c r="C25" s="37"/>
      <c r="G25" s="38"/>
    </row>
    <row r="26" spans="2:12">
      <c r="B26" s="39" t="s">
        <v>14</v>
      </c>
      <c r="H26" s="39" t="s">
        <v>14</v>
      </c>
    </row>
    <row r="27" spans="2:12" ht="30">
      <c r="B27" s="21" t="s">
        <v>15</v>
      </c>
      <c r="C27" s="26" t="s">
        <v>16</v>
      </c>
      <c r="D27" s="26" t="s">
        <v>17</v>
      </c>
      <c r="E27" s="26" t="s">
        <v>18</v>
      </c>
      <c r="F27" s="26" t="s">
        <v>19</v>
      </c>
      <c r="H27" s="21" t="s">
        <v>15</v>
      </c>
      <c r="I27" s="26" t="s">
        <v>143</v>
      </c>
      <c r="J27" s="26" t="s">
        <v>144</v>
      </c>
      <c r="K27" s="17" t="s">
        <v>198</v>
      </c>
      <c r="L27" s="18" t="s">
        <v>199</v>
      </c>
    </row>
    <row r="28" spans="2:12" ht="15">
      <c r="B28" s="20" t="s">
        <v>20</v>
      </c>
      <c r="C28" s="27">
        <v>8.21917808219178E-3</v>
      </c>
      <c r="D28" s="24">
        <f t="shared" ref="D28:D40" si="0">C28*$C$8</f>
        <v>2.9999999999999996</v>
      </c>
      <c r="E28" s="49">
        <f>SUM(K59:K64)</f>
        <v>24.291314857142858</v>
      </c>
      <c r="F28" s="49">
        <f t="shared" ref="F28:F40" si="1">D28*E28</f>
        <v>72.873944571428567</v>
      </c>
      <c r="H28" s="20" t="s">
        <v>20</v>
      </c>
      <c r="I28" s="27">
        <f>0.821917808219178%*(1-K28)</f>
        <v>6.5753424657534242E-3</v>
      </c>
      <c r="J28" s="97">
        <f>SUM(F59:F64)</f>
        <v>1</v>
      </c>
      <c r="K28" s="149">
        <v>0.2</v>
      </c>
      <c r="L28" s="19">
        <v>0.05</v>
      </c>
    </row>
    <row r="29" spans="2:12" ht="15">
      <c r="B29" s="20" t="s">
        <v>21</v>
      </c>
      <c r="C29" s="27">
        <v>5.4794520547945206E-3</v>
      </c>
      <c r="D29" s="24">
        <f t="shared" si="0"/>
        <v>2</v>
      </c>
      <c r="E29" s="49">
        <f>SUM(K50:K51)</f>
        <v>16.406103899999998</v>
      </c>
      <c r="F29" s="49">
        <f t="shared" si="1"/>
        <v>32.812207799999996</v>
      </c>
      <c r="H29" s="20" t="s">
        <v>21</v>
      </c>
      <c r="I29" s="27">
        <f>0.547945205479452%*(1-K29)</f>
        <v>4.383561643835617E-3</v>
      </c>
      <c r="J29" s="97">
        <f>SUM(F50:F51)</f>
        <v>1</v>
      </c>
      <c r="K29" s="149">
        <v>0.2</v>
      </c>
    </row>
    <row r="30" spans="2:12" ht="15">
      <c r="B30" s="20" t="s">
        <v>22</v>
      </c>
      <c r="C30" s="27">
        <v>6.0273972602739728E-2</v>
      </c>
      <c r="D30" s="24">
        <f t="shared" si="0"/>
        <v>22</v>
      </c>
      <c r="E30" s="49">
        <f>SUM(K52:K58)</f>
        <v>11.945393876296295</v>
      </c>
      <c r="F30" s="49">
        <f t="shared" si="1"/>
        <v>262.79866527851851</v>
      </c>
      <c r="H30" s="20" t="s">
        <v>22</v>
      </c>
      <c r="I30" s="27">
        <f>6.02739726027397%*(1-K30)</f>
        <v>4.8219178082191762E-2</v>
      </c>
      <c r="J30" s="97">
        <f>SUM(F52:F58)</f>
        <v>0.99999999999999989</v>
      </c>
      <c r="K30" s="149">
        <v>0.2</v>
      </c>
    </row>
    <row r="31" spans="2:12" ht="15">
      <c r="B31" s="20" t="s">
        <v>23</v>
      </c>
      <c r="C31" s="27">
        <v>9.3150684931506855E-2</v>
      </c>
      <c r="D31" s="24">
        <f t="shared" si="0"/>
        <v>34</v>
      </c>
      <c r="E31" s="49">
        <f>SUM(K45:K47)</f>
        <v>3.5247584216867471</v>
      </c>
      <c r="F31" s="49">
        <f t="shared" si="1"/>
        <v>119.8417863373494</v>
      </c>
      <c r="H31" s="20" t="s">
        <v>23</v>
      </c>
      <c r="I31" s="27">
        <f>9.31506849315068%*(1-K31)</f>
        <v>7.4520547945205448E-2</v>
      </c>
      <c r="J31" s="97">
        <f>SUM(F45:F47)</f>
        <v>1</v>
      </c>
      <c r="K31" s="149">
        <v>0.2</v>
      </c>
    </row>
    <row r="32" spans="2:12" ht="15">
      <c r="B32" s="20" t="s">
        <v>24</v>
      </c>
      <c r="C32" s="27">
        <v>5.4794520547945206E-3</v>
      </c>
      <c r="D32" s="24">
        <f t="shared" si="0"/>
        <v>2</v>
      </c>
      <c r="E32" s="49">
        <f>SUM(K48:K49)</f>
        <v>4.2112411489361712</v>
      </c>
      <c r="F32" s="49">
        <f t="shared" si="1"/>
        <v>8.4224822978723424</v>
      </c>
      <c r="H32" s="20" t="s">
        <v>24</v>
      </c>
      <c r="I32" s="27">
        <f>0.547945205479452%*(1-K32)</f>
        <v>4.383561643835617E-3</v>
      </c>
      <c r="J32" s="97">
        <f>SUM(F48:F49)</f>
        <v>1</v>
      </c>
      <c r="K32" s="149">
        <v>0.2</v>
      </c>
    </row>
    <row r="33" spans="2:11" ht="15">
      <c r="B33" s="20" t="s">
        <v>25</v>
      </c>
      <c r="C33" s="27">
        <v>6.0273972602739728E-2</v>
      </c>
      <c r="D33" s="24">
        <f t="shared" si="0"/>
        <v>22</v>
      </c>
      <c r="E33" s="49">
        <f>SUM(K65:K66)</f>
        <v>3.0794528699999999</v>
      </c>
      <c r="F33" s="49">
        <f t="shared" si="1"/>
        <v>67.747963139999996</v>
      </c>
      <c r="H33" s="20" t="s">
        <v>25</v>
      </c>
      <c r="I33" s="27">
        <f>6.02739726027397%*(1-K33)</f>
        <v>4.8219178082191762E-2</v>
      </c>
      <c r="J33" s="97">
        <f>SUM(F65:F66)</f>
        <v>1</v>
      </c>
      <c r="K33" s="149">
        <v>0.2</v>
      </c>
    </row>
    <row r="34" spans="2:11" ht="15">
      <c r="B34" s="20" t="s">
        <v>26</v>
      </c>
      <c r="C34" s="27">
        <v>4.1095890410958902E-2</v>
      </c>
      <c r="D34" s="24">
        <f t="shared" si="0"/>
        <v>15</v>
      </c>
      <c r="E34" s="49">
        <f>SUM(K85:K86)</f>
        <v>5.5226759035714279</v>
      </c>
      <c r="F34" s="49">
        <f t="shared" si="1"/>
        <v>82.840138553571421</v>
      </c>
      <c r="H34" s="20" t="s">
        <v>26</v>
      </c>
      <c r="I34" s="27">
        <f>4.10958904109589%*(1-K34)</f>
        <v>3.287671232876712E-2</v>
      </c>
      <c r="J34" s="97">
        <f>SUM(F85:F86)</f>
        <v>1</v>
      </c>
      <c r="K34" s="149">
        <v>0.2</v>
      </c>
    </row>
    <row r="35" spans="2:11" ht="15">
      <c r="B35" s="20" t="s">
        <v>27</v>
      </c>
      <c r="C35" s="27">
        <v>1.643835616438356E-2</v>
      </c>
      <c r="D35" s="24">
        <f t="shared" si="0"/>
        <v>5.9999999999999991</v>
      </c>
      <c r="E35" s="49">
        <f>SUM(K87:K88)</f>
        <v>5.2610641187624996</v>
      </c>
      <c r="F35" s="49">
        <f t="shared" si="1"/>
        <v>31.566384712574994</v>
      </c>
      <c r="H35" s="20" t="s">
        <v>27</v>
      </c>
      <c r="I35" s="27">
        <f>1.64383561643836%*(1-K35)</f>
        <v>1.3150684931506881E-2</v>
      </c>
      <c r="J35" s="97">
        <f>SUM(F87:F88)</f>
        <v>1</v>
      </c>
      <c r="K35" s="149">
        <v>0.2</v>
      </c>
    </row>
    <row r="36" spans="2:11" ht="15">
      <c r="B36" s="20" t="s">
        <v>28</v>
      </c>
      <c r="C36" s="27">
        <v>0.19726027397260273</v>
      </c>
      <c r="D36" s="24">
        <f t="shared" si="0"/>
        <v>72</v>
      </c>
      <c r="E36" s="49">
        <f>SUM(K67:K75)</f>
        <v>0.4049254074889867</v>
      </c>
      <c r="F36" s="49">
        <f t="shared" si="1"/>
        <v>29.154629339207041</v>
      </c>
      <c r="H36" s="20" t="s">
        <v>28</v>
      </c>
      <c r="I36" s="27">
        <f>19.7260273972603%*(1-K36)</f>
        <v>0.15780821917808241</v>
      </c>
      <c r="J36" s="97">
        <f>SUM(F67:F75)</f>
        <v>1</v>
      </c>
      <c r="K36" s="149">
        <v>0.2</v>
      </c>
    </row>
    <row r="37" spans="2:11" ht="15">
      <c r="B37" s="20" t="s">
        <v>29</v>
      </c>
      <c r="C37" s="27">
        <v>4.3835616438356165E-2</v>
      </c>
      <c r="D37" s="24">
        <f t="shared" si="0"/>
        <v>16</v>
      </c>
      <c r="E37" s="49">
        <f>SUM(K83:K84)</f>
        <v>0.42478675000000005</v>
      </c>
      <c r="F37" s="49">
        <f t="shared" si="1"/>
        <v>6.7965880000000007</v>
      </c>
      <c r="H37" s="20" t="s">
        <v>29</v>
      </c>
      <c r="I37" s="27">
        <f>4.38356164383562%*(1-K37)</f>
        <v>3.5068493150684964E-2</v>
      </c>
      <c r="J37" s="97">
        <f>SUM(F83:F84)</f>
        <v>1</v>
      </c>
      <c r="K37" s="149">
        <v>0.2</v>
      </c>
    </row>
    <row r="38" spans="2:11" ht="15">
      <c r="B38" s="20" t="s">
        <v>30</v>
      </c>
      <c r="C38" s="27">
        <v>0.21917808219178081</v>
      </c>
      <c r="D38" s="24">
        <f t="shared" si="0"/>
        <v>80</v>
      </c>
      <c r="E38" s="49">
        <f>SUM(K76:K77)</f>
        <v>0.81906525133333319</v>
      </c>
      <c r="F38" s="49">
        <f t="shared" si="1"/>
        <v>65.525220106666652</v>
      </c>
      <c r="H38" s="20" t="s">
        <v>30</v>
      </c>
      <c r="I38" s="27">
        <f>21.9178082191781%*(1-K38)</f>
        <v>0.1753424657534248</v>
      </c>
      <c r="J38" s="97">
        <f>SUM(F76:F77)</f>
        <v>1</v>
      </c>
      <c r="K38" s="149">
        <v>0.2</v>
      </c>
    </row>
    <row r="39" spans="2:11" ht="15">
      <c r="B39" s="20" t="s">
        <v>31</v>
      </c>
      <c r="C39" s="27">
        <v>0.12328767123287671</v>
      </c>
      <c r="D39" s="24">
        <f t="shared" si="0"/>
        <v>45</v>
      </c>
      <c r="E39" s="49">
        <f>SUM(K80:K82)</f>
        <v>2.5732208043478266</v>
      </c>
      <c r="F39" s="49">
        <f t="shared" si="1"/>
        <v>115.7949361956522</v>
      </c>
      <c r="H39" s="20" t="s">
        <v>31</v>
      </c>
      <c r="I39" s="27">
        <f>12.3287671232877%*(1-K39)</f>
        <v>9.8630136986301603E-2</v>
      </c>
      <c r="J39" s="97">
        <f>SUM(F80:F82)</f>
        <v>1</v>
      </c>
      <c r="K39" s="149">
        <v>0.2</v>
      </c>
    </row>
    <row r="40" spans="2:11" ht="15">
      <c r="B40" s="20" t="s">
        <v>32</v>
      </c>
      <c r="C40" s="27">
        <v>0.12602739726027398</v>
      </c>
      <c r="D40" s="24">
        <f t="shared" si="0"/>
        <v>46</v>
      </c>
      <c r="E40" s="49">
        <f>SUM(K78:K79)</f>
        <v>0.72266448936170213</v>
      </c>
      <c r="F40" s="49">
        <f t="shared" si="1"/>
        <v>33.242566510638298</v>
      </c>
      <c r="H40" s="20" t="s">
        <v>32</v>
      </c>
      <c r="I40" s="27">
        <f>12.6027397260274%*(1-K40)</f>
        <v>0.10082191780821921</v>
      </c>
      <c r="J40" s="97">
        <f>SUM(F78:F79)</f>
        <v>1</v>
      </c>
      <c r="K40" s="149">
        <v>0.2</v>
      </c>
    </row>
    <row r="41" spans="2:11" s="14" customFormat="1"/>
    <row r="42" spans="2:11">
      <c r="C42" s="77"/>
      <c r="D42" s="25"/>
    </row>
    <row r="43" spans="2:11">
      <c r="B43" s="22" t="s">
        <v>147</v>
      </c>
      <c r="G43" s="25"/>
    </row>
    <row r="44" spans="2:11" ht="30">
      <c r="B44" s="68" t="s">
        <v>33</v>
      </c>
      <c r="C44" s="68" t="s">
        <v>15</v>
      </c>
      <c r="D44" s="68" t="s">
        <v>34</v>
      </c>
      <c r="E44" s="68" t="s">
        <v>35</v>
      </c>
      <c r="F44" s="67" t="s">
        <v>148</v>
      </c>
      <c r="G44" s="67" t="s">
        <v>149</v>
      </c>
      <c r="H44" s="67" t="s">
        <v>150</v>
      </c>
      <c r="I44" s="67" t="s">
        <v>151</v>
      </c>
      <c r="J44" s="67" t="s">
        <v>152</v>
      </c>
      <c r="K44" s="67" t="s">
        <v>153</v>
      </c>
    </row>
    <row r="45" spans="2:11" ht="15">
      <c r="B45" s="70">
        <v>1</v>
      </c>
      <c r="C45" s="69" t="s">
        <v>23</v>
      </c>
      <c r="D45" s="70" t="s">
        <v>40</v>
      </c>
      <c r="E45" s="69" t="s">
        <v>41</v>
      </c>
      <c r="F45" s="71">
        <v>0.4337349397590361</v>
      </c>
      <c r="G45" s="88">
        <v>2.995031</v>
      </c>
      <c r="H45" s="88">
        <v>0.38144</v>
      </c>
      <c r="I45" s="88">
        <v>3.8969999999999999E-3</v>
      </c>
      <c r="J45" s="88">
        <f>SUM(G45:I45)</f>
        <v>3.3803679999999998</v>
      </c>
      <c r="K45" s="93">
        <f t="shared" ref="K45:K91" si="2">F45*J45</f>
        <v>1.4661837108433733</v>
      </c>
    </row>
    <row r="46" spans="2:11" ht="15">
      <c r="B46" s="70">
        <v>2</v>
      </c>
      <c r="C46" s="69" t="s">
        <v>23</v>
      </c>
      <c r="D46" s="70" t="s">
        <v>42</v>
      </c>
      <c r="E46" s="70" t="s">
        <v>41</v>
      </c>
      <c r="F46" s="72">
        <v>1.2048192771084336E-2</v>
      </c>
      <c r="G46" s="88">
        <v>2.9989279999999998</v>
      </c>
      <c r="H46" s="88">
        <v>0.76137900000000003</v>
      </c>
      <c r="I46" s="88">
        <v>2.7139999999999998E-3</v>
      </c>
      <c r="J46" s="88">
        <f t="shared" ref="J46:J85" si="3">SUM(G46:I46)</f>
        <v>3.7630210000000002</v>
      </c>
      <c r="K46" s="93">
        <f t="shared" si="2"/>
        <v>4.533760240963855E-2</v>
      </c>
    </row>
    <row r="47" spans="2:11" ht="15">
      <c r="B47" s="70">
        <v>3</v>
      </c>
      <c r="C47" s="69" t="s">
        <v>23</v>
      </c>
      <c r="D47" s="70" t="s">
        <v>42</v>
      </c>
      <c r="E47" s="70" t="s">
        <v>43</v>
      </c>
      <c r="F47" s="72">
        <v>0.55421686746987953</v>
      </c>
      <c r="G47" s="88">
        <v>2.5277020000000001</v>
      </c>
      <c r="H47" s="88">
        <v>0.68049199999999999</v>
      </c>
      <c r="I47" s="88">
        <v>0.42438599999999999</v>
      </c>
      <c r="J47" s="88">
        <f t="shared" si="3"/>
        <v>3.6325800000000004</v>
      </c>
      <c r="K47" s="93">
        <f t="shared" si="2"/>
        <v>2.013237108433735</v>
      </c>
    </row>
    <row r="48" spans="2:11" ht="15">
      <c r="B48" s="74">
        <v>4</v>
      </c>
      <c r="C48" s="73" t="s">
        <v>24</v>
      </c>
      <c r="D48" s="74" t="s">
        <v>40</v>
      </c>
      <c r="E48" s="73" t="s">
        <v>41</v>
      </c>
      <c r="F48" s="75">
        <v>0.36170212765957449</v>
      </c>
      <c r="G48" s="89">
        <v>3.812459</v>
      </c>
      <c r="H48" s="89">
        <v>0.32567699999999999</v>
      </c>
      <c r="I48" s="89">
        <v>4.0559999999999997E-3</v>
      </c>
      <c r="J48" s="89">
        <f t="shared" si="3"/>
        <v>4.1421920000000005</v>
      </c>
      <c r="K48" s="94">
        <f t="shared" si="2"/>
        <v>1.4982396595744685</v>
      </c>
    </row>
    <row r="49" spans="2:11" ht="15">
      <c r="B49" s="74">
        <v>5</v>
      </c>
      <c r="C49" s="73" t="s">
        <v>24</v>
      </c>
      <c r="D49" s="74" t="s">
        <v>42</v>
      </c>
      <c r="E49" s="73" t="s">
        <v>41</v>
      </c>
      <c r="F49" s="75">
        <v>0.63829787234042556</v>
      </c>
      <c r="G49" s="89">
        <v>3.812459</v>
      </c>
      <c r="H49" s="89">
        <v>0.43385400000000002</v>
      </c>
      <c r="I49" s="89">
        <v>4.0559999999999997E-3</v>
      </c>
      <c r="J49" s="89">
        <f t="shared" si="3"/>
        <v>4.2503690000000001</v>
      </c>
      <c r="K49" s="94">
        <f t="shared" si="2"/>
        <v>2.7130014893617025</v>
      </c>
    </row>
    <row r="50" spans="2:11" ht="15">
      <c r="B50" s="70">
        <v>6</v>
      </c>
      <c r="C50" s="69" t="s">
        <v>21</v>
      </c>
      <c r="D50" s="70" t="s">
        <v>44</v>
      </c>
      <c r="E50" s="70" t="s">
        <v>45</v>
      </c>
      <c r="F50" s="72">
        <v>0.3</v>
      </c>
      <c r="G50" s="88">
        <v>13.19894</v>
      </c>
      <c r="H50" s="88">
        <v>0.90092099999999997</v>
      </c>
      <c r="I50" s="88">
        <v>7.1202430000000003</v>
      </c>
      <c r="J50" s="88">
        <f t="shared" si="3"/>
        <v>21.220103999999999</v>
      </c>
      <c r="K50" s="93">
        <f t="shared" si="2"/>
        <v>6.3660311999999992</v>
      </c>
    </row>
    <row r="51" spans="2:11" ht="15">
      <c r="B51" s="70">
        <v>7</v>
      </c>
      <c r="C51" s="69" t="s">
        <v>21</v>
      </c>
      <c r="D51" s="70" t="s">
        <v>42</v>
      </c>
      <c r="E51" s="70" t="s">
        <v>45</v>
      </c>
      <c r="F51" s="72">
        <v>0.7</v>
      </c>
      <c r="G51" s="88">
        <v>13.19894</v>
      </c>
      <c r="H51" s="88">
        <v>0.96768900000000002</v>
      </c>
      <c r="I51" s="88">
        <v>0.17633199999999999</v>
      </c>
      <c r="J51" s="88">
        <f t="shared" si="3"/>
        <v>14.342961000000001</v>
      </c>
      <c r="K51" s="93">
        <f t="shared" si="2"/>
        <v>10.0400727</v>
      </c>
    </row>
    <row r="52" spans="2:11" ht="15">
      <c r="B52" s="74">
        <v>8</v>
      </c>
      <c r="C52" s="73" t="s">
        <v>22</v>
      </c>
      <c r="D52" s="74" t="s">
        <v>40</v>
      </c>
      <c r="E52" s="73" t="s">
        <v>46</v>
      </c>
      <c r="F52" s="75">
        <v>0.20987654320987653</v>
      </c>
      <c r="G52" s="89">
        <v>7.22039819</v>
      </c>
      <c r="H52" s="89">
        <v>1.7484542000000001</v>
      </c>
      <c r="I52" s="89">
        <v>4.0494910000000002E-2</v>
      </c>
      <c r="J52" s="89">
        <f t="shared" si="3"/>
        <v>9.0093472999999999</v>
      </c>
      <c r="K52" s="94">
        <f t="shared" si="2"/>
        <v>1.8908506679012345</v>
      </c>
    </row>
    <row r="53" spans="2:11" ht="15">
      <c r="B53" s="74">
        <v>9</v>
      </c>
      <c r="C53" s="73" t="s">
        <v>22</v>
      </c>
      <c r="D53" s="74" t="s">
        <v>44</v>
      </c>
      <c r="E53" s="74" t="s">
        <v>43</v>
      </c>
      <c r="F53" s="76">
        <v>0.12345679012345678</v>
      </c>
      <c r="G53" s="89">
        <v>7.2956225999999997</v>
      </c>
      <c r="H53" s="89">
        <v>0.81951735000000003</v>
      </c>
      <c r="I53" s="89">
        <v>18.8588928</v>
      </c>
      <c r="J53" s="89">
        <f t="shared" si="3"/>
        <v>26.974032749999999</v>
      </c>
      <c r="K53" s="94">
        <f t="shared" si="2"/>
        <v>3.3301274999999997</v>
      </c>
    </row>
    <row r="54" spans="2:11" ht="15">
      <c r="B54" s="74">
        <v>10</v>
      </c>
      <c r="C54" s="73" t="s">
        <v>22</v>
      </c>
      <c r="D54" s="74" t="s">
        <v>44</v>
      </c>
      <c r="E54" s="74" t="s">
        <v>45</v>
      </c>
      <c r="F54" s="76">
        <v>4.9382716049382713E-2</v>
      </c>
      <c r="G54" s="89">
        <v>7.1395445799999999</v>
      </c>
      <c r="H54" s="89">
        <v>4.0700936900000002</v>
      </c>
      <c r="I54" s="89">
        <v>7.1202434300000004</v>
      </c>
      <c r="J54" s="89">
        <f t="shared" si="3"/>
        <v>18.329881700000001</v>
      </c>
      <c r="K54" s="94">
        <f t="shared" si="2"/>
        <v>0.90517934320987659</v>
      </c>
    </row>
    <row r="55" spans="2:11" ht="15">
      <c r="B55" s="74">
        <v>11</v>
      </c>
      <c r="C55" s="73" t="s">
        <v>22</v>
      </c>
      <c r="D55" s="74" t="s">
        <v>42</v>
      </c>
      <c r="E55" s="74" t="s">
        <v>43</v>
      </c>
      <c r="F55" s="76">
        <v>0.29629629629629628</v>
      </c>
      <c r="G55" s="89">
        <v>7.2956225999999997</v>
      </c>
      <c r="H55" s="89">
        <v>0.84836555000000002</v>
      </c>
      <c r="I55" s="89">
        <v>0.42201559999999999</v>
      </c>
      <c r="J55" s="89">
        <f t="shared" si="3"/>
        <v>8.5660037500000001</v>
      </c>
      <c r="K55" s="94">
        <f t="shared" si="2"/>
        <v>2.538075185185185</v>
      </c>
    </row>
    <row r="56" spans="2:11" ht="15">
      <c r="B56" s="74">
        <v>12</v>
      </c>
      <c r="C56" s="73" t="s">
        <v>22</v>
      </c>
      <c r="D56" s="74" t="s">
        <v>42</v>
      </c>
      <c r="E56" s="74" t="s">
        <v>45</v>
      </c>
      <c r="F56" s="76">
        <v>9.8765432098765427E-2</v>
      </c>
      <c r="G56" s="89">
        <v>7.1395445799999999</v>
      </c>
      <c r="H56" s="89">
        <v>4.1668280099999997</v>
      </c>
      <c r="I56" s="89">
        <v>0.17633204</v>
      </c>
      <c r="J56" s="89">
        <f t="shared" si="3"/>
        <v>11.482704629999999</v>
      </c>
      <c r="K56" s="94">
        <f t="shared" si="2"/>
        <v>1.1340942844444444</v>
      </c>
    </row>
    <row r="57" spans="2:11" ht="15">
      <c r="B57" s="74">
        <v>13</v>
      </c>
      <c r="C57" s="73" t="s">
        <v>22</v>
      </c>
      <c r="D57" s="74" t="s">
        <v>42</v>
      </c>
      <c r="E57" s="74" t="s">
        <v>47</v>
      </c>
      <c r="F57" s="76">
        <v>0.14814814814814814</v>
      </c>
      <c r="G57" s="89">
        <v>7.0857764300000001</v>
      </c>
      <c r="H57" s="89">
        <v>2.3632220799999999</v>
      </c>
      <c r="I57" s="89">
        <v>0.36202464000000001</v>
      </c>
      <c r="J57" s="89">
        <f t="shared" si="3"/>
        <v>9.8110231499999987</v>
      </c>
      <c r="K57" s="94">
        <f t="shared" si="2"/>
        <v>1.4534849111111108</v>
      </c>
    </row>
    <row r="58" spans="2:11" ht="15">
      <c r="B58" s="74">
        <v>14</v>
      </c>
      <c r="C58" s="73" t="s">
        <v>22</v>
      </c>
      <c r="D58" s="74" t="s">
        <v>42</v>
      </c>
      <c r="E58" s="74" t="s">
        <v>48</v>
      </c>
      <c r="F58" s="76">
        <v>7.407407407407407E-2</v>
      </c>
      <c r="G58" s="89">
        <v>7.2956225999999997</v>
      </c>
      <c r="H58" s="89">
        <v>1.77765705</v>
      </c>
      <c r="I58" s="89">
        <v>0.29007714000000001</v>
      </c>
      <c r="J58" s="89">
        <f t="shared" si="3"/>
        <v>9.3633567899999992</v>
      </c>
      <c r="K58" s="94">
        <f t="shared" si="2"/>
        <v>0.6935819844444443</v>
      </c>
    </row>
    <row r="59" spans="2:11" ht="15">
      <c r="B59" s="70">
        <v>15</v>
      </c>
      <c r="C59" s="69" t="s">
        <v>20</v>
      </c>
      <c r="D59" s="70" t="s">
        <v>44</v>
      </c>
      <c r="E59" s="70" t="s">
        <v>43</v>
      </c>
      <c r="F59" s="72">
        <v>0.17582417582417581</v>
      </c>
      <c r="G59" s="88">
        <v>18.833870000000001</v>
      </c>
      <c r="H59" s="88">
        <v>0.69446600000000003</v>
      </c>
      <c r="I59" s="88">
        <v>18.858889999999999</v>
      </c>
      <c r="J59" s="88">
        <f t="shared" si="3"/>
        <v>38.387225999999998</v>
      </c>
      <c r="K59" s="93">
        <f t="shared" si="2"/>
        <v>6.7494023736263724</v>
      </c>
    </row>
    <row r="60" spans="2:11" ht="15">
      <c r="B60" s="70">
        <v>16</v>
      </c>
      <c r="C60" s="69" t="s">
        <v>20</v>
      </c>
      <c r="D60" s="70" t="s">
        <v>44</v>
      </c>
      <c r="E60" s="70" t="s">
        <v>45</v>
      </c>
      <c r="F60" s="72">
        <v>8.7912087912087905E-2</v>
      </c>
      <c r="G60" s="88">
        <v>18.857240000000001</v>
      </c>
      <c r="H60" s="88">
        <v>1.5193319999999999</v>
      </c>
      <c r="I60" s="88">
        <v>7.1202430000000003</v>
      </c>
      <c r="J60" s="88">
        <f t="shared" si="3"/>
        <v>27.496814999999998</v>
      </c>
      <c r="K60" s="93">
        <f t="shared" si="2"/>
        <v>2.4173024175824174</v>
      </c>
    </row>
    <row r="61" spans="2:11" ht="15">
      <c r="B61" s="70">
        <v>17</v>
      </c>
      <c r="C61" s="69" t="s">
        <v>20</v>
      </c>
      <c r="D61" s="70" t="s">
        <v>44</v>
      </c>
      <c r="E61" s="70" t="s">
        <v>49</v>
      </c>
      <c r="F61" s="72">
        <v>3.2967032967032968E-2</v>
      </c>
      <c r="G61" s="88">
        <v>18.760680000000001</v>
      </c>
      <c r="H61" s="88">
        <v>0.63292700000000002</v>
      </c>
      <c r="I61" s="88">
        <v>9.8971769999999992</v>
      </c>
      <c r="J61" s="88">
        <f t="shared" si="3"/>
        <v>29.290783999999999</v>
      </c>
      <c r="K61" s="93">
        <f t="shared" si="2"/>
        <v>0.96563024175824175</v>
      </c>
    </row>
    <row r="62" spans="2:11" ht="15">
      <c r="B62" s="70">
        <v>18</v>
      </c>
      <c r="C62" s="69" t="s">
        <v>20</v>
      </c>
      <c r="D62" s="70" t="s">
        <v>42</v>
      </c>
      <c r="E62" s="70" t="s">
        <v>43</v>
      </c>
      <c r="F62" s="72">
        <v>0.39560439560439559</v>
      </c>
      <c r="G62" s="88">
        <v>18.833870000000001</v>
      </c>
      <c r="H62" s="88">
        <v>0.714009</v>
      </c>
      <c r="I62" s="88">
        <v>0.422016</v>
      </c>
      <c r="J62" s="88">
        <f t="shared" si="3"/>
        <v>19.969895000000001</v>
      </c>
      <c r="K62" s="93">
        <f t="shared" si="2"/>
        <v>7.9001782417582422</v>
      </c>
    </row>
    <row r="63" spans="2:11" ht="15">
      <c r="B63" s="70">
        <v>19</v>
      </c>
      <c r="C63" s="69" t="s">
        <v>20</v>
      </c>
      <c r="D63" s="70" t="s">
        <v>42</v>
      </c>
      <c r="E63" s="70" t="s">
        <v>45</v>
      </c>
      <c r="F63" s="72">
        <v>0.21978021978021978</v>
      </c>
      <c r="G63" s="88">
        <v>18.857240000000001</v>
      </c>
      <c r="H63" s="88">
        <v>1.5861000000000001</v>
      </c>
      <c r="I63" s="88">
        <v>0.17633199999999999</v>
      </c>
      <c r="J63" s="88">
        <f t="shared" si="3"/>
        <v>20.619671999999998</v>
      </c>
      <c r="K63" s="93">
        <f t="shared" si="2"/>
        <v>4.5317960439560432</v>
      </c>
    </row>
    <row r="64" spans="2:11" ht="15">
      <c r="B64" s="70">
        <v>20</v>
      </c>
      <c r="C64" s="69" t="s">
        <v>20</v>
      </c>
      <c r="D64" s="70" t="s">
        <v>42</v>
      </c>
      <c r="E64" s="70" t="s">
        <v>49</v>
      </c>
      <c r="F64" s="72">
        <v>8.7912087912087905E-2</v>
      </c>
      <c r="G64" s="88">
        <v>18.760680000000001</v>
      </c>
      <c r="H64" s="88">
        <v>0.64853400000000005</v>
      </c>
      <c r="I64" s="88">
        <v>0.23547399999999999</v>
      </c>
      <c r="J64" s="88">
        <f t="shared" si="3"/>
        <v>19.644688000000002</v>
      </c>
      <c r="K64" s="93">
        <f t="shared" si="2"/>
        <v>1.7270055384615386</v>
      </c>
    </row>
    <row r="65" spans="2:11" ht="15">
      <c r="B65" s="74">
        <v>21</v>
      </c>
      <c r="C65" s="73" t="s">
        <v>25</v>
      </c>
      <c r="D65" s="74" t="s">
        <v>40</v>
      </c>
      <c r="E65" s="74" t="s">
        <v>41</v>
      </c>
      <c r="F65" s="76">
        <v>0.81</v>
      </c>
      <c r="G65" s="89">
        <v>3.0457689999999999</v>
      </c>
      <c r="H65" s="89">
        <v>5.5363000000000002E-2</v>
      </c>
      <c r="I65" s="89">
        <v>7.358E-3</v>
      </c>
      <c r="J65" s="89">
        <f t="shared" si="3"/>
        <v>3.1084899999999998</v>
      </c>
      <c r="K65" s="94">
        <f t="shared" si="2"/>
        <v>2.5178769000000001</v>
      </c>
    </row>
    <row r="66" spans="2:11" s="81" customFormat="1" ht="15">
      <c r="B66" s="78">
        <v>22</v>
      </c>
      <c r="C66" s="79" t="s">
        <v>25</v>
      </c>
      <c r="D66" s="78" t="s">
        <v>40</v>
      </c>
      <c r="E66" s="78" t="s">
        <v>50</v>
      </c>
      <c r="F66" s="80">
        <v>0.19</v>
      </c>
      <c r="G66" s="90">
        <v>2.924229</v>
      </c>
      <c r="H66" s="90">
        <v>3.1273000000000002E-2</v>
      </c>
      <c r="I66" s="90">
        <v>1.6100000000000001E-4</v>
      </c>
      <c r="J66" s="90">
        <f t="shared" si="3"/>
        <v>2.9556629999999999</v>
      </c>
      <c r="K66" s="95">
        <f t="shared" si="2"/>
        <v>0.56157597000000004</v>
      </c>
    </row>
    <row r="67" spans="2:11" ht="15">
      <c r="B67" s="70">
        <v>23</v>
      </c>
      <c r="C67" s="69" t="s">
        <v>28</v>
      </c>
      <c r="D67" s="70" t="s">
        <v>51</v>
      </c>
      <c r="E67" s="70" t="s">
        <v>41</v>
      </c>
      <c r="F67" s="72">
        <v>9.0308370044052858E-2</v>
      </c>
      <c r="G67" s="88">
        <v>0.19164700000000001</v>
      </c>
      <c r="H67" s="88">
        <v>0.10198699999999999</v>
      </c>
      <c r="I67" s="88">
        <v>8.8981000000000005E-2</v>
      </c>
      <c r="J67" s="88">
        <f t="shared" si="3"/>
        <v>0.38261500000000004</v>
      </c>
      <c r="K67" s="93">
        <f t="shared" si="2"/>
        <v>3.4553337004405285E-2</v>
      </c>
    </row>
    <row r="68" spans="2:11" ht="15">
      <c r="B68" s="70">
        <v>24</v>
      </c>
      <c r="C68" s="69" t="s">
        <v>28</v>
      </c>
      <c r="D68" s="70" t="s">
        <v>51</v>
      </c>
      <c r="E68" s="70" t="s">
        <v>52</v>
      </c>
      <c r="F68" s="72">
        <v>9.2511013215859028E-2</v>
      </c>
      <c r="G68" s="88">
        <v>0.199766</v>
      </c>
      <c r="H68" s="88">
        <v>0.10198699999999999</v>
      </c>
      <c r="I68" s="88">
        <v>8.9165999999999995E-2</v>
      </c>
      <c r="J68" s="88">
        <f t="shared" si="3"/>
        <v>0.39091900000000002</v>
      </c>
      <c r="K68" s="93">
        <f t="shared" si="2"/>
        <v>3.6164312775330394E-2</v>
      </c>
    </row>
    <row r="69" spans="2:11" ht="15">
      <c r="B69" s="70">
        <v>25</v>
      </c>
      <c r="C69" s="69" t="s">
        <v>28</v>
      </c>
      <c r="D69" s="70" t="s">
        <v>53</v>
      </c>
      <c r="E69" s="70" t="s">
        <v>41</v>
      </c>
      <c r="F69" s="72">
        <v>0.21806167400881057</v>
      </c>
      <c r="G69" s="88">
        <v>0.127414</v>
      </c>
      <c r="H69" s="88">
        <v>0.10198699999999999</v>
      </c>
      <c r="I69" s="88">
        <v>8.8981000000000005E-2</v>
      </c>
      <c r="J69" s="88">
        <f t="shared" si="3"/>
        <v>0.318382</v>
      </c>
      <c r="K69" s="93">
        <f t="shared" si="2"/>
        <v>6.9426911894273122E-2</v>
      </c>
    </row>
    <row r="70" spans="2:11" ht="15">
      <c r="B70" s="70">
        <v>26</v>
      </c>
      <c r="C70" s="69" t="s">
        <v>28</v>
      </c>
      <c r="D70" s="70" t="s">
        <v>54</v>
      </c>
      <c r="E70" s="70" t="s">
        <v>41</v>
      </c>
      <c r="F70" s="72">
        <v>0.21365638766519823</v>
      </c>
      <c r="G70" s="88">
        <v>0.14409</v>
      </c>
      <c r="H70" s="88">
        <v>0.10198699999999999</v>
      </c>
      <c r="I70" s="88">
        <v>8.8981000000000005E-2</v>
      </c>
      <c r="J70" s="88">
        <f t="shared" si="3"/>
        <v>0.33505799999999997</v>
      </c>
      <c r="K70" s="93">
        <f t="shared" si="2"/>
        <v>7.1587281938325989E-2</v>
      </c>
    </row>
    <row r="71" spans="2:11" ht="15">
      <c r="B71" s="70">
        <v>27</v>
      </c>
      <c r="C71" s="69" t="s">
        <v>28</v>
      </c>
      <c r="D71" s="70" t="s">
        <v>55</v>
      </c>
      <c r="E71" s="70" t="s">
        <v>41</v>
      </c>
      <c r="F71" s="72">
        <v>0.18502202643171806</v>
      </c>
      <c r="G71" s="88">
        <v>9.3112E-2</v>
      </c>
      <c r="H71" s="88">
        <v>0.10198699999999999</v>
      </c>
      <c r="I71" s="88">
        <v>8.8981000000000005E-2</v>
      </c>
      <c r="J71" s="88">
        <f t="shared" si="3"/>
        <v>0.28408</v>
      </c>
      <c r="K71" s="93">
        <f t="shared" si="2"/>
        <v>5.2561057268722462E-2</v>
      </c>
    </row>
    <row r="72" spans="2:11" ht="15">
      <c r="B72" s="70">
        <v>28</v>
      </c>
      <c r="C72" s="69" t="s">
        <v>28</v>
      </c>
      <c r="D72" s="70" t="s">
        <v>56</v>
      </c>
      <c r="E72" s="70" t="s">
        <v>45</v>
      </c>
      <c r="F72" s="72">
        <v>5.2863436123348012E-2</v>
      </c>
      <c r="G72" s="88">
        <v>0.19825000000000001</v>
      </c>
      <c r="H72" s="88">
        <v>9.6673999999999996E-2</v>
      </c>
      <c r="I72" s="88">
        <v>0.20535600000000001</v>
      </c>
      <c r="J72" s="88">
        <f t="shared" si="3"/>
        <v>0.50028000000000006</v>
      </c>
      <c r="K72" s="93">
        <f t="shared" si="2"/>
        <v>2.6446519823788546E-2</v>
      </c>
    </row>
    <row r="73" spans="2:11" ht="15">
      <c r="B73" s="70">
        <v>29</v>
      </c>
      <c r="C73" s="69" t="s">
        <v>28</v>
      </c>
      <c r="D73" s="70" t="s">
        <v>56</v>
      </c>
      <c r="E73" s="70" t="s">
        <v>57</v>
      </c>
      <c r="F73" s="72">
        <v>6.8281938325991193E-2</v>
      </c>
      <c r="G73" s="88">
        <v>0.156613</v>
      </c>
      <c r="H73" s="88">
        <v>9.6673999999999996E-2</v>
      </c>
      <c r="I73" s="88">
        <v>0.74357899999999999</v>
      </c>
      <c r="J73" s="88">
        <f t="shared" si="3"/>
        <v>0.99686600000000003</v>
      </c>
      <c r="K73" s="93">
        <f t="shared" si="2"/>
        <v>6.8067942731277545E-2</v>
      </c>
    </row>
    <row r="74" spans="2:11" ht="15">
      <c r="B74" s="70">
        <v>30</v>
      </c>
      <c r="C74" s="69" t="s">
        <v>28</v>
      </c>
      <c r="D74" s="70" t="s">
        <v>56</v>
      </c>
      <c r="E74" s="70" t="s">
        <v>58</v>
      </c>
      <c r="F74" s="72">
        <v>4.405286343612335E-2</v>
      </c>
      <c r="G74" s="88">
        <v>0.196074</v>
      </c>
      <c r="H74" s="88">
        <v>0.10198699999999999</v>
      </c>
      <c r="I74" s="88">
        <v>0.29580099999999998</v>
      </c>
      <c r="J74" s="88">
        <f t="shared" si="3"/>
        <v>0.593862</v>
      </c>
      <c r="K74" s="93">
        <f t="shared" si="2"/>
        <v>2.6161321585903084E-2</v>
      </c>
    </row>
    <row r="75" spans="2:11" ht="15">
      <c r="B75" s="70">
        <v>31</v>
      </c>
      <c r="C75" s="69" t="s">
        <v>28</v>
      </c>
      <c r="D75" s="70" t="s">
        <v>56</v>
      </c>
      <c r="E75" s="70" t="s">
        <v>59</v>
      </c>
      <c r="F75" s="72">
        <v>3.5242290748898682E-2</v>
      </c>
      <c r="G75" s="88">
        <v>0.18069099999999999</v>
      </c>
      <c r="H75" s="88">
        <v>0.10312</v>
      </c>
      <c r="I75" s="88">
        <v>0.28246100000000002</v>
      </c>
      <c r="J75" s="88">
        <f t="shared" si="3"/>
        <v>0.566272</v>
      </c>
      <c r="K75" s="93">
        <f t="shared" si="2"/>
        <v>1.9956722466960355E-2</v>
      </c>
    </row>
    <row r="76" spans="2:11" ht="15">
      <c r="B76" s="74">
        <v>32</v>
      </c>
      <c r="C76" s="73" t="s">
        <v>30</v>
      </c>
      <c r="D76" s="74" t="s">
        <v>119</v>
      </c>
      <c r="E76" s="74" t="s">
        <v>154</v>
      </c>
      <c r="F76" s="76">
        <v>0.97</v>
      </c>
      <c r="G76" s="89">
        <v>0.50836139999999996</v>
      </c>
      <c r="H76" s="89">
        <v>0.1616524</v>
      </c>
      <c r="I76" s="89">
        <v>0.16678393333333333</v>
      </c>
      <c r="J76" s="89">
        <f t="shared" si="3"/>
        <v>0.83679773333333329</v>
      </c>
      <c r="K76" s="94">
        <f t="shared" si="2"/>
        <v>0.81169380133333324</v>
      </c>
    </row>
    <row r="77" spans="2:11" ht="15">
      <c r="B77" s="78">
        <v>33</v>
      </c>
      <c r="C77" s="79" t="s">
        <v>30</v>
      </c>
      <c r="D77" s="78" t="s">
        <v>119</v>
      </c>
      <c r="E77" s="78" t="s">
        <v>50</v>
      </c>
      <c r="F77" s="80">
        <v>0.03</v>
      </c>
      <c r="G77" s="90">
        <v>4.8299000000000002E-2</v>
      </c>
      <c r="H77" s="90">
        <v>0.18532499999999999</v>
      </c>
      <c r="I77" s="90">
        <v>1.2090999999999999E-2</v>
      </c>
      <c r="J77" s="90">
        <f t="shared" si="3"/>
        <v>0.24571499999999999</v>
      </c>
      <c r="K77" s="95">
        <f t="shared" si="2"/>
        <v>7.371449999999999E-3</v>
      </c>
    </row>
    <row r="78" spans="2:11" ht="15">
      <c r="B78" s="70">
        <v>48</v>
      </c>
      <c r="C78" s="69" t="s">
        <v>32</v>
      </c>
      <c r="D78" s="70" t="s">
        <v>32</v>
      </c>
      <c r="E78" s="70" t="s">
        <v>45</v>
      </c>
      <c r="F78" s="72">
        <v>0.63829787234042556</v>
      </c>
      <c r="G78" s="88">
        <v>0.44561099999999998</v>
      </c>
      <c r="H78" s="88">
        <v>3.3017999999999999E-2</v>
      </c>
      <c r="I78" s="88">
        <v>0.130414</v>
      </c>
      <c r="J78" s="88">
        <f t="shared" si="3"/>
        <v>0.609043</v>
      </c>
      <c r="K78" s="93">
        <f t="shared" si="2"/>
        <v>0.38875085106382978</v>
      </c>
    </row>
    <row r="79" spans="2:11" ht="15">
      <c r="B79" s="70">
        <v>49</v>
      </c>
      <c r="C79" s="69" t="s">
        <v>32</v>
      </c>
      <c r="D79" s="70" t="s">
        <v>32</v>
      </c>
      <c r="E79" s="70" t="s">
        <v>57</v>
      </c>
      <c r="F79" s="72">
        <v>0.36170212765957449</v>
      </c>
      <c r="G79" s="88">
        <v>0.49074200000000001</v>
      </c>
      <c r="H79" s="88">
        <v>3.2978E-2</v>
      </c>
      <c r="I79" s="88">
        <v>0.399453</v>
      </c>
      <c r="J79" s="88">
        <f t="shared" si="3"/>
        <v>0.92317300000000002</v>
      </c>
      <c r="K79" s="93">
        <f t="shared" si="2"/>
        <v>0.33391363829787235</v>
      </c>
    </row>
    <row r="80" spans="2:11" ht="15">
      <c r="B80" s="74">
        <v>50</v>
      </c>
      <c r="C80" s="73" t="s">
        <v>31</v>
      </c>
      <c r="D80" s="74" t="s">
        <v>31</v>
      </c>
      <c r="E80" s="74" t="s">
        <v>70</v>
      </c>
      <c r="F80" s="76">
        <v>0.43478260869565222</v>
      </c>
      <c r="G80" s="89">
        <v>2.6889720000000001</v>
      </c>
      <c r="H80" s="89">
        <v>-0.18823500000000001</v>
      </c>
      <c r="I80" s="89">
        <v>3.2605000000000002E-2</v>
      </c>
      <c r="J80" s="89">
        <f t="shared" si="3"/>
        <v>2.5333420000000002</v>
      </c>
      <c r="K80" s="94">
        <f t="shared" si="2"/>
        <v>1.101453043478261</v>
      </c>
    </row>
    <row r="81" spans="2:11" ht="15">
      <c r="B81" s="74">
        <v>51</v>
      </c>
      <c r="C81" s="73" t="s">
        <v>31</v>
      </c>
      <c r="D81" s="74" t="s">
        <v>31</v>
      </c>
      <c r="E81" s="74" t="s">
        <v>66</v>
      </c>
      <c r="F81" s="76">
        <v>0.31521739130434784</v>
      </c>
      <c r="G81" s="89">
        <v>2.9543300000000001</v>
      </c>
      <c r="H81" s="89">
        <v>-0.33082</v>
      </c>
      <c r="I81" s="89">
        <v>4.8127999999999997E-2</v>
      </c>
      <c r="J81" s="89">
        <f t="shared" si="3"/>
        <v>2.6716380000000002</v>
      </c>
      <c r="K81" s="94">
        <f t="shared" si="2"/>
        <v>0.8421467608695653</v>
      </c>
    </row>
    <row r="82" spans="2:11" ht="15">
      <c r="B82" s="74">
        <v>52</v>
      </c>
      <c r="C82" s="73" t="s">
        <v>31</v>
      </c>
      <c r="D82" s="74" t="s">
        <v>31</v>
      </c>
      <c r="E82" s="74" t="s">
        <v>71</v>
      </c>
      <c r="F82" s="76">
        <v>0.25000000000000006</v>
      </c>
      <c r="G82" s="89">
        <v>2.6889720000000001</v>
      </c>
      <c r="H82" s="89">
        <v>-0.221641</v>
      </c>
      <c r="I82" s="89">
        <v>5.1152999999999997E-2</v>
      </c>
      <c r="J82" s="89">
        <f t="shared" si="3"/>
        <v>2.5184839999999999</v>
      </c>
      <c r="K82" s="94">
        <f t="shared" si="2"/>
        <v>0.6296210000000001</v>
      </c>
    </row>
    <row r="83" spans="2:11" ht="15">
      <c r="B83" s="70">
        <v>53</v>
      </c>
      <c r="C83" s="69" t="s">
        <v>125</v>
      </c>
      <c r="D83" s="70" t="s">
        <v>119</v>
      </c>
      <c r="E83" s="70" t="s">
        <v>154</v>
      </c>
      <c r="F83" s="72">
        <v>0.87</v>
      </c>
      <c r="G83" s="88">
        <v>0.23339199999999999</v>
      </c>
      <c r="H83" s="88">
        <v>0.10185740000000001</v>
      </c>
      <c r="I83" s="91">
        <v>7.4941599999999997E-2</v>
      </c>
      <c r="J83" s="88">
        <f t="shared" si="3"/>
        <v>0.41019100000000003</v>
      </c>
      <c r="K83" s="93">
        <f t="shared" si="2"/>
        <v>0.35686617000000004</v>
      </c>
    </row>
    <row r="84" spans="2:11" s="81" customFormat="1" ht="15">
      <c r="B84" s="82">
        <v>55</v>
      </c>
      <c r="C84" s="83" t="s">
        <v>125</v>
      </c>
      <c r="D84" s="82" t="s">
        <v>119</v>
      </c>
      <c r="E84" s="82" t="s">
        <v>50</v>
      </c>
      <c r="F84" s="84">
        <v>0.13</v>
      </c>
      <c r="G84" s="92">
        <v>0.41837200000000002</v>
      </c>
      <c r="H84" s="92">
        <v>0.10102999999999999</v>
      </c>
      <c r="I84" s="92">
        <v>3.0640000000000003E-3</v>
      </c>
      <c r="J84" s="92">
        <f t="shared" si="3"/>
        <v>0.52246599999999999</v>
      </c>
      <c r="K84" s="96">
        <f t="shared" si="2"/>
        <v>6.7920579999999994E-2</v>
      </c>
    </row>
    <row r="85" spans="2:11" ht="15">
      <c r="B85" s="74">
        <v>64</v>
      </c>
      <c r="C85" s="73" t="s">
        <v>26</v>
      </c>
      <c r="D85" s="74" t="s">
        <v>119</v>
      </c>
      <c r="E85" s="74" t="s">
        <v>154</v>
      </c>
      <c r="F85" s="76">
        <v>0.95</v>
      </c>
      <c r="G85" s="89">
        <v>3.0364174285714287</v>
      </c>
      <c r="H85" s="89">
        <v>0.69458014285714287</v>
      </c>
      <c r="I85" s="89">
        <v>1.8720051428571429</v>
      </c>
      <c r="J85" s="89">
        <f t="shared" si="3"/>
        <v>5.6030027142857142</v>
      </c>
      <c r="K85" s="94">
        <f t="shared" si="2"/>
        <v>5.3228525785714282</v>
      </c>
    </row>
    <row r="86" spans="2:11" s="81" customFormat="1" ht="15">
      <c r="B86" s="78">
        <v>72</v>
      </c>
      <c r="C86" s="79" t="s">
        <v>26</v>
      </c>
      <c r="D86" s="78" t="s">
        <v>119</v>
      </c>
      <c r="E86" s="78" t="s">
        <v>50</v>
      </c>
      <c r="F86" s="80">
        <v>0.05</v>
      </c>
      <c r="G86" s="90">
        <v>3.1400224999999997</v>
      </c>
      <c r="H86" s="90">
        <v>0.84133849999999999</v>
      </c>
      <c r="I86" s="90">
        <v>1.5105500000000001E-2</v>
      </c>
      <c r="J86" s="90">
        <f t="shared" ref="J86:J91" si="4">SUM(G86:I86)</f>
        <v>3.9964664999999999</v>
      </c>
      <c r="K86" s="95">
        <f t="shared" si="2"/>
        <v>0.199823325</v>
      </c>
    </row>
    <row r="87" spans="2:11" ht="15">
      <c r="B87" s="70">
        <v>73</v>
      </c>
      <c r="C87" s="69" t="s">
        <v>27</v>
      </c>
      <c r="D87" s="70" t="s">
        <v>119</v>
      </c>
      <c r="E87" s="70" t="s">
        <v>154</v>
      </c>
      <c r="F87" s="72">
        <v>0.98</v>
      </c>
      <c r="G87" s="88">
        <v>4.2625649156249992</v>
      </c>
      <c r="H87" s="88">
        <v>0.84579806062499996</v>
      </c>
      <c r="I87" s="88">
        <v>0.15519991187499996</v>
      </c>
      <c r="J87" s="88">
        <f t="shared" si="4"/>
        <v>5.2635628881249996</v>
      </c>
      <c r="K87" s="93">
        <f t="shared" si="2"/>
        <v>5.1582916303624993</v>
      </c>
    </row>
    <row r="88" spans="2:11" s="81" customFormat="1" ht="15">
      <c r="B88" s="82">
        <v>77</v>
      </c>
      <c r="C88" s="83" t="s">
        <v>27</v>
      </c>
      <c r="D88" s="82" t="s">
        <v>119</v>
      </c>
      <c r="E88" s="82" t="s">
        <v>50</v>
      </c>
      <c r="F88" s="84">
        <v>0.02</v>
      </c>
      <c r="G88" s="92">
        <v>4.5079172600000001</v>
      </c>
      <c r="H88" s="92">
        <v>0.61092601000000002</v>
      </c>
      <c r="I88" s="92">
        <v>1.9781150000000001E-2</v>
      </c>
      <c r="J88" s="92">
        <f t="shared" si="4"/>
        <v>5.1386244200000002</v>
      </c>
      <c r="K88" s="96">
        <f t="shared" si="2"/>
        <v>0.1027724884</v>
      </c>
    </row>
    <row r="89" spans="2:11">
      <c r="B89" s="146">
        <v>78</v>
      </c>
      <c r="C89" s="146" t="s">
        <v>155</v>
      </c>
      <c r="D89" s="146" t="s">
        <v>119</v>
      </c>
      <c r="E89" s="146" t="s">
        <v>50</v>
      </c>
      <c r="F89" s="147">
        <v>1</v>
      </c>
      <c r="G89" s="146">
        <v>1.9</v>
      </c>
      <c r="H89" s="146">
        <v>1.6</v>
      </c>
      <c r="I89" s="146">
        <v>0.02</v>
      </c>
      <c r="J89" s="90">
        <f t="shared" si="4"/>
        <v>3.52</v>
      </c>
      <c r="K89" s="95">
        <f t="shared" si="2"/>
        <v>3.52</v>
      </c>
    </row>
    <row r="90" spans="2:11">
      <c r="B90" s="144">
        <v>79</v>
      </c>
      <c r="C90" s="144" t="s">
        <v>156</v>
      </c>
      <c r="D90" s="144" t="s">
        <v>119</v>
      </c>
      <c r="E90" s="144" t="s">
        <v>50</v>
      </c>
      <c r="F90" s="145">
        <v>1</v>
      </c>
      <c r="G90" s="144">
        <v>7.5</v>
      </c>
      <c r="H90" s="144">
        <v>1.6</v>
      </c>
      <c r="I90" s="144">
        <v>0.02</v>
      </c>
      <c r="J90" s="92">
        <f t="shared" si="4"/>
        <v>9.1199999999999992</v>
      </c>
      <c r="K90" s="96">
        <f t="shared" si="2"/>
        <v>9.1199999999999992</v>
      </c>
    </row>
    <row r="91" spans="2:11">
      <c r="B91" s="146">
        <v>80</v>
      </c>
      <c r="C91" s="146" t="s">
        <v>157</v>
      </c>
      <c r="D91" s="146" t="s">
        <v>119</v>
      </c>
      <c r="E91" s="146" t="s">
        <v>50</v>
      </c>
      <c r="F91" s="147">
        <v>1</v>
      </c>
      <c r="G91" s="146">
        <v>7.0000000000000007E-2</v>
      </c>
      <c r="H91" s="146">
        <v>1.6</v>
      </c>
      <c r="I91" s="146">
        <v>3.0000000000000001E-3</v>
      </c>
      <c r="J91" s="90">
        <f t="shared" si="4"/>
        <v>1.673</v>
      </c>
      <c r="K91" s="95">
        <f t="shared" si="2"/>
        <v>1.673</v>
      </c>
    </row>
  </sheetData>
  <pageMargins left="0.7" right="0.7" top="0.75" bottom="0.75" header="0.3" footer="0.3"/>
  <pageSetup paperSize="9" orientation="portrait" horizontalDpi="0"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FA8DF-0310-49E0-BC87-27AD9A70291A}">
  <dimension ref="B1:K128"/>
  <sheetViews>
    <sheetView zoomScale="89" zoomScaleNormal="100" workbookViewId="0">
      <selection activeCell="G60" sqref="G60"/>
    </sheetView>
  </sheetViews>
  <sheetFormatPr defaultColWidth="8.7109375" defaultRowHeight="14.1"/>
  <cols>
    <col min="1" max="1" width="2.28515625" style="5" customWidth="1"/>
    <col min="2" max="2" width="28.85546875" style="5" customWidth="1"/>
    <col min="3" max="3" width="27.7109375" style="5" bestFit="1" customWidth="1"/>
    <col min="4" max="4" width="21" style="5" bestFit="1" customWidth="1"/>
    <col min="5" max="5" width="37.140625" style="5" bestFit="1" customWidth="1"/>
    <col min="6" max="6" width="30.7109375" style="5" customWidth="1"/>
    <col min="7" max="10" width="21.7109375" style="5" bestFit="1" customWidth="1"/>
    <col min="11" max="11" width="25.85546875" style="5" bestFit="1" customWidth="1"/>
    <col min="12" max="16384" width="8.7109375" style="5"/>
  </cols>
  <sheetData>
    <row r="1" spans="2:11">
      <c r="B1" s="22" t="s">
        <v>0</v>
      </c>
    </row>
    <row r="2" spans="2:11">
      <c r="B2" s="22"/>
      <c r="C2" s="21">
        <v>2018</v>
      </c>
      <c r="D2" s="21">
        <v>2030</v>
      </c>
      <c r="K2" s="39" t="s">
        <v>268</v>
      </c>
    </row>
    <row r="3" spans="2:11" ht="30">
      <c r="B3" s="33" t="s">
        <v>1</v>
      </c>
      <c r="C3" s="50">
        <v>932.87271739941821</v>
      </c>
      <c r="D3" s="99">
        <f>SUM(F23:F35)</f>
        <v>798.02437907010278</v>
      </c>
    </row>
    <row r="4" spans="2:11" ht="15">
      <c r="B4" s="33" t="s">
        <v>2</v>
      </c>
      <c r="C4" s="35">
        <v>365</v>
      </c>
      <c r="D4" s="29">
        <f>SUM(D23:D35)</f>
        <v>365</v>
      </c>
      <c r="E4" s="32"/>
    </row>
    <row r="7" spans="2:11">
      <c r="B7" s="22" t="s">
        <v>3</v>
      </c>
      <c r="E7" s="31"/>
      <c r="F7" s="34"/>
      <c r="G7" s="28"/>
    </row>
    <row r="8" spans="2:11">
      <c r="B8" s="22"/>
      <c r="E8" s="31"/>
      <c r="F8" s="34"/>
      <c r="G8" s="28"/>
    </row>
    <row r="9" spans="2:11">
      <c r="B9" s="16" t="s">
        <v>4</v>
      </c>
      <c r="C9" s="17">
        <v>2030</v>
      </c>
      <c r="D9" s="17" t="s">
        <v>269</v>
      </c>
      <c r="E9" s="31"/>
      <c r="F9" s="34"/>
      <c r="G9" s="28"/>
    </row>
    <row r="10" spans="2:11">
      <c r="B10" s="23" t="s">
        <v>6</v>
      </c>
      <c r="C10" s="98">
        <f>C23+C24+C25+C26+C27+C28+C29+C30</f>
        <v>0.24999999999999992</v>
      </c>
      <c r="D10" s="15">
        <v>0.25</v>
      </c>
      <c r="E10" s="31"/>
      <c r="F10" s="34"/>
      <c r="G10" s="28"/>
    </row>
    <row r="11" spans="2:11">
      <c r="B11" s="23" t="s">
        <v>7</v>
      </c>
      <c r="C11" s="98">
        <f>C34+C35</f>
        <v>0.25</v>
      </c>
      <c r="D11" s="15">
        <v>0.25</v>
      </c>
      <c r="E11" s="31"/>
      <c r="F11" s="34"/>
      <c r="G11" s="28"/>
    </row>
    <row r="12" spans="2:11">
      <c r="B12" s="23" t="s">
        <v>8</v>
      </c>
      <c r="C12" s="98">
        <f>C31+C32+C33</f>
        <v>0.5</v>
      </c>
      <c r="D12" s="15">
        <v>0.5</v>
      </c>
      <c r="E12" s="31"/>
      <c r="F12" s="34"/>
      <c r="G12" s="28"/>
    </row>
    <row r="13" spans="2:11">
      <c r="E13" s="31"/>
      <c r="F13" s="34"/>
      <c r="G13" s="28"/>
    </row>
    <row r="14" spans="2:11">
      <c r="B14" s="16" t="s">
        <v>132</v>
      </c>
      <c r="C14" s="17">
        <v>2018</v>
      </c>
      <c r="D14" s="17" t="s">
        <v>270</v>
      </c>
      <c r="E14" s="31"/>
      <c r="F14" s="34"/>
      <c r="G14" s="28"/>
    </row>
    <row r="15" spans="2:11">
      <c r="B15" s="18" t="s">
        <v>133</v>
      </c>
      <c r="C15" s="87">
        <f>((F61*D28)+(F77*D33)+(F94*D32)+(F96*D32)+(F99*D32)+(F100*D32)+(F101*D32)+(F102*D32)+(F110*D29)+(F111*D29)+(F116*D30))/D4</f>
        <v>5.7292496677672819E-2</v>
      </c>
      <c r="D15" s="19">
        <v>0.3</v>
      </c>
      <c r="E15" s="31"/>
      <c r="F15" s="34"/>
      <c r="G15" s="86"/>
    </row>
    <row r="16" spans="2:11">
      <c r="B16" s="18" t="s">
        <v>134</v>
      </c>
      <c r="C16" s="87">
        <f>((F40+F41+F42)*D26 + (F43+F44)*D27 +(F45+F46)*D24 + (F47+F48+F49+F50+F51+F52+F53)*D25 + (F54+F55+F56+F57+F58+F59)*D23 + (F60*D28) + (F62+F63+F64+F65+F66+F67+F68+F69+F70)*D31 + (F71+F72+F73+F74+F75+F76+F78+F79+F80+F81+F82+F83+F84+F85+F86)*D33 + (F87+F88)*D35 + (F89+F90+F91)*D34 + (F92+F93+F95+F97+F98)*D32 + (F103+F104+F105+F106+F107+F108+F109)*D29 + (F112+F113+F114+F115+F117+F118+F119+F120+F121+F122+F123+F124+F125+F126+F127+F128)*D30)/365</f>
        <v>0.942707503322327</v>
      </c>
      <c r="D16" s="19">
        <v>0.7</v>
      </c>
      <c r="E16" s="31"/>
      <c r="F16" s="34"/>
      <c r="G16" s="28"/>
    </row>
    <row r="17" spans="2:10">
      <c r="B17" s="22"/>
      <c r="E17" s="31"/>
      <c r="F17" s="34"/>
      <c r="G17" s="28"/>
    </row>
    <row r="18" spans="2:10">
      <c r="B18" s="36"/>
      <c r="C18" s="37"/>
      <c r="G18" s="38"/>
    </row>
    <row r="19" spans="2:10">
      <c r="B19" s="22" t="s">
        <v>13</v>
      </c>
      <c r="C19" s="37"/>
      <c r="G19" s="38"/>
      <c r="H19" s="22" t="s">
        <v>131</v>
      </c>
    </row>
    <row r="20" spans="2:10">
      <c r="B20" s="36"/>
      <c r="C20" s="37"/>
      <c r="G20" s="38"/>
    </row>
    <row r="21" spans="2:10">
      <c r="B21" s="39" t="s">
        <v>14</v>
      </c>
      <c r="H21" s="39" t="s">
        <v>14</v>
      </c>
    </row>
    <row r="22" spans="2:10" ht="30">
      <c r="B22" s="21" t="s">
        <v>15</v>
      </c>
      <c r="C22" s="101" t="s">
        <v>16</v>
      </c>
      <c r="D22" s="26" t="s">
        <v>17</v>
      </c>
      <c r="E22" s="26" t="s">
        <v>18</v>
      </c>
      <c r="F22" s="26" t="s">
        <v>19</v>
      </c>
      <c r="H22" s="21" t="s">
        <v>15</v>
      </c>
      <c r="I22" s="26" t="s">
        <v>143</v>
      </c>
      <c r="J22" s="26" t="s">
        <v>144</v>
      </c>
    </row>
    <row r="23" spans="2:10" ht="15">
      <c r="B23" s="20" t="s">
        <v>20</v>
      </c>
      <c r="C23" s="27">
        <v>6.5753424657534242E-3</v>
      </c>
      <c r="D23" s="24">
        <f>C23*$C$4</f>
        <v>2.4</v>
      </c>
      <c r="E23" s="49">
        <f>SUM(K54:K59)</f>
        <v>24.291314857142858</v>
      </c>
      <c r="F23" s="49">
        <f>D23*E23</f>
        <v>58.299155657142855</v>
      </c>
      <c r="H23" s="20" t="s">
        <v>20</v>
      </c>
      <c r="I23" s="27">
        <v>6.5753424657534242E-3</v>
      </c>
      <c r="J23" s="97">
        <f>SUM(F54:F59)</f>
        <v>1</v>
      </c>
    </row>
    <row r="24" spans="2:10" ht="15">
      <c r="B24" s="20" t="s">
        <v>21</v>
      </c>
      <c r="C24" s="27">
        <v>4.383561643835617E-3</v>
      </c>
      <c r="D24" s="24">
        <f t="shared" ref="D24:D35" si="0">C24*$C$4</f>
        <v>1.6000000000000003</v>
      </c>
      <c r="E24" s="49">
        <f>SUM(K45:K46)</f>
        <v>16.406103899999998</v>
      </c>
      <c r="F24" s="49">
        <f t="shared" ref="F24:F35" si="1">D24*E24</f>
        <v>26.249766240000003</v>
      </c>
      <c r="H24" s="20" t="s">
        <v>21</v>
      </c>
      <c r="I24" s="27">
        <v>4.383561643835617E-3</v>
      </c>
      <c r="J24" s="97">
        <f>SUM(F45:F46)</f>
        <v>1</v>
      </c>
    </row>
    <row r="25" spans="2:10" ht="15">
      <c r="B25" s="20" t="s">
        <v>22</v>
      </c>
      <c r="C25" s="27">
        <v>4.8219178082191783E-2</v>
      </c>
      <c r="D25" s="24">
        <f t="shared" si="0"/>
        <v>17.600000000000001</v>
      </c>
      <c r="E25" s="49">
        <f>SUM(K47:K53)</f>
        <v>11.945393876296295</v>
      </c>
      <c r="F25" s="49">
        <f t="shared" si="1"/>
        <v>210.23893222281481</v>
      </c>
      <c r="H25" s="20" t="s">
        <v>22</v>
      </c>
      <c r="I25" s="27">
        <v>4.8219178082191783E-2</v>
      </c>
      <c r="J25" s="97">
        <f>SUM(F47:F53)</f>
        <v>0.99999999999999989</v>
      </c>
    </row>
    <row r="26" spans="2:10" ht="15">
      <c r="B26" s="20" t="s">
        <v>23</v>
      </c>
      <c r="C26" s="27">
        <v>7.452054794520549E-2</v>
      </c>
      <c r="D26" s="24">
        <f t="shared" si="0"/>
        <v>27.200000000000003</v>
      </c>
      <c r="E26" s="49">
        <f>SUM(K40:K42)</f>
        <v>3.5247584216867471</v>
      </c>
      <c r="F26" s="49">
        <f t="shared" si="1"/>
        <v>95.873429069879535</v>
      </c>
      <c r="H26" s="20" t="s">
        <v>23</v>
      </c>
      <c r="I26" s="27">
        <v>7.452054794520549E-2</v>
      </c>
      <c r="J26" s="97">
        <f>SUM(F40:F42)</f>
        <v>1</v>
      </c>
    </row>
    <row r="27" spans="2:10" ht="15">
      <c r="B27" s="20" t="s">
        <v>24</v>
      </c>
      <c r="C27" s="27">
        <v>4.383561643835617E-3</v>
      </c>
      <c r="D27" s="24">
        <f t="shared" si="0"/>
        <v>1.6000000000000003</v>
      </c>
      <c r="E27" s="49">
        <f>SUM(K43:K44)</f>
        <v>4.2112411489361712</v>
      </c>
      <c r="F27" s="49">
        <f t="shared" si="1"/>
        <v>6.7379858382978748</v>
      </c>
      <c r="H27" s="20" t="s">
        <v>24</v>
      </c>
      <c r="I27" s="27">
        <v>4.383561643835617E-3</v>
      </c>
      <c r="J27" s="97">
        <f>SUM(F43:F44)</f>
        <v>1</v>
      </c>
    </row>
    <row r="28" spans="2:10" ht="15">
      <c r="B28" s="20" t="s">
        <v>25</v>
      </c>
      <c r="C28" s="27">
        <v>6.589041095890405E-2</v>
      </c>
      <c r="D28" s="24">
        <f t="shared" si="0"/>
        <v>24.049999999999979</v>
      </c>
      <c r="E28" s="49">
        <f>SUM(K60:K61)</f>
        <v>3.0794528699999999</v>
      </c>
      <c r="F28" s="49">
        <f t="shared" si="1"/>
        <v>74.060841523499931</v>
      </c>
      <c r="H28" s="20" t="s">
        <v>25</v>
      </c>
      <c r="I28" s="27">
        <v>4.8219178082191783E-2</v>
      </c>
      <c r="J28" s="97">
        <f>SUM(F60:F61)</f>
        <v>1</v>
      </c>
    </row>
    <row r="29" spans="2:10" ht="15">
      <c r="B29" s="20" t="s">
        <v>26</v>
      </c>
      <c r="C29" s="27">
        <v>3.287671232876712E-2</v>
      </c>
      <c r="D29" s="24">
        <f t="shared" si="0"/>
        <v>11.999999999999998</v>
      </c>
      <c r="E29" s="49">
        <f>SUM(K103:K111)</f>
        <v>6.1723669333333318</v>
      </c>
      <c r="F29" s="49">
        <f t="shared" si="1"/>
        <v>74.068403199999963</v>
      </c>
      <c r="H29" s="20" t="s">
        <v>26</v>
      </c>
      <c r="I29" s="27">
        <v>3.287671232876712E-2</v>
      </c>
      <c r="J29" s="97">
        <f>SUM(F103:F111)</f>
        <v>1</v>
      </c>
    </row>
    <row r="30" spans="2:10" ht="15">
      <c r="B30" s="20" t="s">
        <v>27</v>
      </c>
      <c r="C30" s="27">
        <v>1.3150684931506848E-2</v>
      </c>
      <c r="D30" s="24">
        <f t="shared" si="0"/>
        <v>4.8</v>
      </c>
      <c r="E30" s="49">
        <f>SUM(K112:K128)</f>
        <v>5.3627784367469866</v>
      </c>
      <c r="F30" s="49">
        <f t="shared" si="1"/>
        <v>25.741336496385536</v>
      </c>
      <c r="H30" s="20" t="s">
        <v>27</v>
      </c>
      <c r="I30" s="27">
        <v>1.3150684931506848E-2</v>
      </c>
      <c r="J30" s="97">
        <f>SUM(F112:F128)</f>
        <v>0.99999999999999989</v>
      </c>
    </row>
    <row r="31" spans="2:10" ht="15">
      <c r="B31" s="20" t="s">
        <v>28</v>
      </c>
      <c r="C31" s="27">
        <v>0.15780821917808219</v>
      </c>
      <c r="D31" s="24">
        <f t="shared" si="0"/>
        <v>57.6</v>
      </c>
      <c r="E31" s="49">
        <f>SUM(K62:K70)</f>
        <v>0.4049254074889867</v>
      </c>
      <c r="F31" s="49">
        <f t="shared" si="1"/>
        <v>23.323703471365633</v>
      </c>
      <c r="H31" s="20" t="s">
        <v>28</v>
      </c>
      <c r="I31" s="27">
        <v>0.15780821917808219</v>
      </c>
      <c r="J31" s="97">
        <f>SUM(F62:F70)</f>
        <v>1</v>
      </c>
    </row>
    <row r="32" spans="2:10" ht="15">
      <c r="B32" s="20" t="s">
        <v>29</v>
      </c>
      <c r="C32" s="27">
        <v>0.16684931506849315</v>
      </c>
      <c r="D32" s="24">
        <f t="shared" si="0"/>
        <v>60.9</v>
      </c>
      <c r="E32" s="49">
        <f>SUM(K92:K102)</f>
        <v>0.38525102516309423</v>
      </c>
      <c r="F32" s="49">
        <f t="shared" si="1"/>
        <v>23.461787432432438</v>
      </c>
      <c r="H32" s="20" t="s">
        <v>29</v>
      </c>
      <c r="I32" s="27">
        <v>3.5068493150684936E-2</v>
      </c>
      <c r="J32" s="97">
        <f>SUM(F92:F102)</f>
        <v>1.0000000000000002</v>
      </c>
    </row>
    <row r="33" spans="2:11" ht="15">
      <c r="B33" s="20" t="s">
        <v>30</v>
      </c>
      <c r="C33" s="27">
        <v>0.17534246575342466</v>
      </c>
      <c r="D33" s="24">
        <f t="shared" si="0"/>
        <v>64</v>
      </c>
      <c r="E33" s="49">
        <f>SUM(K71:K86)</f>
        <v>0.74071681132075473</v>
      </c>
      <c r="F33" s="49">
        <f t="shared" si="1"/>
        <v>47.405875924528303</v>
      </c>
      <c r="H33" s="20" t="s">
        <v>30</v>
      </c>
      <c r="I33" s="27">
        <v>0.17534246575342466</v>
      </c>
      <c r="J33" s="97">
        <f>SUM(F71:F86)</f>
        <v>0.99999999999999989</v>
      </c>
    </row>
    <row r="34" spans="2:11" ht="15">
      <c r="B34" s="20" t="s">
        <v>31</v>
      </c>
      <c r="C34" s="27">
        <v>9.8630136986301367E-2</v>
      </c>
      <c r="D34" s="24">
        <f t="shared" si="0"/>
        <v>36</v>
      </c>
      <c r="E34" s="49">
        <f>SUM(K89:K91)</f>
        <v>2.5732208043478266</v>
      </c>
      <c r="F34" s="49">
        <f t="shared" si="1"/>
        <v>92.635948956521759</v>
      </c>
      <c r="H34" s="20" t="s">
        <v>31</v>
      </c>
      <c r="I34" s="27">
        <v>9.8630136986301367E-2</v>
      </c>
      <c r="J34" s="97">
        <f>SUM(F89:F91)</f>
        <v>1</v>
      </c>
    </row>
    <row r="35" spans="2:11" ht="15">
      <c r="B35" s="20" t="s">
        <v>32</v>
      </c>
      <c r="C35" s="27">
        <v>0.15136986301369865</v>
      </c>
      <c r="D35" s="24">
        <f t="shared" si="0"/>
        <v>55.250000000000007</v>
      </c>
      <c r="E35" s="49">
        <f>SUM(K87:K88)</f>
        <v>0.72266448936170213</v>
      </c>
      <c r="F35" s="49">
        <f t="shared" si="1"/>
        <v>39.927213037234047</v>
      </c>
      <c r="H35" s="20" t="s">
        <v>32</v>
      </c>
      <c r="I35" s="27">
        <v>0.1008219178082192</v>
      </c>
      <c r="J35" s="97">
        <f>SUM(F87:F88)</f>
        <v>1</v>
      </c>
    </row>
    <row r="36" spans="2:11" s="14" customFormat="1"/>
    <row r="37" spans="2:11">
      <c r="C37" s="77"/>
      <c r="D37" s="25"/>
    </row>
    <row r="38" spans="2:11">
      <c r="B38" s="22" t="s">
        <v>147</v>
      </c>
      <c r="G38" s="25"/>
    </row>
    <row r="39" spans="2:11" ht="30">
      <c r="B39" s="68" t="s">
        <v>33</v>
      </c>
      <c r="C39" s="68" t="s">
        <v>15</v>
      </c>
      <c r="D39" s="68" t="s">
        <v>34</v>
      </c>
      <c r="E39" s="68" t="s">
        <v>35</v>
      </c>
      <c r="F39" s="67" t="s">
        <v>148</v>
      </c>
      <c r="G39" s="67" t="s">
        <v>149</v>
      </c>
      <c r="H39" s="67" t="s">
        <v>150</v>
      </c>
      <c r="I39" s="67" t="s">
        <v>151</v>
      </c>
      <c r="J39" s="67" t="s">
        <v>152</v>
      </c>
      <c r="K39" s="67" t="s">
        <v>153</v>
      </c>
    </row>
    <row r="40" spans="2:11" ht="15">
      <c r="B40" s="70">
        <v>1</v>
      </c>
      <c r="C40" s="69" t="s">
        <v>23</v>
      </c>
      <c r="D40" s="70" t="s">
        <v>40</v>
      </c>
      <c r="E40" s="69" t="s">
        <v>41</v>
      </c>
      <c r="F40" s="71">
        <v>0.4337349397590361</v>
      </c>
      <c r="G40" s="88">
        <v>2.995031</v>
      </c>
      <c r="H40" s="88">
        <v>0.38144</v>
      </c>
      <c r="I40" s="88">
        <v>3.8969999999999999E-3</v>
      </c>
      <c r="J40" s="88">
        <f>SUM(G40:I40)</f>
        <v>3.3803679999999998</v>
      </c>
      <c r="K40" s="93">
        <f>F40*J40</f>
        <v>1.4661837108433733</v>
      </c>
    </row>
    <row r="41" spans="2:11" ht="15">
      <c r="B41" s="70">
        <v>2</v>
      </c>
      <c r="C41" s="69" t="s">
        <v>23</v>
      </c>
      <c r="D41" s="70" t="s">
        <v>42</v>
      </c>
      <c r="E41" s="70" t="s">
        <v>41</v>
      </c>
      <c r="F41" s="72">
        <v>1.2048192771084336E-2</v>
      </c>
      <c r="G41" s="88">
        <v>2.9989279999999998</v>
      </c>
      <c r="H41" s="88">
        <v>0.76137900000000003</v>
      </c>
      <c r="I41" s="88">
        <v>2.7139999999999998E-3</v>
      </c>
      <c r="J41" s="88">
        <f t="shared" ref="J41:J104" si="2">SUM(G41:I41)</f>
        <v>3.7630210000000002</v>
      </c>
      <c r="K41" s="93">
        <f t="shared" ref="K41:K104" si="3">F41*J41</f>
        <v>4.533760240963855E-2</v>
      </c>
    </row>
    <row r="42" spans="2:11" ht="15">
      <c r="B42" s="70">
        <v>3</v>
      </c>
      <c r="C42" s="69" t="s">
        <v>23</v>
      </c>
      <c r="D42" s="70" t="s">
        <v>42</v>
      </c>
      <c r="E42" s="70" t="s">
        <v>43</v>
      </c>
      <c r="F42" s="72">
        <v>0.55421686746987953</v>
      </c>
      <c r="G42" s="88">
        <v>2.5277020000000001</v>
      </c>
      <c r="H42" s="88">
        <v>0.68049199999999999</v>
      </c>
      <c r="I42" s="88">
        <v>0.42438599999999999</v>
      </c>
      <c r="J42" s="88">
        <f t="shared" si="2"/>
        <v>3.6325800000000004</v>
      </c>
      <c r="K42" s="93">
        <f t="shared" si="3"/>
        <v>2.013237108433735</v>
      </c>
    </row>
    <row r="43" spans="2:11" ht="15">
      <c r="B43" s="74">
        <v>4</v>
      </c>
      <c r="C43" s="73" t="s">
        <v>24</v>
      </c>
      <c r="D43" s="74" t="s">
        <v>40</v>
      </c>
      <c r="E43" s="73" t="s">
        <v>41</v>
      </c>
      <c r="F43" s="75">
        <v>0.36170212765957449</v>
      </c>
      <c r="G43" s="89">
        <v>3.812459</v>
      </c>
      <c r="H43" s="89">
        <v>0.32567699999999999</v>
      </c>
      <c r="I43" s="89">
        <v>4.0559999999999997E-3</v>
      </c>
      <c r="J43" s="89">
        <f t="shared" si="2"/>
        <v>4.1421920000000005</v>
      </c>
      <c r="K43" s="94">
        <f t="shared" si="3"/>
        <v>1.4982396595744685</v>
      </c>
    </row>
    <row r="44" spans="2:11" ht="15">
      <c r="B44" s="74">
        <v>5</v>
      </c>
      <c r="C44" s="73" t="s">
        <v>24</v>
      </c>
      <c r="D44" s="74" t="s">
        <v>42</v>
      </c>
      <c r="E44" s="73" t="s">
        <v>41</v>
      </c>
      <c r="F44" s="75">
        <v>0.63829787234042556</v>
      </c>
      <c r="G44" s="89">
        <v>3.812459</v>
      </c>
      <c r="H44" s="89">
        <v>0.43385400000000002</v>
      </c>
      <c r="I44" s="89">
        <v>4.0559999999999997E-3</v>
      </c>
      <c r="J44" s="89">
        <f t="shared" si="2"/>
        <v>4.2503690000000001</v>
      </c>
      <c r="K44" s="94">
        <f t="shared" si="3"/>
        <v>2.7130014893617025</v>
      </c>
    </row>
    <row r="45" spans="2:11" ht="15">
      <c r="B45" s="70">
        <v>6</v>
      </c>
      <c r="C45" s="69" t="s">
        <v>21</v>
      </c>
      <c r="D45" s="70" t="s">
        <v>44</v>
      </c>
      <c r="E45" s="70" t="s">
        <v>45</v>
      </c>
      <c r="F45" s="72">
        <v>0.3</v>
      </c>
      <c r="G45" s="88">
        <v>13.19894</v>
      </c>
      <c r="H45" s="88">
        <v>0.90092099999999997</v>
      </c>
      <c r="I45" s="88">
        <v>7.1202430000000003</v>
      </c>
      <c r="J45" s="88">
        <f t="shared" si="2"/>
        <v>21.220103999999999</v>
      </c>
      <c r="K45" s="93">
        <f t="shared" si="3"/>
        <v>6.3660311999999992</v>
      </c>
    </row>
    <row r="46" spans="2:11" ht="15">
      <c r="B46" s="70">
        <v>7</v>
      </c>
      <c r="C46" s="69" t="s">
        <v>21</v>
      </c>
      <c r="D46" s="70" t="s">
        <v>42</v>
      </c>
      <c r="E46" s="70" t="s">
        <v>45</v>
      </c>
      <c r="F46" s="72">
        <v>0.7</v>
      </c>
      <c r="G46" s="88">
        <v>13.19894</v>
      </c>
      <c r="H46" s="88">
        <v>0.96768900000000002</v>
      </c>
      <c r="I46" s="88">
        <v>0.17633199999999999</v>
      </c>
      <c r="J46" s="88">
        <f t="shared" si="2"/>
        <v>14.342961000000001</v>
      </c>
      <c r="K46" s="93">
        <f t="shared" si="3"/>
        <v>10.0400727</v>
      </c>
    </row>
    <row r="47" spans="2:11" ht="15">
      <c r="B47" s="74">
        <v>8</v>
      </c>
      <c r="C47" s="73" t="s">
        <v>22</v>
      </c>
      <c r="D47" s="74" t="s">
        <v>40</v>
      </c>
      <c r="E47" s="73" t="s">
        <v>46</v>
      </c>
      <c r="F47" s="75">
        <v>0.20987654320987653</v>
      </c>
      <c r="G47" s="89">
        <v>7.22039819</v>
      </c>
      <c r="H47" s="89">
        <v>1.7484542000000001</v>
      </c>
      <c r="I47" s="89">
        <v>4.0494910000000002E-2</v>
      </c>
      <c r="J47" s="89">
        <f t="shared" si="2"/>
        <v>9.0093472999999999</v>
      </c>
      <c r="K47" s="94">
        <f t="shared" si="3"/>
        <v>1.8908506679012345</v>
      </c>
    </row>
    <row r="48" spans="2:11" ht="15">
      <c r="B48" s="74">
        <v>9</v>
      </c>
      <c r="C48" s="73" t="s">
        <v>22</v>
      </c>
      <c r="D48" s="74" t="s">
        <v>44</v>
      </c>
      <c r="E48" s="74" t="s">
        <v>43</v>
      </c>
      <c r="F48" s="76">
        <v>0.12345679012345678</v>
      </c>
      <c r="G48" s="89">
        <v>7.2956225999999997</v>
      </c>
      <c r="H48" s="89">
        <v>0.81951735000000003</v>
      </c>
      <c r="I48" s="89">
        <v>18.8588928</v>
      </c>
      <c r="J48" s="89">
        <f t="shared" si="2"/>
        <v>26.974032749999999</v>
      </c>
      <c r="K48" s="94">
        <f t="shared" si="3"/>
        <v>3.3301274999999997</v>
      </c>
    </row>
    <row r="49" spans="2:11" ht="15">
      <c r="B49" s="74">
        <v>10</v>
      </c>
      <c r="C49" s="73" t="s">
        <v>22</v>
      </c>
      <c r="D49" s="74" t="s">
        <v>44</v>
      </c>
      <c r="E49" s="74" t="s">
        <v>45</v>
      </c>
      <c r="F49" s="76">
        <v>4.9382716049382713E-2</v>
      </c>
      <c r="G49" s="89">
        <v>7.1395445799999999</v>
      </c>
      <c r="H49" s="89">
        <v>4.0700936900000002</v>
      </c>
      <c r="I49" s="89">
        <v>7.1202434300000004</v>
      </c>
      <c r="J49" s="89">
        <f t="shared" si="2"/>
        <v>18.329881700000001</v>
      </c>
      <c r="K49" s="94">
        <f t="shared" si="3"/>
        <v>0.90517934320987659</v>
      </c>
    </row>
    <row r="50" spans="2:11" ht="15">
      <c r="B50" s="74">
        <v>11</v>
      </c>
      <c r="C50" s="73" t="s">
        <v>22</v>
      </c>
      <c r="D50" s="74" t="s">
        <v>42</v>
      </c>
      <c r="E50" s="74" t="s">
        <v>43</v>
      </c>
      <c r="F50" s="76">
        <v>0.29629629629629628</v>
      </c>
      <c r="G50" s="89">
        <v>7.2956225999999997</v>
      </c>
      <c r="H50" s="89">
        <v>0.84836555000000002</v>
      </c>
      <c r="I50" s="89">
        <v>0.42201559999999999</v>
      </c>
      <c r="J50" s="89">
        <f t="shared" si="2"/>
        <v>8.5660037500000001</v>
      </c>
      <c r="K50" s="94">
        <f t="shared" si="3"/>
        <v>2.538075185185185</v>
      </c>
    </row>
    <row r="51" spans="2:11" ht="15">
      <c r="B51" s="74">
        <v>12</v>
      </c>
      <c r="C51" s="73" t="s">
        <v>22</v>
      </c>
      <c r="D51" s="74" t="s">
        <v>42</v>
      </c>
      <c r="E51" s="74" t="s">
        <v>45</v>
      </c>
      <c r="F51" s="76">
        <v>9.8765432098765427E-2</v>
      </c>
      <c r="G51" s="89">
        <v>7.1395445799999999</v>
      </c>
      <c r="H51" s="89">
        <v>4.1668280099999997</v>
      </c>
      <c r="I51" s="89">
        <v>0.17633204</v>
      </c>
      <c r="J51" s="89">
        <f t="shared" si="2"/>
        <v>11.482704629999999</v>
      </c>
      <c r="K51" s="94">
        <f t="shared" si="3"/>
        <v>1.1340942844444444</v>
      </c>
    </row>
    <row r="52" spans="2:11" ht="15">
      <c r="B52" s="74">
        <v>13</v>
      </c>
      <c r="C52" s="73" t="s">
        <v>22</v>
      </c>
      <c r="D52" s="74" t="s">
        <v>42</v>
      </c>
      <c r="E52" s="74" t="s">
        <v>47</v>
      </c>
      <c r="F52" s="76">
        <v>0.14814814814814814</v>
      </c>
      <c r="G52" s="89">
        <v>7.0857764300000001</v>
      </c>
      <c r="H52" s="89">
        <v>2.3632220799999999</v>
      </c>
      <c r="I52" s="89">
        <v>0.36202464000000001</v>
      </c>
      <c r="J52" s="89">
        <f t="shared" si="2"/>
        <v>9.8110231499999987</v>
      </c>
      <c r="K52" s="94">
        <f t="shared" si="3"/>
        <v>1.4534849111111108</v>
      </c>
    </row>
    <row r="53" spans="2:11" ht="15">
      <c r="B53" s="74">
        <v>14</v>
      </c>
      <c r="C53" s="73" t="s">
        <v>22</v>
      </c>
      <c r="D53" s="74" t="s">
        <v>42</v>
      </c>
      <c r="E53" s="74" t="s">
        <v>48</v>
      </c>
      <c r="F53" s="76">
        <v>7.407407407407407E-2</v>
      </c>
      <c r="G53" s="89">
        <v>7.2956225999999997</v>
      </c>
      <c r="H53" s="89">
        <v>1.77765705</v>
      </c>
      <c r="I53" s="89">
        <v>0.29007714000000001</v>
      </c>
      <c r="J53" s="89">
        <f t="shared" si="2"/>
        <v>9.3633567899999992</v>
      </c>
      <c r="K53" s="94">
        <f t="shared" si="3"/>
        <v>0.6935819844444443</v>
      </c>
    </row>
    <row r="54" spans="2:11" ht="15">
      <c r="B54" s="70">
        <v>15</v>
      </c>
      <c r="C54" s="69" t="s">
        <v>20</v>
      </c>
      <c r="D54" s="70" t="s">
        <v>44</v>
      </c>
      <c r="E54" s="70" t="s">
        <v>43</v>
      </c>
      <c r="F54" s="72">
        <v>0.17582417582417581</v>
      </c>
      <c r="G54" s="88">
        <v>18.833870000000001</v>
      </c>
      <c r="H54" s="88">
        <v>0.69446600000000003</v>
      </c>
      <c r="I54" s="88">
        <v>18.858889999999999</v>
      </c>
      <c r="J54" s="88">
        <f t="shared" si="2"/>
        <v>38.387225999999998</v>
      </c>
      <c r="K54" s="93">
        <f t="shared" si="3"/>
        <v>6.7494023736263724</v>
      </c>
    </row>
    <row r="55" spans="2:11" ht="15">
      <c r="B55" s="70">
        <v>16</v>
      </c>
      <c r="C55" s="69" t="s">
        <v>20</v>
      </c>
      <c r="D55" s="70" t="s">
        <v>44</v>
      </c>
      <c r="E55" s="70" t="s">
        <v>45</v>
      </c>
      <c r="F55" s="72">
        <v>8.7912087912087905E-2</v>
      </c>
      <c r="G55" s="88">
        <v>18.857240000000001</v>
      </c>
      <c r="H55" s="88">
        <v>1.5193319999999999</v>
      </c>
      <c r="I55" s="88">
        <v>7.1202430000000003</v>
      </c>
      <c r="J55" s="88">
        <f t="shared" si="2"/>
        <v>27.496814999999998</v>
      </c>
      <c r="K55" s="93">
        <f t="shared" si="3"/>
        <v>2.4173024175824174</v>
      </c>
    </row>
    <row r="56" spans="2:11" ht="15">
      <c r="B56" s="70">
        <v>17</v>
      </c>
      <c r="C56" s="69" t="s">
        <v>20</v>
      </c>
      <c r="D56" s="70" t="s">
        <v>44</v>
      </c>
      <c r="E56" s="70" t="s">
        <v>49</v>
      </c>
      <c r="F56" s="72">
        <v>3.2967032967032968E-2</v>
      </c>
      <c r="G56" s="88">
        <v>18.760680000000001</v>
      </c>
      <c r="H56" s="88">
        <v>0.63292700000000002</v>
      </c>
      <c r="I56" s="88">
        <v>9.8971769999999992</v>
      </c>
      <c r="J56" s="88">
        <f t="shared" si="2"/>
        <v>29.290783999999999</v>
      </c>
      <c r="K56" s="93">
        <f t="shared" si="3"/>
        <v>0.96563024175824175</v>
      </c>
    </row>
    <row r="57" spans="2:11" ht="15">
      <c r="B57" s="70">
        <v>18</v>
      </c>
      <c r="C57" s="69" t="s">
        <v>20</v>
      </c>
      <c r="D57" s="70" t="s">
        <v>42</v>
      </c>
      <c r="E57" s="70" t="s">
        <v>43</v>
      </c>
      <c r="F57" s="72">
        <v>0.39560439560439559</v>
      </c>
      <c r="G57" s="88">
        <v>18.833870000000001</v>
      </c>
      <c r="H57" s="88">
        <v>0.714009</v>
      </c>
      <c r="I57" s="88">
        <v>0.422016</v>
      </c>
      <c r="J57" s="88">
        <f t="shared" si="2"/>
        <v>19.969895000000001</v>
      </c>
      <c r="K57" s="93">
        <f t="shared" si="3"/>
        <v>7.9001782417582422</v>
      </c>
    </row>
    <row r="58" spans="2:11" ht="15">
      <c r="B58" s="70">
        <v>19</v>
      </c>
      <c r="C58" s="69" t="s">
        <v>20</v>
      </c>
      <c r="D58" s="70" t="s">
        <v>42</v>
      </c>
      <c r="E58" s="70" t="s">
        <v>45</v>
      </c>
      <c r="F58" s="72">
        <v>0.21978021978021978</v>
      </c>
      <c r="G58" s="88">
        <v>18.857240000000001</v>
      </c>
      <c r="H58" s="88">
        <v>1.5861000000000001</v>
      </c>
      <c r="I58" s="88">
        <v>0.17633199999999999</v>
      </c>
      <c r="J58" s="88">
        <f t="shared" si="2"/>
        <v>20.619671999999998</v>
      </c>
      <c r="K58" s="93">
        <f t="shared" si="3"/>
        <v>4.5317960439560432</v>
      </c>
    </row>
    <row r="59" spans="2:11" ht="15">
      <c r="B59" s="70">
        <v>20</v>
      </c>
      <c r="C59" s="69" t="s">
        <v>20</v>
      </c>
      <c r="D59" s="70" t="s">
        <v>42</v>
      </c>
      <c r="E59" s="70" t="s">
        <v>49</v>
      </c>
      <c r="F59" s="72">
        <v>8.7912087912087905E-2</v>
      </c>
      <c r="G59" s="88">
        <v>18.760680000000001</v>
      </c>
      <c r="H59" s="88">
        <v>0.64853400000000005</v>
      </c>
      <c r="I59" s="88">
        <v>0.23547399999999999</v>
      </c>
      <c r="J59" s="88">
        <f t="shared" si="2"/>
        <v>19.644688000000002</v>
      </c>
      <c r="K59" s="93">
        <f t="shared" si="3"/>
        <v>1.7270055384615386</v>
      </c>
    </row>
    <row r="60" spans="2:11" ht="15">
      <c r="B60" s="74">
        <v>21</v>
      </c>
      <c r="C60" s="73" t="s">
        <v>25</v>
      </c>
      <c r="D60" s="74" t="s">
        <v>40</v>
      </c>
      <c r="E60" s="74" t="s">
        <v>41</v>
      </c>
      <c r="F60" s="76">
        <v>0.81</v>
      </c>
      <c r="G60" s="89">
        <v>3.0457689999999999</v>
      </c>
      <c r="H60" s="89">
        <v>5.5363000000000002E-2</v>
      </c>
      <c r="I60" s="89">
        <v>7.358E-3</v>
      </c>
      <c r="J60" s="89">
        <f t="shared" si="2"/>
        <v>3.1084899999999998</v>
      </c>
      <c r="K60" s="94">
        <f t="shared" si="3"/>
        <v>2.5178769000000001</v>
      </c>
    </row>
    <row r="61" spans="2:11" s="81" customFormat="1" ht="15">
      <c r="B61" s="78">
        <v>22</v>
      </c>
      <c r="C61" s="79" t="s">
        <v>25</v>
      </c>
      <c r="D61" s="78" t="s">
        <v>40</v>
      </c>
      <c r="E61" s="78" t="s">
        <v>50</v>
      </c>
      <c r="F61" s="80">
        <v>0.19</v>
      </c>
      <c r="G61" s="90">
        <v>2.924229</v>
      </c>
      <c r="H61" s="90">
        <v>3.1273000000000002E-2</v>
      </c>
      <c r="I61" s="90">
        <v>1.6100000000000001E-4</v>
      </c>
      <c r="J61" s="90">
        <f t="shared" si="2"/>
        <v>2.9556629999999999</v>
      </c>
      <c r="K61" s="95">
        <f t="shared" si="3"/>
        <v>0.56157597000000004</v>
      </c>
    </row>
    <row r="62" spans="2:11" ht="15">
      <c r="B62" s="70">
        <v>23</v>
      </c>
      <c r="C62" s="69" t="s">
        <v>28</v>
      </c>
      <c r="D62" s="70" t="s">
        <v>51</v>
      </c>
      <c r="E62" s="70" t="s">
        <v>41</v>
      </c>
      <c r="F62" s="72">
        <v>9.0308370044052858E-2</v>
      </c>
      <c r="G62" s="88">
        <v>0.19164700000000001</v>
      </c>
      <c r="H62" s="88">
        <v>0.10198699999999999</v>
      </c>
      <c r="I62" s="88">
        <v>8.8981000000000005E-2</v>
      </c>
      <c r="J62" s="88">
        <f t="shared" si="2"/>
        <v>0.38261500000000004</v>
      </c>
      <c r="K62" s="93">
        <f t="shared" si="3"/>
        <v>3.4553337004405285E-2</v>
      </c>
    </row>
    <row r="63" spans="2:11" ht="15">
      <c r="B63" s="70">
        <v>24</v>
      </c>
      <c r="C63" s="69" t="s">
        <v>28</v>
      </c>
      <c r="D63" s="70" t="s">
        <v>51</v>
      </c>
      <c r="E63" s="70" t="s">
        <v>52</v>
      </c>
      <c r="F63" s="72">
        <v>9.2511013215859028E-2</v>
      </c>
      <c r="G63" s="88">
        <v>0.199766</v>
      </c>
      <c r="H63" s="88">
        <v>0.10198699999999999</v>
      </c>
      <c r="I63" s="88">
        <v>8.9165999999999995E-2</v>
      </c>
      <c r="J63" s="88">
        <f t="shared" si="2"/>
        <v>0.39091900000000002</v>
      </c>
      <c r="K63" s="93">
        <f t="shared" si="3"/>
        <v>3.6164312775330394E-2</v>
      </c>
    </row>
    <row r="64" spans="2:11" ht="15">
      <c r="B64" s="70">
        <v>25</v>
      </c>
      <c r="C64" s="69" t="s">
        <v>28</v>
      </c>
      <c r="D64" s="70" t="s">
        <v>53</v>
      </c>
      <c r="E64" s="70" t="s">
        <v>41</v>
      </c>
      <c r="F64" s="72">
        <v>0.21806167400881057</v>
      </c>
      <c r="G64" s="88">
        <v>0.127414</v>
      </c>
      <c r="H64" s="88">
        <v>0.10198699999999999</v>
      </c>
      <c r="I64" s="88">
        <v>8.8981000000000005E-2</v>
      </c>
      <c r="J64" s="88">
        <f t="shared" si="2"/>
        <v>0.318382</v>
      </c>
      <c r="K64" s="93">
        <f t="shared" si="3"/>
        <v>6.9426911894273122E-2</v>
      </c>
    </row>
    <row r="65" spans="2:11" ht="15">
      <c r="B65" s="70">
        <v>26</v>
      </c>
      <c r="C65" s="69" t="s">
        <v>28</v>
      </c>
      <c r="D65" s="70" t="s">
        <v>54</v>
      </c>
      <c r="E65" s="70" t="s">
        <v>41</v>
      </c>
      <c r="F65" s="72">
        <v>0.21365638766519823</v>
      </c>
      <c r="G65" s="88">
        <v>0.14409</v>
      </c>
      <c r="H65" s="88">
        <v>0.10198699999999999</v>
      </c>
      <c r="I65" s="88">
        <v>8.8981000000000005E-2</v>
      </c>
      <c r="J65" s="88">
        <f t="shared" si="2"/>
        <v>0.33505799999999997</v>
      </c>
      <c r="K65" s="93">
        <f t="shared" si="3"/>
        <v>7.1587281938325989E-2</v>
      </c>
    </row>
    <row r="66" spans="2:11" ht="15">
      <c r="B66" s="70">
        <v>27</v>
      </c>
      <c r="C66" s="69" t="s">
        <v>28</v>
      </c>
      <c r="D66" s="70" t="s">
        <v>55</v>
      </c>
      <c r="E66" s="70" t="s">
        <v>41</v>
      </c>
      <c r="F66" s="72">
        <v>0.18502202643171806</v>
      </c>
      <c r="G66" s="88">
        <v>9.3112E-2</v>
      </c>
      <c r="H66" s="88">
        <v>0.10198699999999999</v>
      </c>
      <c r="I66" s="88">
        <v>8.8981000000000005E-2</v>
      </c>
      <c r="J66" s="88">
        <f t="shared" si="2"/>
        <v>0.28408</v>
      </c>
      <c r="K66" s="93">
        <f t="shared" si="3"/>
        <v>5.2561057268722462E-2</v>
      </c>
    </row>
    <row r="67" spans="2:11" ht="15">
      <c r="B67" s="70">
        <v>28</v>
      </c>
      <c r="C67" s="69" t="s">
        <v>28</v>
      </c>
      <c r="D67" s="70" t="s">
        <v>56</v>
      </c>
      <c r="E67" s="70" t="s">
        <v>45</v>
      </c>
      <c r="F67" s="72">
        <v>5.2863436123348012E-2</v>
      </c>
      <c r="G67" s="88">
        <v>0.19825000000000001</v>
      </c>
      <c r="H67" s="88">
        <v>9.6673999999999996E-2</v>
      </c>
      <c r="I67" s="88">
        <v>0.20535600000000001</v>
      </c>
      <c r="J67" s="88">
        <f t="shared" si="2"/>
        <v>0.50028000000000006</v>
      </c>
      <c r="K67" s="93">
        <f t="shared" si="3"/>
        <v>2.6446519823788546E-2</v>
      </c>
    </row>
    <row r="68" spans="2:11" ht="15">
      <c r="B68" s="70">
        <v>29</v>
      </c>
      <c r="C68" s="69" t="s">
        <v>28</v>
      </c>
      <c r="D68" s="70" t="s">
        <v>56</v>
      </c>
      <c r="E68" s="70" t="s">
        <v>57</v>
      </c>
      <c r="F68" s="72">
        <v>6.8281938325991193E-2</v>
      </c>
      <c r="G68" s="88">
        <v>0.156613</v>
      </c>
      <c r="H68" s="88">
        <v>9.6673999999999996E-2</v>
      </c>
      <c r="I68" s="88">
        <v>0.74357899999999999</v>
      </c>
      <c r="J68" s="88">
        <f t="shared" si="2"/>
        <v>0.99686600000000003</v>
      </c>
      <c r="K68" s="93">
        <f t="shared" si="3"/>
        <v>6.8067942731277545E-2</v>
      </c>
    </row>
    <row r="69" spans="2:11" ht="15">
      <c r="B69" s="70">
        <v>30</v>
      </c>
      <c r="C69" s="69" t="s">
        <v>28</v>
      </c>
      <c r="D69" s="70" t="s">
        <v>56</v>
      </c>
      <c r="E69" s="70" t="s">
        <v>58</v>
      </c>
      <c r="F69" s="72">
        <v>4.405286343612335E-2</v>
      </c>
      <c r="G69" s="88">
        <v>0.196074</v>
      </c>
      <c r="H69" s="88">
        <v>0.10198699999999999</v>
      </c>
      <c r="I69" s="88">
        <v>0.29580099999999998</v>
      </c>
      <c r="J69" s="88">
        <f t="shared" si="2"/>
        <v>0.593862</v>
      </c>
      <c r="K69" s="93">
        <f t="shared" si="3"/>
        <v>2.6161321585903084E-2</v>
      </c>
    </row>
    <row r="70" spans="2:11" ht="15">
      <c r="B70" s="70">
        <v>31</v>
      </c>
      <c r="C70" s="69" t="s">
        <v>28</v>
      </c>
      <c r="D70" s="70" t="s">
        <v>56</v>
      </c>
      <c r="E70" s="70" t="s">
        <v>59</v>
      </c>
      <c r="F70" s="72">
        <v>3.5242290748898682E-2</v>
      </c>
      <c r="G70" s="88">
        <v>0.18069099999999999</v>
      </c>
      <c r="H70" s="88">
        <v>0.10312</v>
      </c>
      <c r="I70" s="88">
        <v>0.28246100000000002</v>
      </c>
      <c r="J70" s="88">
        <f t="shared" si="2"/>
        <v>0.566272</v>
      </c>
      <c r="K70" s="93">
        <f t="shared" si="3"/>
        <v>1.9956722466960355E-2</v>
      </c>
    </row>
    <row r="71" spans="2:11" ht="15">
      <c r="B71" s="74">
        <v>32</v>
      </c>
      <c r="C71" s="73" t="s">
        <v>30</v>
      </c>
      <c r="D71" s="74" t="s">
        <v>60</v>
      </c>
      <c r="E71" s="74" t="s">
        <v>41</v>
      </c>
      <c r="F71" s="76">
        <v>0.1811320754716981</v>
      </c>
      <c r="G71" s="89">
        <v>0.42276799999999998</v>
      </c>
      <c r="H71" s="89">
        <v>0.10198699999999999</v>
      </c>
      <c r="I71" s="89">
        <v>7.4112999999999998E-2</v>
      </c>
      <c r="J71" s="89">
        <f t="shared" si="2"/>
        <v>0.59886799999999996</v>
      </c>
      <c r="K71" s="94">
        <f t="shared" si="3"/>
        <v>0.1084742037735849</v>
      </c>
    </row>
    <row r="72" spans="2:11" ht="15">
      <c r="B72" s="74">
        <v>33</v>
      </c>
      <c r="C72" s="73" t="s">
        <v>30</v>
      </c>
      <c r="D72" s="74" t="s">
        <v>61</v>
      </c>
      <c r="E72" s="74" t="s">
        <v>62</v>
      </c>
      <c r="F72" s="76">
        <v>0.12264150943396228</v>
      </c>
      <c r="G72" s="89">
        <v>0.534582</v>
      </c>
      <c r="H72" s="89">
        <v>0.122128</v>
      </c>
      <c r="I72" s="89">
        <v>8.4875000000000006E-2</v>
      </c>
      <c r="J72" s="89">
        <f t="shared" si="2"/>
        <v>0.74158500000000005</v>
      </c>
      <c r="K72" s="94">
        <f t="shared" si="3"/>
        <v>9.0949103773584922E-2</v>
      </c>
    </row>
    <row r="73" spans="2:11" ht="15">
      <c r="B73" s="74">
        <v>34</v>
      </c>
      <c r="C73" s="73" t="s">
        <v>30</v>
      </c>
      <c r="D73" s="74" t="s">
        <v>61</v>
      </c>
      <c r="E73" s="74" t="s">
        <v>46</v>
      </c>
      <c r="F73" s="76">
        <v>3.3962264150943396E-2</v>
      </c>
      <c r="G73" s="89">
        <v>0.57922600000000002</v>
      </c>
      <c r="H73" s="89">
        <v>0.12615599999999999</v>
      </c>
      <c r="I73" s="89">
        <v>4.8473000000000002E-2</v>
      </c>
      <c r="J73" s="89">
        <f t="shared" si="2"/>
        <v>0.75385499999999994</v>
      </c>
      <c r="K73" s="94">
        <f t="shared" si="3"/>
        <v>2.5602622641509431E-2</v>
      </c>
    </row>
    <row r="74" spans="2:11" ht="15">
      <c r="B74" s="74">
        <v>35</v>
      </c>
      <c r="C74" s="73" t="s">
        <v>30</v>
      </c>
      <c r="D74" s="74" t="s">
        <v>63</v>
      </c>
      <c r="E74" s="74" t="s">
        <v>45</v>
      </c>
      <c r="F74" s="76">
        <v>8.8679245283018862E-2</v>
      </c>
      <c r="G74" s="89">
        <v>0.74356199999999995</v>
      </c>
      <c r="H74" s="89">
        <v>0.35627599999999998</v>
      </c>
      <c r="I74" s="89">
        <v>0.21850800000000001</v>
      </c>
      <c r="J74" s="89">
        <f t="shared" si="2"/>
        <v>1.3183459999999998</v>
      </c>
      <c r="K74" s="94">
        <f t="shared" si="3"/>
        <v>0.11690992830188676</v>
      </c>
    </row>
    <row r="75" spans="2:11" ht="15">
      <c r="B75" s="74">
        <v>36</v>
      </c>
      <c r="C75" s="73" t="s">
        <v>30</v>
      </c>
      <c r="D75" s="74" t="s">
        <v>63</v>
      </c>
      <c r="E75" s="74" t="s">
        <v>62</v>
      </c>
      <c r="F75" s="76">
        <v>5.849056603773585E-2</v>
      </c>
      <c r="G75" s="89">
        <v>0.74465899999999996</v>
      </c>
      <c r="H75" s="89">
        <v>0.34478199999999998</v>
      </c>
      <c r="I75" s="89">
        <v>8.3961999999999995E-2</v>
      </c>
      <c r="J75" s="89">
        <f t="shared" si="2"/>
        <v>1.173403</v>
      </c>
      <c r="K75" s="94">
        <f t="shared" si="3"/>
        <v>6.8633005660377361E-2</v>
      </c>
    </row>
    <row r="76" spans="2:11" ht="15">
      <c r="B76" s="74">
        <v>37</v>
      </c>
      <c r="C76" s="73" t="s">
        <v>30</v>
      </c>
      <c r="D76" s="74" t="s">
        <v>63</v>
      </c>
      <c r="E76" s="74" t="s">
        <v>41</v>
      </c>
      <c r="F76" s="76">
        <v>3.3962264150943396E-2</v>
      </c>
      <c r="G76" s="89">
        <v>0.584422</v>
      </c>
      <c r="H76" s="89">
        <v>0.39586399999999999</v>
      </c>
      <c r="I76" s="89">
        <v>8.3263000000000004E-2</v>
      </c>
      <c r="J76" s="89">
        <f t="shared" si="2"/>
        <v>1.0635490000000001</v>
      </c>
      <c r="K76" s="94">
        <f t="shared" si="3"/>
        <v>3.6120532075471702E-2</v>
      </c>
    </row>
    <row r="77" spans="2:11" s="81" customFormat="1" ht="15">
      <c r="B77" s="78">
        <v>38</v>
      </c>
      <c r="C77" s="79" t="s">
        <v>30</v>
      </c>
      <c r="D77" s="78" t="s">
        <v>64</v>
      </c>
      <c r="E77" s="78" t="s">
        <v>50</v>
      </c>
      <c r="F77" s="80">
        <v>0.16226415094339622</v>
      </c>
      <c r="G77" s="90">
        <v>4.8299000000000002E-2</v>
      </c>
      <c r="H77" s="90">
        <v>0.18532499999999999</v>
      </c>
      <c r="I77" s="90">
        <v>1.2090999999999999E-2</v>
      </c>
      <c r="J77" s="90">
        <f t="shared" si="2"/>
        <v>0.24571499999999999</v>
      </c>
      <c r="K77" s="95">
        <f t="shared" si="3"/>
        <v>3.98707358490566E-2</v>
      </c>
    </row>
    <row r="78" spans="2:11" ht="15">
      <c r="B78" s="74">
        <v>39</v>
      </c>
      <c r="C78" s="73" t="s">
        <v>30</v>
      </c>
      <c r="D78" s="74" t="s">
        <v>65</v>
      </c>
      <c r="E78" s="74" t="s">
        <v>62</v>
      </c>
      <c r="F78" s="76">
        <v>1.509433962264151E-2</v>
      </c>
      <c r="G78" s="89">
        <v>0.80690799999999996</v>
      </c>
      <c r="H78" s="89">
        <v>9.9793000000000007E-2</v>
      </c>
      <c r="I78" s="89">
        <v>8.3961999999999995E-2</v>
      </c>
      <c r="J78" s="89">
        <f t="shared" si="2"/>
        <v>0.99066299999999996</v>
      </c>
      <c r="K78" s="94">
        <f t="shared" si="3"/>
        <v>1.4953403773584905E-2</v>
      </c>
    </row>
    <row r="79" spans="2:11" ht="15">
      <c r="B79" s="74">
        <v>40</v>
      </c>
      <c r="C79" s="73" t="s">
        <v>30</v>
      </c>
      <c r="D79" s="74" t="s">
        <v>65</v>
      </c>
      <c r="E79" s="74" t="s">
        <v>41</v>
      </c>
      <c r="F79" s="76">
        <v>2.8301886792452831E-2</v>
      </c>
      <c r="G79" s="89">
        <v>0.64535600000000004</v>
      </c>
      <c r="H79" s="89">
        <v>0.11458</v>
      </c>
      <c r="I79" s="89">
        <v>8.3263000000000004E-2</v>
      </c>
      <c r="J79" s="89">
        <f t="shared" si="2"/>
        <v>0.84319900000000003</v>
      </c>
      <c r="K79" s="94">
        <f t="shared" si="3"/>
        <v>2.3864122641509434E-2</v>
      </c>
    </row>
    <row r="80" spans="2:11" ht="15">
      <c r="B80" s="74">
        <v>41</v>
      </c>
      <c r="C80" s="73" t="s">
        <v>30</v>
      </c>
      <c r="D80" s="74" t="s">
        <v>65</v>
      </c>
      <c r="E80" s="74" t="s">
        <v>66</v>
      </c>
      <c r="F80" s="76">
        <v>0.1</v>
      </c>
      <c r="G80" s="89">
        <v>0.97326199999999996</v>
      </c>
      <c r="H80" s="89">
        <v>0.11458</v>
      </c>
      <c r="I80" s="89">
        <v>9.8639000000000004E-2</v>
      </c>
      <c r="J80" s="89">
        <f t="shared" si="2"/>
        <v>1.1864809999999999</v>
      </c>
      <c r="K80" s="94">
        <f t="shared" si="3"/>
        <v>0.11864809999999999</v>
      </c>
    </row>
    <row r="81" spans="2:11" ht="15">
      <c r="B81" s="74">
        <v>42</v>
      </c>
      <c r="C81" s="73" t="s">
        <v>30</v>
      </c>
      <c r="D81" s="74" t="s">
        <v>65</v>
      </c>
      <c r="E81" s="74" t="s">
        <v>47</v>
      </c>
      <c r="F81" s="76">
        <v>1.6981132075471698E-2</v>
      </c>
      <c r="G81" s="89">
        <v>0.57052999999999998</v>
      </c>
      <c r="H81" s="89">
        <v>0.10198699999999999</v>
      </c>
      <c r="I81" s="89">
        <v>0.447106</v>
      </c>
      <c r="J81" s="89">
        <f t="shared" si="2"/>
        <v>1.119623</v>
      </c>
      <c r="K81" s="94">
        <f t="shared" si="3"/>
        <v>1.9012466037735848E-2</v>
      </c>
    </row>
    <row r="82" spans="2:11" ht="15">
      <c r="B82" s="74">
        <v>43</v>
      </c>
      <c r="C82" s="73" t="s">
        <v>30</v>
      </c>
      <c r="D82" s="74" t="s">
        <v>67</v>
      </c>
      <c r="E82" s="74" t="s">
        <v>68</v>
      </c>
      <c r="F82" s="76">
        <v>2.0754716981132078E-2</v>
      </c>
      <c r="G82" s="89">
        <v>0.20217499999999999</v>
      </c>
      <c r="H82" s="89">
        <v>0.11458</v>
      </c>
      <c r="I82" s="89">
        <v>9.8222000000000004E-2</v>
      </c>
      <c r="J82" s="89">
        <f t="shared" si="2"/>
        <v>0.41497700000000004</v>
      </c>
      <c r="K82" s="94">
        <f t="shared" si="3"/>
        <v>8.6127301886792466E-3</v>
      </c>
    </row>
    <row r="83" spans="2:11" ht="15">
      <c r="B83" s="74">
        <v>44</v>
      </c>
      <c r="C83" s="73" t="s">
        <v>30</v>
      </c>
      <c r="D83" s="74" t="s">
        <v>67</v>
      </c>
      <c r="E83" s="74" t="s">
        <v>62</v>
      </c>
      <c r="F83" s="76">
        <v>8.4905660377358499E-2</v>
      </c>
      <c r="G83" s="89">
        <v>0.212621</v>
      </c>
      <c r="H83" s="89">
        <v>9.9793000000000007E-2</v>
      </c>
      <c r="I83" s="89">
        <v>8.3961999999999995E-2</v>
      </c>
      <c r="J83" s="89">
        <f t="shared" si="2"/>
        <v>0.39637600000000001</v>
      </c>
      <c r="K83" s="94">
        <f t="shared" si="3"/>
        <v>3.3654566037735853E-2</v>
      </c>
    </row>
    <row r="84" spans="2:11" ht="15">
      <c r="B84" s="74">
        <v>45</v>
      </c>
      <c r="C84" s="73" t="s">
        <v>30</v>
      </c>
      <c r="D84" s="74" t="s">
        <v>67</v>
      </c>
      <c r="E84" s="74" t="s">
        <v>46</v>
      </c>
      <c r="F84" s="76">
        <v>1.509433962264151E-2</v>
      </c>
      <c r="G84" s="89">
        <v>0.20217499999999999</v>
      </c>
      <c r="H84" s="89">
        <v>0.11458</v>
      </c>
      <c r="I84" s="89">
        <v>5.4457999999999999E-2</v>
      </c>
      <c r="J84" s="89">
        <f t="shared" si="2"/>
        <v>0.37121300000000002</v>
      </c>
      <c r="K84" s="94">
        <f t="shared" si="3"/>
        <v>5.6032150943396229E-3</v>
      </c>
    </row>
    <row r="85" spans="2:11" ht="15">
      <c r="B85" s="74">
        <v>46</v>
      </c>
      <c r="C85" s="73" t="s">
        <v>30</v>
      </c>
      <c r="D85" s="74" t="s">
        <v>67</v>
      </c>
      <c r="E85" s="74" t="s">
        <v>69</v>
      </c>
      <c r="F85" s="76">
        <v>1.886792452830189E-2</v>
      </c>
      <c r="G85" s="89">
        <v>0.20217499999999999</v>
      </c>
      <c r="H85" s="89">
        <v>0.11458</v>
      </c>
      <c r="I85" s="89">
        <v>0.16634099999999999</v>
      </c>
      <c r="J85" s="89">
        <f t="shared" si="2"/>
        <v>0.48309599999999997</v>
      </c>
      <c r="K85" s="94">
        <f t="shared" si="3"/>
        <v>9.1150188679245299E-3</v>
      </c>
    </row>
    <row r="86" spans="2:11" ht="15">
      <c r="B86" s="74">
        <v>47</v>
      </c>
      <c r="C86" s="73" t="s">
        <v>30</v>
      </c>
      <c r="D86" s="74" t="s">
        <v>67</v>
      </c>
      <c r="E86" s="74" t="s">
        <v>57</v>
      </c>
      <c r="F86" s="76">
        <v>1.886792452830189E-2</v>
      </c>
      <c r="G86" s="89">
        <v>0.20100000000000001</v>
      </c>
      <c r="H86" s="89">
        <v>0.10312</v>
      </c>
      <c r="I86" s="89">
        <v>0.79261199999999998</v>
      </c>
      <c r="J86" s="89">
        <f t="shared" si="2"/>
        <v>1.096732</v>
      </c>
      <c r="K86" s="94">
        <f t="shared" si="3"/>
        <v>2.0693056603773588E-2</v>
      </c>
    </row>
    <row r="87" spans="2:11" ht="15">
      <c r="B87" s="70">
        <v>48</v>
      </c>
      <c r="C87" s="69" t="s">
        <v>32</v>
      </c>
      <c r="D87" s="70" t="s">
        <v>32</v>
      </c>
      <c r="E87" s="70" t="s">
        <v>45</v>
      </c>
      <c r="F87" s="72">
        <v>0.63829787234042556</v>
      </c>
      <c r="G87" s="88">
        <v>0.44561099999999998</v>
      </c>
      <c r="H87" s="88">
        <v>3.3017999999999999E-2</v>
      </c>
      <c r="I87" s="88">
        <v>0.130414</v>
      </c>
      <c r="J87" s="88">
        <f t="shared" si="2"/>
        <v>0.609043</v>
      </c>
      <c r="K87" s="93">
        <f t="shared" si="3"/>
        <v>0.38875085106382978</v>
      </c>
    </row>
    <row r="88" spans="2:11" ht="15">
      <c r="B88" s="70">
        <v>49</v>
      </c>
      <c r="C88" s="69" t="s">
        <v>32</v>
      </c>
      <c r="D88" s="70" t="s">
        <v>32</v>
      </c>
      <c r="E88" s="70" t="s">
        <v>57</v>
      </c>
      <c r="F88" s="72">
        <v>0.36170212765957449</v>
      </c>
      <c r="G88" s="88">
        <v>0.49074200000000001</v>
      </c>
      <c r="H88" s="88">
        <v>3.2978E-2</v>
      </c>
      <c r="I88" s="88">
        <v>0.399453</v>
      </c>
      <c r="J88" s="88">
        <f t="shared" si="2"/>
        <v>0.92317300000000002</v>
      </c>
      <c r="K88" s="93">
        <f t="shared" si="3"/>
        <v>0.33391363829787235</v>
      </c>
    </row>
    <row r="89" spans="2:11" ht="15">
      <c r="B89" s="74">
        <v>50</v>
      </c>
      <c r="C89" s="73" t="s">
        <v>31</v>
      </c>
      <c r="D89" s="74" t="s">
        <v>31</v>
      </c>
      <c r="E89" s="74" t="s">
        <v>70</v>
      </c>
      <c r="F89" s="76">
        <v>0.43478260869565222</v>
      </c>
      <c r="G89" s="89">
        <v>2.6889720000000001</v>
      </c>
      <c r="H89" s="89">
        <v>-0.18823500000000001</v>
      </c>
      <c r="I89" s="89">
        <v>3.2605000000000002E-2</v>
      </c>
      <c r="J89" s="89">
        <f t="shared" si="2"/>
        <v>2.5333420000000002</v>
      </c>
      <c r="K89" s="94">
        <f t="shared" si="3"/>
        <v>1.101453043478261</v>
      </c>
    </row>
    <row r="90" spans="2:11" ht="15">
      <c r="B90" s="74">
        <v>51</v>
      </c>
      <c r="C90" s="73" t="s">
        <v>31</v>
      </c>
      <c r="D90" s="74" t="s">
        <v>31</v>
      </c>
      <c r="E90" s="74" t="s">
        <v>66</v>
      </c>
      <c r="F90" s="76">
        <v>0.31521739130434784</v>
      </c>
      <c r="G90" s="89">
        <v>2.9543300000000001</v>
      </c>
      <c r="H90" s="89">
        <v>-0.33082</v>
      </c>
      <c r="I90" s="89">
        <v>4.8127999999999997E-2</v>
      </c>
      <c r="J90" s="89">
        <f t="shared" si="2"/>
        <v>2.6716380000000002</v>
      </c>
      <c r="K90" s="94">
        <f t="shared" si="3"/>
        <v>0.8421467608695653</v>
      </c>
    </row>
    <row r="91" spans="2:11" ht="15">
      <c r="B91" s="74">
        <v>52</v>
      </c>
      <c r="C91" s="73" t="s">
        <v>31</v>
      </c>
      <c r="D91" s="74" t="s">
        <v>31</v>
      </c>
      <c r="E91" s="74" t="s">
        <v>71</v>
      </c>
      <c r="F91" s="76">
        <v>0.25000000000000006</v>
      </c>
      <c r="G91" s="89">
        <v>2.6889720000000001</v>
      </c>
      <c r="H91" s="89">
        <v>-0.221641</v>
      </c>
      <c r="I91" s="89">
        <v>5.1152999999999997E-2</v>
      </c>
      <c r="J91" s="89">
        <f t="shared" si="2"/>
        <v>2.5184839999999999</v>
      </c>
      <c r="K91" s="94">
        <f t="shared" si="3"/>
        <v>0.6296210000000001</v>
      </c>
    </row>
    <row r="92" spans="2:11" ht="15">
      <c r="B92" s="70">
        <v>53</v>
      </c>
      <c r="C92" s="69" t="s">
        <v>125</v>
      </c>
      <c r="D92" s="70" t="s">
        <v>73</v>
      </c>
      <c r="E92" s="70" t="s">
        <v>62</v>
      </c>
      <c r="F92" s="72">
        <v>0.24697110904007463</v>
      </c>
      <c r="G92" s="88">
        <v>0.240616</v>
      </c>
      <c r="H92" s="88">
        <v>0.100878</v>
      </c>
      <c r="I92" s="91">
        <v>8.8400000000000006E-2</v>
      </c>
      <c r="J92" s="88">
        <f t="shared" si="2"/>
        <v>0.429894</v>
      </c>
      <c r="K92" s="93">
        <f t="shared" si="3"/>
        <v>0.10617139794967384</v>
      </c>
    </row>
    <row r="93" spans="2:11" ht="15">
      <c r="B93" s="70">
        <v>54</v>
      </c>
      <c r="C93" s="69" t="s">
        <v>125</v>
      </c>
      <c r="D93" s="70" t="s">
        <v>73</v>
      </c>
      <c r="E93" s="70" t="s">
        <v>41</v>
      </c>
      <c r="F93" s="72">
        <v>8.3876980428704589E-2</v>
      </c>
      <c r="G93" s="88">
        <v>0.253411</v>
      </c>
      <c r="H93" s="88">
        <v>0.10198699999999999</v>
      </c>
      <c r="I93" s="88">
        <v>7.7600000000000002E-2</v>
      </c>
      <c r="J93" s="88">
        <f t="shared" si="2"/>
        <v>0.43299799999999999</v>
      </c>
      <c r="K93" s="93">
        <f t="shared" si="3"/>
        <v>3.6318564771668227E-2</v>
      </c>
    </row>
    <row r="94" spans="2:11" s="81" customFormat="1" ht="15">
      <c r="B94" s="82">
        <v>55</v>
      </c>
      <c r="C94" s="83" t="s">
        <v>125</v>
      </c>
      <c r="D94" s="82" t="s">
        <v>73</v>
      </c>
      <c r="E94" s="82" t="s">
        <v>50</v>
      </c>
      <c r="F94" s="84">
        <v>2.3299161230195719E-2</v>
      </c>
      <c r="G94" s="92">
        <v>0.23880199999999999</v>
      </c>
      <c r="H94" s="92">
        <v>0.100878</v>
      </c>
      <c r="I94" s="92">
        <v>3.0000000000000001E-3</v>
      </c>
      <c r="J94" s="92">
        <f t="shared" si="2"/>
        <v>0.34267999999999998</v>
      </c>
      <c r="K94" s="96">
        <f t="shared" si="3"/>
        <v>7.9841565703634692E-3</v>
      </c>
    </row>
    <row r="95" spans="2:11" ht="15">
      <c r="B95" s="70">
        <v>56</v>
      </c>
      <c r="C95" s="69" t="s">
        <v>125</v>
      </c>
      <c r="D95" s="70" t="s">
        <v>74</v>
      </c>
      <c r="E95" s="70" t="s">
        <v>41</v>
      </c>
      <c r="F95" s="72">
        <v>0.32152842497670092</v>
      </c>
      <c r="G95" s="88">
        <v>9.3198000000000003E-2</v>
      </c>
      <c r="H95" s="88">
        <v>0.102448</v>
      </c>
      <c r="I95" s="88">
        <v>7.7848000000000001E-2</v>
      </c>
      <c r="J95" s="88">
        <f t="shared" si="2"/>
        <v>0.27349400000000001</v>
      </c>
      <c r="K95" s="93">
        <f t="shared" si="3"/>
        <v>8.793609506057784E-2</v>
      </c>
    </row>
    <row r="96" spans="2:11" s="81" customFormat="1" ht="15">
      <c r="B96" s="82">
        <v>57</v>
      </c>
      <c r="C96" s="83" t="s">
        <v>125</v>
      </c>
      <c r="D96" s="82" t="s">
        <v>74</v>
      </c>
      <c r="E96" s="82" t="s">
        <v>50</v>
      </c>
      <c r="F96" s="84">
        <v>1.3979496738117431E-2</v>
      </c>
      <c r="G96" s="92">
        <v>8.4638000000000005E-2</v>
      </c>
      <c r="H96" s="92">
        <v>0.10133399999999999</v>
      </c>
      <c r="I96" s="92">
        <v>3.0469999999999998E-3</v>
      </c>
      <c r="J96" s="92">
        <f t="shared" si="2"/>
        <v>0.18901899999999999</v>
      </c>
      <c r="K96" s="96">
        <f t="shared" si="3"/>
        <v>2.6423904939422184E-3</v>
      </c>
    </row>
    <row r="97" spans="2:11" ht="15">
      <c r="B97" s="70">
        <v>58</v>
      </c>
      <c r="C97" s="69" t="s">
        <v>125</v>
      </c>
      <c r="D97" s="70" t="s">
        <v>75</v>
      </c>
      <c r="E97" s="70" t="s">
        <v>41</v>
      </c>
      <c r="F97" s="72">
        <v>0.26095060577819207</v>
      </c>
      <c r="G97" s="88">
        <v>0.28902699999999998</v>
      </c>
      <c r="H97" s="88">
        <v>0.10198699999999999</v>
      </c>
      <c r="I97" s="88">
        <v>7.825E-2</v>
      </c>
      <c r="J97" s="88">
        <f t="shared" si="2"/>
        <v>0.46926399999999996</v>
      </c>
      <c r="K97" s="93">
        <f t="shared" si="3"/>
        <v>0.12245472506989752</v>
      </c>
    </row>
    <row r="98" spans="2:11" ht="15">
      <c r="B98" s="70">
        <v>59</v>
      </c>
      <c r="C98" s="69" t="s">
        <v>125</v>
      </c>
      <c r="D98" s="70" t="s">
        <v>75</v>
      </c>
      <c r="E98" s="70" t="s">
        <v>46</v>
      </c>
      <c r="F98" s="72">
        <v>4.6598322460391438E-2</v>
      </c>
      <c r="G98" s="88">
        <v>0.29070800000000002</v>
      </c>
      <c r="H98" s="88">
        <v>0.10198699999999999</v>
      </c>
      <c r="I98" s="88">
        <v>5.2609999999999997E-2</v>
      </c>
      <c r="J98" s="88">
        <f t="shared" si="2"/>
        <v>0.44530500000000001</v>
      </c>
      <c r="K98" s="93">
        <f t="shared" si="3"/>
        <v>2.0750465983224609E-2</v>
      </c>
    </row>
    <row r="99" spans="2:11" s="81" customFormat="1" ht="30">
      <c r="B99" s="82">
        <v>60</v>
      </c>
      <c r="C99" s="83" t="s">
        <v>125</v>
      </c>
      <c r="D99" s="82" t="s">
        <v>75</v>
      </c>
      <c r="E99" s="83" t="s">
        <v>76</v>
      </c>
      <c r="F99" s="85">
        <v>9.3196644920782881E-4</v>
      </c>
      <c r="G99" s="92">
        <v>0.27157199999999998</v>
      </c>
      <c r="H99" s="92">
        <v>0.100878</v>
      </c>
      <c r="I99" s="92">
        <v>3.1410000000000001E-3</v>
      </c>
      <c r="J99" s="92">
        <f t="shared" si="2"/>
        <v>0.37559099999999995</v>
      </c>
      <c r="K99" s="96">
        <f t="shared" si="3"/>
        <v>3.5003821062441759E-4</v>
      </c>
    </row>
    <row r="100" spans="2:11" s="81" customFormat="1" ht="30">
      <c r="B100" s="82">
        <v>61</v>
      </c>
      <c r="C100" s="83" t="s">
        <v>125</v>
      </c>
      <c r="D100" s="82" t="s">
        <v>75</v>
      </c>
      <c r="E100" s="83" t="s">
        <v>77</v>
      </c>
      <c r="F100" s="85">
        <v>9.3196644920782881E-4</v>
      </c>
      <c r="G100" s="92">
        <v>0.31795699999999999</v>
      </c>
      <c r="H100" s="92">
        <v>0.10133399999999999</v>
      </c>
      <c r="I100" s="92">
        <v>3.0230000000000001E-3</v>
      </c>
      <c r="J100" s="92">
        <f t="shared" si="2"/>
        <v>0.42231399999999997</v>
      </c>
      <c r="K100" s="96">
        <f t="shared" si="3"/>
        <v>3.9358247903075496E-4</v>
      </c>
    </row>
    <row r="101" spans="2:11" s="81" customFormat="1" ht="30">
      <c r="B101" s="82">
        <v>62</v>
      </c>
      <c r="C101" s="83" t="s">
        <v>125</v>
      </c>
      <c r="D101" s="82" t="s">
        <v>75</v>
      </c>
      <c r="E101" s="83" t="s">
        <v>78</v>
      </c>
      <c r="F101" s="85">
        <v>9.3196644920782881E-4</v>
      </c>
      <c r="G101" s="92">
        <v>0.16390399999999999</v>
      </c>
      <c r="H101" s="92">
        <v>0.100878</v>
      </c>
      <c r="I101" s="92">
        <v>3.0479999999999999E-3</v>
      </c>
      <c r="J101" s="92">
        <f t="shared" si="2"/>
        <v>0.26782999999999996</v>
      </c>
      <c r="K101" s="96">
        <f t="shared" si="3"/>
        <v>2.4960857409133275E-4</v>
      </c>
    </row>
    <row r="102" spans="2:11" s="81" customFormat="1" ht="30">
      <c r="B102" s="82">
        <v>63</v>
      </c>
      <c r="C102" s="83" t="s">
        <v>125</v>
      </c>
      <c r="D102" s="82" t="s">
        <v>75</v>
      </c>
      <c r="E102" s="83" t="s">
        <v>79</v>
      </c>
      <c r="F102" s="85">
        <v>0</v>
      </c>
      <c r="G102" s="92">
        <v>1.433359</v>
      </c>
      <c r="H102" s="92">
        <v>0.100878</v>
      </c>
      <c r="I102" s="92">
        <v>3.1250000000000002E-3</v>
      </c>
      <c r="J102" s="92">
        <f t="shared" si="2"/>
        <v>1.5373620000000001</v>
      </c>
      <c r="K102" s="96">
        <f t="shared" si="3"/>
        <v>0</v>
      </c>
    </row>
    <row r="103" spans="2:11" ht="15">
      <c r="B103" s="74">
        <v>64</v>
      </c>
      <c r="C103" s="73" t="s">
        <v>26</v>
      </c>
      <c r="D103" s="74" t="s">
        <v>80</v>
      </c>
      <c r="E103" s="74" t="s">
        <v>71</v>
      </c>
      <c r="F103" s="76">
        <v>0.28115942028985508</v>
      </c>
      <c r="G103" s="89">
        <v>4.5770249999999999</v>
      </c>
      <c r="H103" s="89">
        <v>1.020249</v>
      </c>
      <c r="I103" s="89">
        <v>8.7573999999999999E-2</v>
      </c>
      <c r="J103" s="89">
        <f t="shared" si="2"/>
        <v>5.6848479999999997</v>
      </c>
      <c r="K103" s="94">
        <f t="shared" si="3"/>
        <v>1.5983485681159419</v>
      </c>
    </row>
    <row r="104" spans="2:11" ht="15">
      <c r="B104" s="74">
        <v>65</v>
      </c>
      <c r="C104" s="73" t="s">
        <v>26</v>
      </c>
      <c r="D104" s="74" t="s">
        <v>81</v>
      </c>
      <c r="E104" s="74" t="s">
        <v>82</v>
      </c>
      <c r="F104" s="76">
        <v>0.17101449275362318</v>
      </c>
      <c r="G104" s="89">
        <v>1.6381209999999999</v>
      </c>
      <c r="H104" s="89">
        <v>0.120767</v>
      </c>
      <c r="I104" s="89">
        <v>11.81448</v>
      </c>
      <c r="J104" s="89">
        <f t="shared" si="2"/>
        <v>13.573368</v>
      </c>
      <c r="K104" s="94">
        <f t="shared" si="3"/>
        <v>2.3212426434782607</v>
      </c>
    </row>
    <row r="105" spans="2:11" ht="15">
      <c r="B105" s="74">
        <v>66</v>
      </c>
      <c r="C105" s="73" t="s">
        <v>26</v>
      </c>
      <c r="D105" s="74" t="s">
        <v>83</v>
      </c>
      <c r="E105" s="74" t="s">
        <v>82</v>
      </c>
      <c r="F105" s="76">
        <v>8.6956521739130418E-3</v>
      </c>
      <c r="G105" s="89">
        <v>1.715716</v>
      </c>
      <c r="H105" s="89">
        <v>0.15206900000000001</v>
      </c>
      <c r="I105" s="89">
        <v>0.42648200000000003</v>
      </c>
      <c r="J105" s="89">
        <f t="shared" ref="J105:J128" si="4">SUM(G105:I105)</f>
        <v>2.2942670000000001</v>
      </c>
      <c r="K105" s="94">
        <f t="shared" ref="K105:K128" si="5">F105*J105</f>
        <v>1.9950147826086954E-2</v>
      </c>
    </row>
    <row r="106" spans="2:11" ht="15">
      <c r="B106" s="74">
        <v>67</v>
      </c>
      <c r="C106" s="73" t="s">
        <v>26</v>
      </c>
      <c r="D106" s="74" t="s">
        <v>83</v>
      </c>
      <c r="E106" s="74" t="s">
        <v>84</v>
      </c>
      <c r="F106" s="76">
        <v>5.7971014492753624E-2</v>
      </c>
      <c r="G106" s="89">
        <v>1.6983520000000001</v>
      </c>
      <c r="H106" s="89">
        <v>0.46017599999999997</v>
      </c>
      <c r="I106" s="89">
        <v>9.5232999999999998E-2</v>
      </c>
      <c r="J106" s="89">
        <f t="shared" si="4"/>
        <v>2.2537609999999999</v>
      </c>
      <c r="K106" s="94">
        <f t="shared" si="5"/>
        <v>0.13065281159420289</v>
      </c>
    </row>
    <row r="107" spans="2:11" ht="15">
      <c r="B107" s="74">
        <v>68</v>
      </c>
      <c r="C107" s="73" t="s">
        <v>26</v>
      </c>
      <c r="D107" s="74" t="s">
        <v>85</v>
      </c>
      <c r="E107" s="74" t="s">
        <v>82</v>
      </c>
      <c r="F107" s="76">
        <v>6.6666666666666666E-2</v>
      </c>
      <c r="G107" s="89">
        <v>3.8360919999999998</v>
      </c>
      <c r="H107" s="89">
        <v>0.44528499999999999</v>
      </c>
      <c r="I107" s="89">
        <v>0.40416299999999999</v>
      </c>
      <c r="J107" s="89">
        <f t="shared" si="4"/>
        <v>4.6855399999999996</v>
      </c>
      <c r="K107" s="94">
        <f t="shared" si="5"/>
        <v>0.31236933333333328</v>
      </c>
    </row>
    <row r="108" spans="2:11" ht="15">
      <c r="B108" s="74">
        <v>69</v>
      </c>
      <c r="C108" s="73" t="s">
        <v>26</v>
      </c>
      <c r="D108" s="74" t="s">
        <v>85</v>
      </c>
      <c r="E108" s="74" t="s">
        <v>62</v>
      </c>
      <c r="F108" s="76">
        <v>8.9855072463768115E-2</v>
      </c>
      <c r="G108" s="89">
        <v>3.8948079999999998</v>
      </c>
      <c r="H108" s="89">
        <v>1.5669139999999999</v>
      </c>
      <c r="I108" s="89">
        <v>9.5881999999999995E-2</v>
      </c>
      <c r="J108" s="89">
        <f t="shared" si="4"/>
        <v>5.5576039999999995</v>
      </c>
      <c r="K108" s="94">
        <f t="shared" si="5"/>
        <v>0.49937891014492747</v>
      </c>
    </row>
    <row r="109" spans="2:11" ht="15">
      <c r="B109" s="74">
        <v>70</v>
      </c>
      <c r="C109" s="73" t="s">
        <v>26</v>
      </c>
      <c r="D109" s="74" t="s">
        <v>85</v>
      </c>
      <c r="E109" s="74" t="s">
        <v>86</v>
      </c>
      <c r="F109" s="76">
        <v>3.4782608695652167E-2</v>
      </c>
      <c r="G109" s="89">
        <v>3.8948079999999998</v>
      </c>
      <c r="H109" s="89">
        <v>1.0966009999999999</v>
      </c>
      <c r="I109" s="89">
        <v>0.18022199999999999</v>
      </c>
      <c r="J109" s="89">
        <f t="shared" si="4"/>
        <v>5.1716309999999996</v>
      </c>
      <c r="K109" s="94">
        <f t="shared" si="5"/>
        <v>0.17988281739130429</v>
      </c>
    </row>
    <row r="110" spans="2:11" s="81" customFormat="1" ht="15">
      <c r="B110" s="78">
        <v>71</v>
      </c>
      <c r="C110" s="79" t="s">
        <v>26</v>
      </c>
      <c r="D110" s="78" t="s">
        <v>87</v>
      </c>
      <c r="E110" s="78" t="s">
        <v>50</v>
      </c>
      <c r="F110" s="80">
        <v>0.23478260869565218</v>
      </c>
      <c r="G110" s="90">
        <v>2.9317169999999999</v>
      </c>
      <c r="H110" s="90">
        <v>0.79142299999999999</v>
      </c>
      <c r="I110" s="90">
        <v>7.0400000000000003E-3</v>
      </c>
      <c r="J110" s="90">
        <f t="shared" si="4"/>
        <v>3.7301799999999998</v>
      </c>
      <c r="K110" s="95">
        <f t="shared" si="5"/>
        <v>0.87578139130434784</v>
      </c>
    </row>
    <row r="111" spans="2:11" s="81" customFormat="1" ht="15">
      <c r="B111" s="78">
        <v>72</v>
      </c>
      <c r="C111" s="79" t="s">
        <v>26</v>
      </c>
      <c r="D111" s="78" t="s">
        <v>88</v>
      </c>
      <c r="E111" s="78" t="s">
        <v>50</v>
      </c>
      <c r="F111" s="80">
        <v>5.5072463768115941E-2</v>
      </c>
      <c r="G111" s="90">
        <v>3.348328</v>
      </c>
      <c r="H111" s="90">
        <v>0.89125399999999999</v>
      </c>
      <c r="I111" s="90">
        <v>2.3171000000000001E-2</v>
      </c>
      <c r="J111" s="90">
        <f t="shared" si="4"/>
        <v>4.262753</v>
      </c>
      <c r="K111" s="95">
        <f t="shared" si="5"/>
        <v>0.23476031014492754</v>
      </c>
    </row>
    <row r="112" spans="2:11" ht="15">
      <c r="B112" s="70">
        <v>73</v>
      </c>
      <c r="C112" s="69" t="s">
        <v>27</v>
      </c>
      <c r="D112" s="70" t="s">
        <v>89</v>
      </c>
      <c r="E112" s="70" t="s">
        <v>71</v>
      </c>
      <c r="F112" s="72">
        <v>4.0160642570281124E-2</v>
      </c>
      <c r="G112" s="88">
        <v>4.6900983800000002</v>
      </c>
      <c r="H112" s="88">
        <v>1.0417997999999999</v>
      </c>
      <c r="I112" s="88">
        <v>9.6407270000000003E-2</v>
      </c>
      <c r="J112" s="88">
        <f t="shared" si="4"/>
        <v>5.8283054500000002</v>
      </c>
      <c r="K112" s="93">
        <f t="shared" si="5"/>
        <v>0.23406849196787149</v>
      </c>
    </row>
    <row r="113" spans="2:11" ht="15">
      <c r="B113" s="70">
        <v>74</v>
      </c>
      <c r="C113" s="69" t="s">
        <v>27</v>
      </c>
      <c r="D113" s="70" t="s">
        <v>89</v>
      </c>
      <c r="E113" s="70" t="s">
        <v>41</v>
      </c>
      <c r="F113" s="72">
        <v>0.19277108433734938</v>
      </c>
      <c r="G113" s="88">
        <v>4.7533466300000002</v>
      </c>
      <c r="H113" s="88">
        <v>1.0619243</v>
      </c>
      <c r="I113" s="88">
        <v>8.6400099999999994E-2</v>
      </c>
      <c r="J113" s="88">
        <f t="shared" si="4"/>
        <v>5.9016710300000002</v>
      </c>
      <c r="K113" s="93">
        <f t="shared" si="5"/>
        <v>1.1376715238554216</v>
      </c>
    </row>
    <row r="114" spans="2:11" ht="15">
      <c r="B114" s="70">
        <v>75</v>
      </c>
      <c r="C114" s="69" t="s">
        <v>27</v>
      </c>
      <c r="D114" s="70" t="s">
        <v>89</v>
      </c>
      <c r="E114" s="70" t="s">
        <v>46</v>
      </c>
      <c r="F114" s="72">
        <v>3.2128514056224897E-2</v>
      </c>
      <c r="G114" s="88">
        <v>5.2182964500000004</v>
      </c>
      <c r="H114" s="88">
        <v>1.2098633000000001</v>
      </c>
      <c r="I114" s="88">
        <v>5.9993900000000003E-2</v>
      </c>
      <c r="J114" s="88">
        <f t="shared" si="4"/>
        <v>6.488153650000001</v>
      </c>
      <c r="K114" s="93">
        <f t="shared" si="5"/>
        <v>0.20845473574297191</v>
      </c>
    </row>
    <row r="115" spans="2:11" ht="15">
      <c r="B115" s="70">
        <v>76</v>
      </c>
      <c r="C115" s="69" t="s">
        <v>27</v>
      </c>
      <c r="D115" s="70" t="s">
        <v>89</v>
      </c>
      <c r="E115" s="70" t="s">
        <v>62</v>
      </c>
      <c r="F115" s="72">
        <v>8.0321285140562249E-2</v>
      </c>
      <c r="G115" s="88">
        <v>5.8551775900000003</v>
      </c>
      <c r="H115" s="88">
        <v>1.2781811999999999</v>
      </c>
      <c r="I115" s="88">
        <v>8.9882740000000003E-2</v>
      </c>
      <c r="J115" s="88">
        <f t="shared" si="4"/>
        <v>7.2232415300000001</v>
      </c>
      <c r="K115" s="93">
        <f t="shared" si="5"/>
        <v>0.58018004257028111</v>
      </c>
    </row>
    <row r="116" spans="2:11" s="81" customFormat="1" ht="15">
      <c r="B116" s="82">
        <v>77</v>
      </c>
      <c r="C116" s="83" t="s">
        <v>27</v>
      </c>
      <c r="D116" s="82" t="s">
        <v>89</v>
      </c>
      <c r="E116" s="82" t="s">
        <v>50</v>
      </c>
      <c r="F116" s="84">
        <v>8.0321285140562242E-3</v>
      </c>
      <c r="G116" s="92">
        <v>4.5079172600000001</v>
      </c>
      <c r="H116" s="92">
        <v>0.61092601000000002</v>
      </c>
      <c r="I116" s="92">
        <v>1.9781150000000001E-2</v>
      </c>
      <c r="J116" s="92">
        <f t="shared" si="4"/>
        <v>5.1386244200000002</v>
      </c>
      <c r="K116" s="96">
        <f t="shared" si="5"/>
        <v>4.127409172690763E-2</v>
      </c>
    </row>
    <row r="117" spans="2:11" ht="15">
      <c r="B117" s="70">
        <v>78</v>
      </c>
      <c r="C117" s="69" t="s">
        <v>27</v>
      </c>
      <c r="D117" s="70" t="s">
        <v>90</v>
      </c>
      <c r="E117" s="70" t="s">
        <v>46</v>
      </c>
      <c r="F117" s="72">
        <v>1.2048192771084336E-2</v>
      </c>
      <c r="G117" s="88">
        <v>3.28595477</v>
      </c>
      <c r="H117" s="88">
        <v>1.3523988899999999</v>
      </c>
      <c r="I117" s="88">
        <v>0.22595926999999999</v>
      </c>
      <c r="J117" s="88">
        <f t="shared" si="4"/>
        <v>4.8643129299999996</v>
      </c>
      <c r="K117" s="93">
        <f t="shared" si="5"/>
        <v>5.8606179879518064E-2</v>
      </c>
    </row>
    <row r="118" spans="2:11" ht="15">
      <c r="B118" s="70">
        <v>79</v>
      </c>
      <c r="C118" s="69" t="s">
        <v>27</v>
      </c>
      <c r="D118" s="70" t="s">
        <v>90</v>
      </c>
      <c r="E118" s="70" t="s">
        <v>52</v>
      </c>
      <c r="F118" s="72">
        <v>4.0160642570281121E-3</v>
      </c>
      <c r="G118" s="88">
        <v>3.28595477</v>
      </c>
      <c r="H118" s="88">
        <v>1.3196891399999999</v>
      </c>
      <c r="I118" s="88">
        <v>0.36276388999999998</v>
      </c>
      <c r="J118" s="88">
        <f t="shared" si="4"/>
        <v>4.9684077999999996</v>
      </c>
      <c r="K118" s="93">
        <f t="shared" si="5"/>
        <v>1.9953444979919674E-2</v>
      </c>
    </row>
    <row r="119" spans="2:11" ht="15">
      <c r="B119" s="70">
        <v>80</v>
      </c>
      <c r="C119" s="69" t="s">
        <v>27</v>
      </c>
      <c r="D119" s="70" t="s">
        <v>90</v>
      </c>
      <c r="E119" s="70" t="s">
        <v>66</v>
      </c>
      <c r="F119" s="72">
        <v>4.0160642570281124E-2</v>
      </c>
      <c r="G119" s="88">
        <v>3.28595477</v>
      </c>
      <c r="H119" s="88">
        <v>1.3988526800000001</v>
      </c>
      <c r="I119" s="88">
        <v>0.35992365999999998</v>
      </c>
      <c r="J119" s="88">
        <f t="shared" si="4"/>
        <v>5.0447311099999999</v>
      </c>
      <c r="K119" s="93">
        <f t="shared" si="5"/>
        <v>0.20259964297188754</v>
      </c>
    </row>
    <row r="120" spans="2:11" ht="15">
      <c r="B120" s="70">
        <v>81</v>
      </c>
      <c r="C120" s="69" t="s">
        <v>27</v>
      </c>
      <c r="D120" s="70" t="s">
        <v>91</v>
      </c>
      <c r="E120" s="70" t="s">
        <v>46</v>
      </c>
      <c r="F120" s="72">
        <v>0.12449799196787148</v>
      </c>
      <c r="G120" s="88">
        <v>3.28595477</v>
      </c>
      <c r="H120" s="88">
        <v>1.32956783</v>
      </c>
      <c r="I120" s="88">
        <v>0.18260503</v>
      </c>
      <c r="J120" s="88">
        <f t="shared" si="4"/>
        <v>4.7981276300000006</v>
      </c>
      <c r="K120" s="93">
        <f t="shared" si="5"/>
        <v>0.59735725514056226</v>
      </c>
    </row>
    <row r="121" spans="2:11" ht="15">
      <c r="B121" s="70">
        <v>82</v>
      </c>
      <c r="C121" s="69" t="s">
        <v>27</v>
      </c>
      <c r="D121" s="70" t="s">
        <v>91</v>
      </c>
      <c r="E121" s="70" t="s">
        <v>52</v>
      </c>
      <c r="F121" s="72">
        <v>0.10441767068273092</v>
      </c>
      <c r="G121" s="88">
        <v>3.28595477</v>
      </c>
      <c r="H121" s="88">
        <v>1.2968580700000001</v>
      </c>
      <c r="I121" s="88">
        <v>0.26196017999999999</v>
      </c>
      <c r="J121" s="88">
        <f t="shared" si="4"/>
        <v>4.8447730199999999</v>
      </c>
      <c r="K121" s="93">
        <f t="shared" si="5"/>
        <v>0.50587991373493968</v>
      </c>
    </row>
    <row r="122" spans="2:11" ht="15">
      <c r="B122" s="70">
        <v>83</v>
      </c>
      <c r="C122" s="69" t="s">
        <v>27</v>
      </c>
      <c r="D122" s="70" t="s">
        <v>91</v>
      </c>
      <c r="E122" s="70" t="s">
        <v>66</v>
      </c>
      <c r="F122" s="72">
        <v>4.4176706827309231E-2</v>
      </c>
      <c r="G122" s="88">
        <v>3.28595477</v>
      </c>
      <c r="H122" s="88">
        <v>1.3760216199999999</v>
      </c>
      <c r="I122" s="88">
        <v>0.26031267000000002</v>
      </c>
      <c r="J122" s="88">
        <f t="shared" si="4"/>
        <v>4.9222890599999998</v>
      </c>
      <c r="K122" s="93">
        <f t="shared" si="5"/>
        <v>0.21745052072289153</v>
      </c>
    </row>
    <row r="123" spans="2:11" ht="15">
      <c r="B123" s="70">
        <v>84</v>
      </c>
      <c r="C123" s="69" t="s">
        <v>27</v>
      </c>
      <c r="D123" s="70" t="s">
        <v>92</v>
      </c>
      <c r="E123" s="70" t="s">
        <v>41</v>
      </c>
      <c r="F123" s="72">
        <v>0.10843373493975904</v>
      </c>
      <c r="G123" s="88">
        <v>4.6062284599999996</v>
      </c>
      <c r="H123" s="88">
        <v>6.4783439999999998E-2</v>
      </c>
      <c r="I123" s="88">
        <v>9.2460420000000001E-2</v>
      </c>
      <c r="J123" s="88">
        <f t="shared" si="4"/>
        <v>4.76347232</v>
      </c>
      <c r="K123" s="93">
        <f t="shared" si="5"/>
        <v>0.51652109493975906</v>
      </c>
    </row>
    <row r="124" spans="2:11" ht="15">
      <c r="B124" s="70">
        <v>85</v>
      </c>
      <c r="C124" s="69" t="s">
        <v>27</v>
      </c>
      <c r="D124" s="70" t="s">
        <v>92</v>
      </c>
      <c r="E124" s="70" t="s">
        <v>46</v>
      </c>
      <c r="F124" s="72">
        <v>4.0160642570281121E-3</v>
      </c>
      <c r="G124" s="88">
        <v>4.6062284599999996</v>
      </c>
      <c r="H124" s="88">
        <v>6.4783439999999998E-2</v>
      </c>
      <c r="I124" s="88">
        <v>6.7639069999999996E-2</v>
      </c>
      <c r="J124" s="88">
        <f t="shared" si="4"/>
        <v>4.7386509700000001</v>
      </c>
      <c r="K124" s="93">
        <f t="shared" si="5"/>
        <v>1.9030726787148594E-2</v>
      </c>
    </row>
    <row r="125" spans="2:11" ht="15">
      <c r="B125" s="70">
        <v>86</v>
      </c>
      <c r="C125" s="69" t="s">
        <v>27</v>
      </c>
      <c r="D125" s="70" t="s">
        <v>92</v>
      </c>
      <c r="E125" s="70" t="s">
        <v>62</v>
      </c>
      <c r="F125" s="72">
        <v>8.0321285140562242E-3</v>
      </c>
      <c r="G125" s="88">
        <v>4.7717385700000001</v>
      </c>
      <c r="H125" s="88">
        <v>3.7696470000000003E-2</v>
      </c>
      <c r="I125" s="88">
        <v>9.1157580000000002E-2</v>
      </c>
      <c r="J125" s="88">
        <f t="shared" si="4"/>
        <v>4.9005926200000003</v>
      </c>
      <c r="K125" s="93">
        <f t="shared" si="5"/>
        <v>3.93621897188755E-2</v>
      </c>
    </row>
    <row r="126" spans="2:11" ht="15">
      <c r="B126" s="70">
        <v>87</v>
      </c>
      <c r="C126" s="69" t="s">
        <v>27</v>
      </c>
      <c r="D126" s="70" t="s">
        <v>93</v>
      </c>
      <c r="E126" s="70" t="s">
        <v>41</v>
      </c>
      <c r="F126" s="72">
        <v>2.4096385542168672E-2</v>
      </c>
      <c r="G126" s="88">
        <v>4.6062284599999996</v>
      </c>
      <c r="H126" s="88">
        <v>0.24492955</v>
      </c>
      <c r="I126" s="88">
        <v>9.1333460000000005E-2</v>
      </c>
      <c r="J126" s="88">
        <f t="shared" si="4"/>
        <v>4.9424914700000002</v>
      </c>
      <c r="K126" s="93">
        <f t="shared" si="5"/>
        <v>0.11909618</v>
      </c>
    </row>
    <row r="127" spans="2:11" ht="15">
      <c r="B127" s="70">
        <v>88</v>
      </c>
      <c r="C127" s="69" t="s">
        <v>27</v>
      </c>
      <c r="D127" s="70" t="s">
        <v>93</v>
      </c>
      <c r="E127" s="70" t="s">
        <v>46</v>
      </c>
      <c r="F127" s="72">
        <v>6.8273092369477914E-2</v>
      </c>
      <c r="G127" s="88">
        <v>4.6062284599999996</v>
      </c>
      <c r="H127" s="88">
        <v>0.24492955</v>
      </c>
      <c r="I127" s="88">
        <v>6.3241770000000003E-2</v>
      </c>
      <c r="J127" s="88">
        <f t="shared" si="4"/>
        <v>4.9143997800000001</v>
      </c>
      <c r="K127" s="93">
        <f t="shared" si="5"/>
        <v>0.33552127012048194</v>
      </c>
    </row>
    <row r="128" spans="2:11" ht="15">
      <c r="B128" s="70">
        <v>89</v>
      </c>
      <c r="C128" s="69" t="s">
        <v>27</v>
      </c>
      <c r="D128" s="70" t="s">
        <v>93</v>
      </c>
      <c r="E128" s="70" t="s">
        <v>62</v>
      </c>
      <c r="F128" s="72">
        <v>0.10441767068273092</v>
      </c>
      <c r="G128" s="88">
        <v>4.7717385700000001</v>
      </c>
      <c r="H128" s="88">
        <v>0.21048969000000001</v>
      </c>
      <c r="I128" s="88">
        <v>9.1157580000000002E-2</v>
      </c>
      <c r="J128" s="88">
        <f t="shared" si="4"/>
        <v>5.0733858400000003</v>
      </c>
      <c r="K128" s="93">
        <f t="shared" si="5"/>
        <v>0.52975113188755019</v>
      </c>
    </row>
  </sheetData>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PBrush" shapeId="69635" r:id="rId4">
          <objectPr defaultSize="0" r:id="rId5">
            <anchor moveWithCells="1">
              <from>
                <xdr:col>10</xdr:col>
                <xdr:colOff>635000</xdr:colOff>
                <xdr:row>2</xdr:row>
                <xdr:rowOff>50800</xdr:rowOff>
              </from>
              <to>
                <xdr:col>19</xdr:col>
                <xdr:colOff>114300</xdr:colOff>
                <xdr:row>33</xdr:row>
                <xdr:rowOff>101600</xdr:rowOff>
              </to>
            </anchor>
          </objectPr>
        </oleObject>
      </mc:Choice>
      <mc:Fallback>
        <oleObject progId="PBrush" shapeId="69635" r:id="rId4"/>
      </mc:Fallback>
    </mc:AlternateContent>
  </oleObjec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24C17-8675-4446-A58E-7D32D10AA109}">
  <dimension ref="B1:K128"/>
  <sheetViews>
    <sheetView zoomScaleNormal="100" workbookViewId="0">
      <selection activeCell="F55" sqref="F55"/>
    </sheetView>
  </sheetViews>
  <sheetFormatPr defaultColWidth="8.7109375" defaultRowHeight="14.1"/>
  <cols>
    <col min="1" max="1" width="2.28515625" style="5" customWidth="1"/>
    <col min="2" max="2" width="28.85546875" style="5" customWidth="1"/>
    <col min="3" max="3" width="27.7109375" style="5" bestFit="1" customWidth="1"/>
    <col min="4" max="4" width="21" style="5" bestFit="1" customWidth="1"/>
    <col min="5" max="5" width="37.140625" style="5" bestFit="1" customWidth="1"/>
    <col min="6" max="6" width="30.7109375" style="5" customWidth="1"/>
    <col min="7" max="10" width="21.7109375" style="5" bestFit="1" customWidth="1"/>
    <col min="11" max="11" width="25.85546875" style="5" bestFit="1" customWidth="1"/>
    <col min="12" max="16384" width="8.7109375" style="5"/>
  </cols>
  <sheetData>
    <row r="1" spans="2:11">
      <c r="B1" s="22" t="s">
        <v>0</v>
      </c>
    </row>
    <row r="2" spans="2:11">
      <c r="B2" s="22"/>
      <c r="C2" s="21">
        <v>2018</v>
      </c>
      <c r="D2" s="21">
        <v>2030</v>
      </c>
      <c r="K2" s="39" t="s">
        <v>271</v>
      </c>
    </row>
    <row r="3" spans="2:11" ht="30">
      <c r="B3" s="33" t="s">
        <v>1</v>
      </c>
      <c r="C3" s="50">
        <v>932.87271739941821</v>
      </c>
      <c r="D3" s="99">
        <f>SUM(F23:F35)</f>
        <v>879.21301005286909</v>
      </c>
    </row>
    <row r="4" spans="2:11" ht="15">
      <c r="B4" s="33" t="s">
        <v>2</v>
      </c>
      <c r="C4" s="35">
        <v>365</v>
      </c>
      <c r="D4" s="29">
        <f>SUM(D23:D35)</f>
        <v>365</v>
      </c>
      <c r="E4" s="32"/>
    </row>
    <row r="7" spans="2:11">
      <c r="B7" s="22" t="s">
        <v>3</v>
      </c>
      <c r="E7" s="31"/>
      <c r="F7" s="34"/>
      <c r="G7" s="28"/>
    </row>
    <row r="8" spans="2:11">
      <c r="B8" s="22"/>
      <c r="E8" s="31"/>
      <c r="F8" s="34"/>
      <c r="G8" s="28"/>
    </row>
    <row r="9" spans="2:11">
      <c r="B9" s="16" t="s">
        <v>4</v>
      </c>
      <c r="C9" s="17">
        <v>2018</v>
      </c>
      <c r="D9" s="17" t="s">
        <v>5</v>
      </c>
      <c r="E9" s="31"/>
      <c r="F9" s="34"/>
      <c r="G9" s="28"/>
    </row>
    <row r="10" spans="2:11">
      <c r="B10" s="23" t="s">
        <v>6</v>
      </c>
      <c r="C10" s="30">
        <f>C23+C24+C25+C26+C27+C28+C29+C30</f>
        <v>0.29041095890410956</v>
      </c>
      <c r="D10" s="15">
        <v>0.25</v>
      </c>
      <c r="E10" s="31"/>
      <c r="F10" s="34"/>
      <c r="G10" s="28"/>
    </row>
    <row r="11" spans="2:11">
      <c r="B11" s="23" t="s">
        <v>7</v>
      </c>
      <c r="C11" s="30">
        <f>C34+C35</f>
        <v>0.24931506849315069</v>
      </c>
      <c r="D11" s="15">
        <v>0.25</v>
      </c>
      <c r="E11" s="31"/>
      <c r="F11" s="34"/>
      <c r="G11" s="28"/>
    </row>
    <row r="12" spans="2:11">
      <c r="B12" s="23" t="s">
        <v>8</v>
      </c>
      <c r="C12" s="30">
        <f>C31+C32+C33</f>
        <v>0.46027397260273972</v>
      </c>
      <c r="D12" s="15">
        <v>0.5</v>
      </c>
      <c r="E12" s="31"/>
      <c r="F12" s="34"/>
      <c r="G12" s="28"/>
    </row>
    <row r="13" spans="2:11">
      <c r="E13" s="31"/>
      <c r="F13" s="34"/>
      <c r="G13" s="28"/>
    </row>
    <row r="14" spans="2:11">
      <c r="B14" s="16" t="s">
        <v>132</v>
      </c>
      <c r="C14" s="17">
        <v>2030</v>
      </c>
      <c r="D14" s="17" t="s">
        <v>10</v>
      </c>
      <c r="E14" s="31"/>
      <c r="F14" s="34"/>
      <c r="G14" s="28"/>
    </row>
    <row r="15" spans="2:11">
      <c r="B15" s="18" t="s">
        <v>133</v>
      </c>
      <c r="C15" s="100">
        <f>((F61*D28)+(F77*D33)+(F94*D32)+(F96*D32)+(F99*D32)+(F100*D32)+(F101*D32)+(F102*D32)+(F110*D29)+(F111*D29)+(F116*D30))/D4</f>
        <v>0.29999999999998594</v>
      </c>
      <c r="D15" s="19">
        <v>0.3</v>
      </c>
      <c r="E15" s="31"/>
      <c r="F15" s="34"/>
      <c r="G15" s="86"/>
    </row>
    <row r="16" spans="2:11">
      <c r="B16" s="18" t="s">
        <v>134</v>
      </c>
      <c r="C16" s="100">
        <f>((F40+F41+F42)*D26 + (F43+F44)*D27 +(F45+F46)*D24 + (F47+F48+F49+F50+F51+F52+F53)*D25 + (F54+F55+F56+F57+F58+F59)*D23 + (F60*D28) + (F62+F63+F64+F65+F66+F67+F68+F69+F70)*D31 + (F71+F72+F73+F74+F75+F76+F78+F79+F80+F81+F82+F83+F84+F85+F86)*D33 + (F87+F88)*D35 + (F89+F90+F91)*D34 + (F92+F93+F95+F97+F98)*D32 + (F103+F104+F105+F106+F107+F108+F109)*D29 + (F112+F113+F114+F115+F117+F118+F119+F120+F121+F122+F123+F124+F125+F126+F127+F128)*D30)/365</f>
        <v>0.70000000000001095</v>
      </c>
      <c r="D16" s="19">
        <v>0.7</v>
      </c>
      <c r="E16" s="31"/>
      <c r="F16" s="34"/>
      <c r="G16" s="28"/>
    </row>
    <row r="17" spans="2:10">
      <c r="B17" s="22"/>
      <c r="E17" s="31"/>
      <c r="F17" s="34"/>
      <c r="G17" s="28"/>
    </row>
    <row r="18" spans="2:10">
      <c r="B18" s="36"/>
      <c r="C18" s="37"/>
      <c r="G18" s="38"/>
    </row>
    <row r="19" spans="2:10">
      <c r="B19" s="22" t="s">
        <v>13</v>
      </c>
      <c r="C19" s="37"/>
      <c r="G19" s="38"/>
      <c r="H19" s="22" t="s">
        <v>131</v>
      </c>
    </row>
    <row r="20" spans="2:10">
      <c r="B20" s="36"/>
      <c r="C20" s="37"/>
      <c r="G20" s="38"/>
    </row>
    <row r="21" spans="2:10">
      <c r="B21" s="39" t="s">
        <v>14</v>
      </c>
      <c r="H21" s="39" t="s">
        <v>14</v>
      </c>
    </row>
    <row r="22" spans="2:10" ht="30">
      <c r="B22" s="21" t="s">
        <v>15</v>
      </c>
      <c r="C22" s="26" t="s">
        <v>16</v>
      </c>
      <c r="D22" s="26" t="s">
        <v>17</v>
      </c>
      <c r="E22" s="26" t="s">
        <v>18</v>
      </c>
      <c r="F22" s="26" t="s">
        <v>19</v>
      </c>
      <c r="H22" s="21" t="s">
        <v>15</v>
      </c>
      <c r="I22" s="26" t="s">
        <v>143</v>
      </c>
      <c r="J22" s="26" t="s">
        <v>144</v>
      </c>
    </row>
    <row r="23" spans="2:10" ht="15">
      <c r="B23" s="20" t="s">
        <v>20</v>
      </c>
      <c r="C23" s="27">
        <v>8.21917808219178E-3</v>
      </c>
      <c r="D23" s="24">
        <f>C23*$C$4</f>
        <v>2.9999999999999996</v>
      </c>
      <c r="E23" s="49">
        <f>SUM(K54:K59)</f>
        <v>24.291314857142858</v>
      </c>
      <c r="F23" s="49">
        <f>D23*E23</f>
        <v>72.873944571428567</v>
      </c>
      <c r="H23" s="20" t="s">
        <v>20</v>
      </c>
      <c r="I23" s="27">
        <v>6.5753424657534242E-3</v>
      </c>
      <c r="J23" s="97">
        <f>SUM(F54:F59)</f>
        <v>1</v>
      </c>
    </row>
    <row r="24" spans="2:10" ht="15">
      <c r="B24" s="20" t="s">
        <v>21</v>
      </c>
      <c r="C24" s="27">
        <v>5.4794520547945206E-3</v>
      </c>
      <c r="D24" s="24">
        <f t="shared" ref="D24:D35" si="0">C24*$C$4</f>
        <v>2</v>
      </c>
      <c r="E24" s="49">
        <f>SUM(K45:K46)</f>
        <v>16.406103899999998</v>
      </c>
      <c r="F24" s="49">
        <f t="shared" ref="F24:F35" si="1">D24*E24</f>
        <v>32.812207799999996</v>
      </c>
      <c r="H24" s="20" t="s">
        <v>21</v>
      </c>
      <c r="I24" s="27">
        <v>4.383561643835617E-3</v>
      </c>
      <c r="J24" s="97">
        <f>SUM(F45:F46)</f>
        <v>1</v>
      </c>
    </row>
    <row r="25" spans="2:10" ht="15">
      <c r="B25" s="20" t="s">
        <v>22</v>
      </c>
      <c r="C25" s="27">
        <v>6.0273972602739728E-2</v>
      </c>
      <c r="D25" s="24">
        <f t="shared" si="0"/>
        <v>22</v>
      </c>
      <c r="E25" s="49">
        <f>SUM(K47:K53)</f>
        <v>11.945393876296297</v>
      </c>
      <c r="F25" s="49">
        <f t="shared" si="1"/>
        <v>262.79866527851851</v>
      </c>
      <c r="H25" s="20" t="s">
        <v>22</v>
      </c>
      <c r="I25" s="27">
        <v>4.8219178082191783E-2</v>
      </c>
      <c r="J25" s="97">
        <f>SUM(F47:F53)</f>
        <v>1</v>
      </c>
    </row>
    <row r="26" spans="2:10" ht="15">
      <c r="B26" s="20" t="s">
        <v>23</v>
      </c>
      <c r="C26" s="27">
        <v>9.3150684931506855E-2</v>
      </c>
      <c r="D26" s="24">
        <f t="shared" si="0"/>
        <v>34</v>
      </c>
      <c r="E26" s="49">
        <f>SUM(K40:K42)</f>
        <v>3.5247584216867471</v>
      </c>
      <c r="F26" s="49">
        <f t="shared" si="1"/>
        <v>119.8417863373494</v>
      </c>
      <c r="H26" s="20" t="s">
        <v>23</v>
      </c>
      <c r="I26" s="27">
        <v>7.452054794520549E-2</v>
      </c>
      <c r="J26" s="97">
        <f>SUM(F40:F42)</f>
        <v>1</v>
      </c>
    </row>
    <row r="27" spans="2:10" ht="15">
      <c r="B27" s="20" t="s">
        <v>24</v>
      </c>
      <c r="C27" s="27">
        <v>5.4794520547945206E-3</v>
      </c>
      <c r="D27" s="24">
        <f t="shared" si="0"/>
        <v>2</v>
      </c>
      <c r="E27" s="49">
        <f>SUM(K43:K44)</f>
        <v>4.2112411489361712</v>
      </c>
      <c r="F27" s="49">
        <f t="shared" si="1"/>
        <v>8.4224822978723424</v>
      </c>
      <c r="H27" s="20" t="s">
        <v>24</v>
      </c>
      <c r="I27" s="27">
        <v>4.383561643835617E-3</v>
      </c>
      <c r="J27" s="97">
        <f>SUM(F43:F44)</f>
        <v>1</v>
      </c>
    </row>
    <row r="28" spans="2:10" ht="15">
      <c r="B28" s="20" t="s">
        <v>25</v>
      </c>
      <c r="C28" s="27">
        <v>6.0273972602739728E-2</v>
      </c>
      <c r="D28" s="24">
        <f t="shared" si="0"/>
        <v>22</v>
      </c>
      <c r="E28" s="49">
        <f>SUM(K60:K61)</f>
        <v>3.0431363041400914</v>
      </c>
      <c r="F28" s="49">
        <f t="shared" si="1"/>
        <v>66.948998691082011</v>
      </c>
      <c r="H28" s="20" t="s">
        <v>25</v>
      </c>
      <c r="I28" s="27">
        <v>4.8219178082191783E-2</v>
      </c>
      <c r="J28" s="97">
        <f>SUM(F60:F61)</f>
        <v>1</v>
      </c>
    </row>
    <row r="29" spans="2:10" ht="15">
      <c r="B29" s="20" t="s">
        <v>26</v>
      </c>
      <c r="C29" s="27">
        <v>4.1095890410958902E-2</v>
      </c>
      <c r="D29" s="24">
        <f t="shared" si="0"/>
        <v>15</v>
      </c>
      <c r="E29" s="49">
        <f>SUM(K103:K111)</f>
        <v>5.2868448428975299</v>
      </c>
      <c r="F29" s="49">
        <f t="shared" si="1"/>
        <v>79.302672643462955</v>
      </c>
      <c r="H29" s="20" t="s">
        <v>26</v>
      </c>
      <c r="I29" s="27">
        <v>3.287671232876712E-2</v>
      </c>
      <c r="J29" s="97">
        <f>SUM(F103:F111)</f>
        <v>1</v>
      </c>
    </row>
    <row r="30" spans="2:10" ht="15">
      <c r="B30" s="20" t="s">
        <v>27</v>
      </c>
      <c r="C30" s="27">
        <v>1.643835616438356E-2</v>
      </c>
      <c r="D30" s="24">
        <f t="shared" si="0"/>
        <v>5.9999999999999991</v>
      </c>
      <c r="E30" s="49">
        <f>SUM(K112:K128)</f>
        <v>5.3162715390280137</v>
      </c>
      <c r="F30" s="49">
        <f t="shared" si="1"/>
        <v>31.897629234168079</v>
      </c>
      <c r="H30" s="20" t="s">
        <v>27</v>
      </c>
      <c r="I30" s="27">
        <v>1.3150684931506848E-2</v>
      </c>
      <c r="J30" s="97">
        <f>SUM(F112:F128)</f>
        <v>1.0000000000000002</v>
      </c>
    </row>
    <row r="31" spans="2:10" ht="15">
      <c r="B31" s="20" t="s">
        <v>28</v>
      </c>
      <c r="C31" s="27">
        <v>0.19726027397260273</v>
      </c>
      <c r="D31" s="24">
        <f t="shared" si="0"/>
        <v>72</v>
      </c>
      <c r="E31" s="49">
        <f>SUM(K62:K70)</f>
        <v>0.4049254074889867</v>
      </c>
      <c r="F31" s="49">
        <f t="shared" si="1"/>
        <v>29.154629339207041</v>
      </c>
      <c r="H31" s="20" t="s">
        <v>28</v>
      </c>
      <c r="I31" s="27">
        <v>0.15780821917808219</v>
      </c>
      <c r="J31" s="97">
        <f>SUM(F62:F70)</f>
        <v>1</v>
      </c>
    </row>
    <row r="32" spans="2:10" ht="15">
      <c r="B32" s="20" t="s">
        <v>29</v>
      </c>
      <c r="C32" s="27">
        <v>4.3835616438356165E-2</v>
      </c>
      <c r="D32" s="24">
        <f t="shared" si="0"/>
        <v>16</v>
      </c>
      <c r="E32" s="49">
        <f>SUM(K92:K102)</f>
        <v>0.40408069709311734</v>
      </c>
      <c r="F32" s="49">
        <f t="shared" si="1"/>
        <v>6.4652911534898774</v>
      </c>
      <c r="H32" s="20" t="s">
        <v>29</v>
      </c>
      <c r="I32" s="27">
        <v>3.5068493150684936E-2</v>
      </c>
      <c r="J32" s="97">
        <f>SUM(F92:F102)</f>
        <v>1</v>
      </c>
    </row>
    <row r="33" spans="2:11" ht="15">
      <c r="B33" s="20" t="s">
        <v>30</v>
      </c>
      <c r="C33" s="27">
        <v>0.21917808219178081</v>
      </c>
      <c r="D33" s="24">
        <f t="shared" si="0"/>
        <v>80</v>
      </c>
      <c r="E33" s="49">
        <f>SUM(K71:K86)</f>
        <v>0.24571499999999646</v>
      </c>
      <c r="F33" s="49">
        <f t="shared" si="1"/>
        <v>19.657199999999719</v>
      </c>
      <c r="H33" s="20" t="s">
        <v>30</v>
      </c>
      <c r="I33" s="27">
        <v>0.17534246575342466</v>
      </c>
      <c r="J33" s="97">
        <f>SUM(F71:F86)</f>
        <v>0.99999999999998568</v>
      </c>
    </row>
    <row r="34" spans="2:11" ht="15">
      <c r="B34" s="20" t="s">
        <v>31</v>
      </c>
      <c r="C34" s="27">
        <v>0.12328767123287671</v>
      </c>
      <c r="D34" s="24">
        <f t="shared" si="0"/>
        <v>45</v>
      </c>
      <c r="E34" s="49">
        <f>SUM(K89:K91)</f>
        <v>2.5732208043478266</v>
      </c>
      <c r="F34" s="49">
        <f t="shared" si="1"/>
        <v>115.7949361956522</v>
      </c>
      <c r="H34" s="20" t="s">
        <v>31</v>
      </c>
      <c r="I34" s="27">
        <v>9.8630136986301367E-2</v>
      </c>
      <c r="J34" s="97">
        <f>SUM(F89:F91)</f>
        <v>1</v>
      </c>
    </row>
    <row r="35" spans="2:11" ht="15">
      <c r="B35" s="20" t="s">
        <v>32</v>
      </c>
      <c r="C35" s="27">
        <v>0.12602739726027398</v>
      </c>
      <c r="D35" s="24">
        <f t="shared" si="0"/>
        <v>46</v>
      </c>
      <c r="E35" s="49">
        <f>SUM(K87:K88)</f>
        <v>0.72266448936170213</v>
      </c>
      <c r="F35" s="49">
        <f t="shared" si="1"/>
        <v>33.242566510638298</v>
      </c>
      <c r="H35" s="20" t="s">
        <v>32</v>
      </c>
      <c r="I35" s="27">
        <v>0.1008219178082192</v>
      </c>
      <c r="J35" s="97">
        <f>SUM(F87:F88)</f>
        <v>1</v>
      </c>
    </row>
    <row r="36" spans="2:11" s="14" customFormat="1"/>
    <row r="37" spans="2:11">
      <c r="C37" s="77"/>
      <c r="D37" s="25"/>
    </row>
    <row r="38" spans="2:11">
      <c r="B38" s="22" t="s">
        <v>147</v>
      </c>
      <c r="G38" s="25"/>
    </row>
    <row r="39" spans="2:11" ht="30">
      <c r="B39" s="68" t="s">
        <v>33</v>
      </c>
      <c r="C39" s="68" t="s">
        <v>15</v>
      </c>
      <c r="D39" s="68" t="s">
        <v>34</v>
      </c>
      <c r="E39" s="68" t="s">
        <v>35</v>
      </c>
      <c r="F39" s="101" t="s">
        <v>148</v>
      </c>
      <c r="G39" s="67" t="s">
        <v>149</v>
      </c>
      <c r="H39" s="67" t="s">
        <v>150</v>
      </c>
      <c r="I39" s="67" t="s">
        <v>151</v>
      </c>
      <c r="J39" s="67" t="s">
        <v>152</v>
      </c>
      <c r="K39" s="67" t="s">
        <v>153</v>
      </c>
    </row>
    <row r="40" spans="2:11" ht="15">
      <c r="B40" s="70">
        <v>1</v>
      </c>
      <c r="C40" s="69" t="s">
        <v>23</v>
      </c>
      <c r="D40" s="70" t="s">
        <v>40</v>
      </c>
      <c r="E40" s="69" t="s">
        <v>41</v>
      </c>
      <c r="F40" s="71">
        <v>0.4337349397590361</v>
      </c>
      <c r="G40" s="88">
        <v>2.995031</v>
      </c>
      <c r="H40" s="88">
        <v>0.38144</v>
      </c>
      <c r="I40" s="88">
        <v>3.8969999999999999E-3</v>
      </c>
      <c r="J40" s="88">
        <f>SUM(G40:I40)</f>
        <v>3.3803679999999998</v>
      </c>
      <c r="K40" s="93">
        <f>F40*J40</f>
        <v>1.4661837108433733</v>
      </c>
    </row>
    <row r="41" spans="2:11" ht="15">
      <c r="B41" s="70">
        <v>2</v>
      </c>
      <c r="C41" s="69" t="s">
        <v>23</v>
      </c>
      <c r="D41" s="70" t="s">
        <v>42</v>
      </c>
      <c r="E41" s="70" t="s">
        <v>41</v>
      </c>
      <c r="F41" s="72">
        <v>1.2048192771084336E-2</v>
      </c>
      <c r="G41" s="88">
        <v>2.9989279999999998</v>
      </c>
      <c r="H41" s="88">
        <v>0.76137900000000003</v>
      </c>
      <c r="I41" s="88">
        <v>2.7139999999999998E-3</v>
      </c>
      <c r="J41" s="88">
        <f t="shared" ref="J41:J104" si="2">SUM(G41:I41)</f>
        <v>3.7630210000000002</v>
      </c>
      <c r="K41" s="93">
        <f t="shared" ref="K41:K104" si="3">F41*J41</f>
        <v>4.533760240963855E-2</v>
      </c>
    </row>
    <row r="42" spans="2:11" ht="15">
      <c r="B42" s="70">
        <v>3</v>
      </c>
      <c r="C42" s="69" t="s">
        <v>23</v>
      </c>
      <c r="D42" s="70" t="s">
        <v>42</v>
      </c>
      <c r="E42" s="70" t="s">
        <v>43</v>
      </c>
      <c r="F42" s="72">
        <v>0.55421686746987953</v>
      </c>
      <c r="G42" s="88">
        <v>2.5277020000000001</v>
      </c>
      <c r="H42" s="88">
        <v>0.68049199999999999</v>
      </c>
      <c r="I42" s="88">
        <v>0.42438599999999999</v>
      </c>
      <c r="J42" s="88">
        <f t="shared" si="2"/>
        <v>3.6325800000000004</v>
      </c>
      <c r="K42" s="93">
        <f t="shared" si="3"/>
        <v>2.013237108433735</v>
      </c>
    </row>
    <row r="43" spans="2:11" ht="15">
      <c r="B43" s="74">
        <v>4</v>
      </c>
      <c r="C43" s="73" t="s">
        <v>24</v>
      </c>
      <c r="D43" s="74" t="s">
        <v>40</v>
      </c>
      <c r="E43" s="73" t="s">
        <v>41</v>
      </c>
      <c r="F43" s="75">
        <v>0.36170212765957449</v>
      </c>
      <c r="G43" s="89">
        <v>3.812459</v>
      </c>
      <c r="H43" s="89">
        <v>0.32567699999999999</v>
      </c>
      <c r="I43" s="89">
        <v>4.0559999999999997E-3</v>
      </c>
      <c r="J43" s="89">
        <f t="shared" si="2"/>
        <v>4.1421920000000005</v>
      </c>
      <c r="K43" s="94">
        <f t="shared" si="3"/>
        <v>1.4982396595744685</v>
      </c>
    </row>
    <row r="44" spans="2:11" ht="15">
      <c r="B44" s="74">
        <v>5</v>
      </c>
      <c r="C44" s="73" t="s">
        <v>24</v>
      </c>
      <c r="D44" s="74" t="s">
        <v>42</v>
      </c>
      <c r="E44" s="73" t="s">
        <v>41</v>
      </c>
      <c r="F44" s="75">
        <v>0.63829787234042556</v>
      </c>
      <c r="G44" s="89">
        <v>3.812459</v>
      </c>
      <c r="H44" s="89">
        <v>0.43385400000000002</v>
      </c>
      <c r="I44" s="89">
        <v>4.0559999999999997E-3</v>
      </c>
      <c r="J44" s="89">
        <f t="shared" si="2"/>
        <v>4.2503690000000001</v>
      </c>
      <c r="K44" s="94">
        <f t="shared" si="3"/>
        <v>2.7130014893617025</v>
      </c>
    </row>
    <row r="45" spans="2:11" ht="15">
      <c r="B45" s="70">
        <v>6</v>
      </c>
      <c r="C45" s="69" t="s">
        <v>21</v>
      </c>
      <c r="D45" s="70" t="s">
        <v>44</v>
      </c>
      <c r="E45" s="70" t="s">
        <v>45</v>
      </c>
      <c r="F45" s="72">
        <v>0.3</v>
      </c>
      <c r="G45" s="88">
        <v>13.19894</v>
      </c>
      <c r="H45" s="88">
        <v>0.90092099999999997</v>
      </c>
      <c r="I45" s="88">
        <v>7.1202430000000003</v>
      </c>
      <c r="J45" s="88">
        <f t="shared" si="2"/>
        <v>21.220103999999999</v>
      </c>
      <c r="K45" s="93">
        <f t="shared" si="3"/>
        <v>6.3660311999999992</v>
      </c>
    </row>
    <row r="46" spans="2:11" ht="15">
      <c r="B46" s="70">
        <v>7</v>
      </c>
      <c r="C46" s="69" t="s">
        <v>21</v>
      </c>
      <c r="D46" s="70" t="s">
        <v>42</v>
      </c>
      <c r="E46" s="70" t="s">
        <v>45</v>
      </c>
      <c r="F46" s="72">
        <v>0.7</v>
      </c>
      <c r="G46" s="88">
        <v>13.19894</v>
      </c>
      <c r="H46" s="88">
        <v>0.96768900000000002</v>
      </c>
      <c r="I46" s="88">
        <v>0.17633199999999999</v>
      </c>
      <c r="J46" s="88">
        <f t="shared" si="2"/>
        <v>14.342961000000001</v>
      </c>
      <c r="K46" s="93">
        <f t="shared" si="3"/>
        <v>10.0400727</v>
      </c>
    </row>
    <row r="47" spans="2:11" ht="15">
      <c r="B47" s="74">
        <v>8</v>
      </c>
      <c r="C47" s="73" t="s">
        <v>22</v>
      </c>
      <c r="D47" s="74" t="s">
        <v>40</v>
      </c>
      <c r="E47" s="73" t="s">
        <v>46</v>
      </c>
      <c r="F47" s="75">
        <v>0.20987654320987664</v>
      </c>
      <c r="G47" s="89">
        <v>7.22039819</v>
      </c>
      <c r="H47" s="89">
        <v>1.7484542000000001</v>
      </c>
      <c r="I47" s="89">
        <v>4.0494910000000002E-2</v>
      </c>
      <c r="J47" s="89">
        <f t="shared" si="2"/>
        <v>9.0093472999999999</v>
      </c>
      <c r="K47" s="94">
        <f t="shared" si="3"/>
        <v>1.8908506679012353</v>
      </c>
    </row>
    <row r="48" spans="2:11" ht="15">
      <c r="B48" s="74">
        <v>9</v>
      </c>
      <c r="C48" s="73" t="s">
        <v>22</v>
      </c>
      <c r="D48" s="74" t="s">
        <v>44</v>
      </c>
      <c r="E48" s="74" t="s">
        <v>43</v>
      </c>
      <c r="F48" s="76">
        <v>0.12345679012345678</v>
      </c>
      <c r="G48" s="89">
        <v>7.2956225999999997</v>
      </c>
      <c r="H48" s="89">
        <v>0.81951735000000003</v>
      </c>
      <c r="I48" s="89">
        <v>18.8588928</v>
      </c>
      <c r="J48" s="89">
        <f t="shared" si="2"/>
        <v>26.974032749999999</v>
      </c>
      <c r="K48" s="94">
        <f t="shared" si="3"/>
        <v>3.3301274999999997</v>
      </c>
    </row>
    <row r="49" spans="2:11" ht="15">
      <c r="B49" s="74">
        <v>10</v>
      </c>
      <c r="C49" s="73" t="s">
        <v>22</v>
      </c>
      <c r="D49" s="74" t="s">
        <v>44</v>
      </c>
      <c r="E49" s="74" t="s">
        <v>45</v>
      </c>
      <c r="F49" s="76">
        <v>4.9382716049382713E-2</v>
      </c>
      <c r="G49" s="89">
        <v>7.1395445799999999</v>
      </c>
      <c r="H49" s="89">
        <v>4.0700936900000002</v>
      </c>
      <c r="I49" s="89">
        <v>7.1202434300000004</v>
      </c>
      <c r="J49" s="89">
        <f t="shared" si="2"/>
        <v>18.329881700000001</v>
      </c>
      <c r="K49" s="94">
        <f t="shared" si="3"/>
        <v>0.90517934320987659</v>
      </c>
    </row>
    <row r="50" spans="2:11" ht="15">
      <c r="B50" s="74">
        <v>11</v>
      </c>
      <c r="C50" s="73" t="s">
        <v>22</v>
      </c>
      <c r="D50" s="74" t="s">
        <v>42</v>
      </c>
      <c r="E50" s="74" t="s">
        <v>43</v>
      </c>
      <c r="F50" s="76">
        <v>0.29629629629629628</v>
      </c>
      <c r="G50" s="89">
        <v>7.2956225999999997</v>
      </c>
      <c r="H50" s="89">
        <v>0.84836555000000002</v>
      </c>
      <c r="I50" s="89">
        <v>0.42201559999999999</v>
      </c>
      <c r="J50" s="89">
        <f t="shared" si="2"/>
        <v>8.5660037500000001</v>
      </c>
      <c r="K50" s="94">
        <f t="shared" si="3"/>
        <v>2.538075185185185</v>
      </c>
    </row>
    <row r="51" spans="2:11" ht="15">
      <c r="B51" s="74">
        <v>12</v>
      </c>
      <c r="C51" s="73" t="s">
        <v>22</v>
      </c>
      <c r="D51" s="74" t="s">
        <v>42</v>
      </c>
      <c r="E51" s="74" t="s">
        <v>45</v>
      </c>
      <c r="F51" s="76">
        <v>9.8765432098765427E-2</v>
      </c>
      <c r="G51" s="89">
        <v>7.1395445799999999</v>
      </c>
      <c r="H51" s="89">
        <v>4.1668280099999997</v>
      </c>
      <c r="I51" s="89">
        <v>0.17633204</v>
      </c>
      <c r="J51" s="89">
        <f t="shared" si="2"/>
        <v>11.482704629999999</v>
      </c>
      <c r="K51" s="94">
        <f t="shared" si="3"/>
        <v>1.1340942844444444</v>
      </c>
    </row>
    <row r="52" spans="2:11" ht="15">
      <c r="B52" s="74">
        <v>13</v>
      </c>
      <c r="C52" s="73" t="s">
        <v>22</v>
      </c>
      <c r="D52" s="74" t="s">
        <v>42</v>
      </c>
      <c r="E52" s="74" t="s">
        <v>47</v>
      </c>
      <c r="F52" s="76">
        <v>0.14814814814814814</v>
      </c>
      <c r="G52" s="89">
        <v>7.0857764300000001</v>
      </c>
      <c r="H52" s="89">
        <v>2.3632220799999999</v>
      </c>
      <c r="I52" s="89">
        <v>0.36202464000000001</v>
      </c>
      <c r="J52" s="89">
        <f t="shared" si="2"/>
        <v>9.8110231499999987</v>
      </c>
      <c r="K52" s="94">
        <f t="shared" si="3"/>
        <v>1.4534849111111108</v>
      </c>
    </row>
    <row r="53" spans="2:11" ht="15">
      <c r="B53" s="74">
        <v>14</v>
      </c>
      <c r="C53" s="73" t="s">
        <v>22</v>
      </c>
      <c r="D53" s="74" t="s">
        <v>42</v>
      </c>
      <c r="E53" s="74" t="s">
        <v>48</v>
      </c>
      <c r="F53" s="76">
        <v>7.407407407407407E-2</v>
      </c>
      <c r="G53" s="89">
        <v>7.2956225999999997</v>
      </c>
      <c r="H53" s="89">
        <v>1.77765705</v>
      </c>
      <c r="I53" s="89">
        <v>0.29007714000000001</v>
      </c>
      <c r="J53" s="89">
        <f t="shared" si="2"/>
        <v>9.3633567899999992</v>
      </c>
      <c r="K53" s="94">
        <f t="shared" si="3"/>
        <v>0.6935819844444443</v>
      </c>
    </row>
    <row r="54" spans="2:11" ht="15">
      <c r="B54" s="70">
        <v>15</v>
      </c>
      <c r="C54" s="69" t="s">
        <v>20</v>
      </c>
      <c r="D54" s="70" t="s">
        <v>44</v>
      </c>
      <c r="E54" s="70" t="s">
        <v>43</v>
      </c>
      <c r="F54" s="72">
        <v>0.17582417582417581</v>
      </c>
      <c r="G54" s="88">
        <v>18.833870000000001</v>
      </c>
      <c r="H54" s="88">
        <v>0.69446600000000003</v>
      </c>
      <c r="I54" s="88">
        <v>18.858889999999999</v>
      </c>
      <c r="J54" s="88">
        <f t="shared" si="2"/>
        <v>38.387225999999998</v>
      </c>
      <c r="K54" s="93">
        <f t="shared" si="3"/>
        <v>6.7494023736263724</v>
      </c>
    </row>
    <row r="55" spans="2:11" ht="15">
      <c r="B55" s="70">
        <v>16</v>
      </c>
      <c r="C55" s="69" t="s">
        <v>20</v>
      </c>
      <c r="D55" s="70" t="s">
        <v>44</v>
      </c>
      <c r="E55" s="70" t="s">
        <v>45</v>
      </c>
      <c r="F55" s="72">
        <v>8.7912087912087905E-2</v>
      </c>
      <c r="G55" s="88">
        <v>18.857240000000001</v>
      </c>
      <c r="H55" s="88">
        <v>1.5193319999999999</v>
      </c>
      <c r="I55" s="88">
        <v>7.1202430000000003</v>
      </c>
      <c r="J55" s="88">
        <f t="shared" si="2"/>
        <v>27.496814999999998</v>
      </c>
      <c r="K55" s="93">
        <f t="shared" si="3"/>
        <v>2.4173024175824174</v>
      </c>
    </row>
    <row r="56" spans="2:11" ht="15">
      <c r="B56" s="70">
        <v>17</v>
      </c>
      <c r="C56" s="69" t="s">
        <v>20</v>
      </c>
      <c r="D56" s="70" t="s">
        <v>44</v>
      </c>
      <c r="E56" s="70" t="s">
        <v>49</v>
      </c>
      <c r="F56" s="72">
        <v>3.2967032967032968E-2</v>
      </c>
      <c r="G56" s="88">
        <v>18.760680000000001</v>
      </c>
      <c r="H56" s="88">
        <v>0.63292700000000002</v>
      </c>
      <c r="I56" s="88">
        <v>9.8971769999999992</v>
      </c>
      <c r="J56" s="88">
        <f t="shared" si="2"/>
        <v>29.290783999999999</v>
      </c>
      <c r="K56" s="93">
        <f t="shared" si="3"/>
        <v>0.96563024175824175</v>
      </c>
    </row>
    <row r="57" spans="2:11" ht="15">
      <c r="B57" s="70">
        <v>18</v>
      </c>
      <c r="C57" s="69" t="s">
        <v>20</v>
      </c>
      <c r="D57" s="70" t="s">
        <v>42</v>
      </c>
      <c r="E57" s="70" t="s">
        <v>43</v>
      </c>
      <c r="F57" s="72">
        <v>0.39560439560439559</v>
      </c>
      <c r="G57" s="88">
        <v>18.833870000000001</v>
      </c>
      <c r="H57" s="88">
        <v>0.714009</v>
      </c>
      <c r="I57" s="88">
        <v>0.422016</v>
      </c>
      <c r="J57" s="88">
        <f t="shared" si="2"/>
        <v>19.969895000000001</v>
      </c>
      <c r="K57" s="93">
        <f t="shared" si="3"/>
        <v>7.9001782417582422</v>
      </c>
    </row>
    <row r="58" spans="2:11" ht="15">
      <c r="B58" s="70">
        <v>19</v>
      </c>
      <c r="C58" s="69" t="s">
        <v>20</v>
      </c>
      <c r="D58" s="70" t="s">
        <v>42</v>
      </c>
      <c r="E58" s="70" t="s">
        <v>45</v>
      </c>
      <c r="F58" s="72">
        <v>0.21978021978021978</v>
      </c>
      <c r="G58" s="88">
        <v>18.857240000000001</v>
      </c>
      <c r="H58" s="88">
        <v>1.5861000000000001</v>
      </c>
      <c r="I58" s="88">
        <v>0.17633199999999999</v>
      </c>
      <c r="J58" s="88">
        <f t="shared" si="2"/>
        <v>20.619671999999998</v>
      </c>
      <c r="K58" s="93">
        <f t="shared" si="3"/>
        <v>4.5317960439560432</v>
      </c>
    </row>
    <row r="59" spans="2:11" ht="15">
      <c r="B59" s="70">
        <v>20</v>
      </c>
      <c r="C59" s="69" t="s">
        <v>20</v>
      </c>
      <c r="D59" s="70" t="s">
        <v>42</v>
      </c>
      <c r="E59" s="70" t="s">
        <v>49</v>
      </c>
      <c r="F59" s="72">
        <v>8.7912087912087905E-2</v>
      </c>
      <c r="G59" s="88">
        <v>18.760680000000001</v>
      </c>
      <c r="H59" s="88">
        <v>0.64853400000000005</v>
      </c>
      <c r="I59" s="88">
        <v>0.23547399999999999</v>
      </c>
      <c r="J59" s="88">
        <f t="shared" si="2"/>
        <v>19.644688000000002</v>
      </c>
      <c r="K59" s="93">
        <f t="shared" si="3"/>
        <v>1.7270055384615386</v>
      </c>
    </row>
    <row r="60" spans="2:11" ht="15">
      <c r="B60" s="74">
        <v>21</v>
      </c>
      <c r="C60" s="73" t="s">
        <v>25</v>
      </c>
      <c r="D60" s="74" t="s">
        <v>40</v>
      </c>
      <c r="E60" s="74" t="s">
        <v>41</v>
      </c>
      <c r="F60" s="76">
        <v>0.57236812958502914</v>
      </c>
      <c r="G60" s="89">
        <v>3.0457689999999999</v>
      </c>
      <c r="H60" s="89">
        <v>5.5363000000000002E-2</v>
      </c>
      <c r="I60" s="89">
        <v>7.358E-3</v>
      </c>
      <c r="J60" s="89">
        <f t="shared" si="2"/>
        <v>3.1084899999999998</v>
      </c>
      <c r="K60" s="94">
        <f t="shared" si="3"/>
        <v>1.7792006071337672</v>
      </c>
    </row>
    <row r="61" spans="2:11" s="81" customFormat="1" ht="15">
      <c r="B61" s="78">
        <v>22</v>
      </c>
      <c r="C61" s="79" t="s">
        <v>25</v>
      </c>
      <c r="D61" s="78" t="s">
        <v>40</v>
      </c>
      <c r="E61" s="78" t="s">
        <v>50</v>
      </c>
      <c r="F61" s="80">
        <v>0.42763187041497092</v>
      </c>
      <c r="G61" s="90">
        <v>2.924229</v>
      </c>
      <c r="H61" s="90">
        <v>3.1273000000000002E-2</v>
      </c>
      <c r="I61" s="90">
        <v>1.6100000000000001E-4</v>
      </c>
      <c r="J61" s="90">
        <f t="shared" si="2"/>
        <v>2.9556629999999999</v>
      </c>
      <c r="K61" s="95">
        <f t="shared" si="3"/>
        <v>1.2639356970063242</v>
      </c>
    </row>
    <row r="62" spans="2:11" ht="15">
      <c r="B62" s="70">
        <v>23</v>
      </c>
      <c r="C62" s="69" t="s">
        <v>28</v>
      </c>
      <c r="D62" s="70" t="s">
        <v>51</v>
      </c>
      <c r="E62" s="70" t="s">
        <v>41</v>
      </c>
      <c r="F62" s="72">
        <v>9.0308370044052858E-2</v>
      </c>
      <c r="G62" s="88">
        <v>0.19164700000000001</v>
      </c>
      <c r="H62" s="88">
        <v>0.10198699999999999</v>
      </c>
      <c r="I62" s="88">
        <v>8.8981000000000005E-2</v>
      </c>
      <c r="J62" s="88">
        <f t="shared" si="2"/>
        <v>0.38261500000000004</v>
      </c>
      <c r="K62" s="93">
        <f t="shared" si="3"/>
        <v>3.4553337004405285E-2</v>
      </c>
    </row>
    <row r="63" spans="2:11" ht="15">
      <c r="B63" s="70">
        <v>24</v>
      </c>
      <c r="C63" s="69" t="s">
        <v>28</v>
      </c>
      <c r="D63" s="70" t="s">
        <v>51</v>
      </c>
      <c r="E63" s="70" t="s">
        <v>52</v>
      </c>
      <c r="F63" s="72">
        <v>9.2511013215859028E-2</v>
      </c>
      <c r="G63" s="88">
        <v>0.199766</v>
      </c>
      <c r="H63" s="88">
        <v>0.10198699999999999</v>
      </c>
      <c r="I63" s="88">
        <v>8.9165999999999995E-2</v>
      </c>
      <c r="J63" s="88">
        <f t="shared" si="2"/>
        <v>0.39091900000000002</v>
      </c>
      <c r="K63" s="93">
        <f t="shared" si="3"/>
        <v>3.6164312775330394E-2</v>
      </c>
    </row>
    <row r="64" spans="2:11" ht="15">
      <c r="B64" s="70">
        <v>25</v>
      </c>
      <c r="C64" s="69" t="s">
        <v>28</v>
      </c>
      <c r="D64" s="70" t="s">
        <v>53</v>
      </c>
      <c r="E64" s="70" t="s">
        <v>41</v>
      </c>
      <c r="F64" s="72">
        <v>0.21806167400881057</v>
      </c>
      <c r="G64" s="88">
        <v>0.127414</v>
      </c>
      <c r="H64" s="88">
        <v>0.10198699999999999</v>
      </c>
      <c r="I64" s="88">
        <v>8.8981000000000005E-2</v>
      </c>
      <c r="J64" s="88">
        <f t="shared" si="2"/>
        <v>0.318382</v>
      </c>
      <c r="K64" s="93">
        <f t="shared" si="3"/>
        <v>6.9426911894273122E-2</v>
      </c>
    </row>
    <row r="65" spans="2:11" ht="15">
      <c r="B65" s="70">
        <v>26</v>
      </c>
      <c r="C65" s="69" t="s">
        <v>28</v>
      </c>
      <c r="D65" s="70" t="s">
        <v>54</v>
      </c>
      <c r="E65" s="70" t="s">
        <v>41</v>
      </c>
      <c r="F65" s="72">
        <v>0.21365638766519823</v>
      </c>
      <c r="G65" s="88">
        <v>0.14409</v>
      </c>
      <c r="H65" s="88">
        <v>0.10198699999999999</v>
      </c>
      <c r="I65" s="88">
        <v>8.8981000000000005E-2</v>
      </c>
      <c r="J65" s="88">
        <f t="shared" si="2"/>
        <v>0.33505799999999997</v>
      </c>
      <c r="K65" s="93">
        <f t="shared" si="3"/>
        <v>7.1587281938325989E-2</v>
      </c>
    </row>
    <row r="66" spans="2:11" ht="15">
      <c r="B66" s="70">
        <v>27</v>
      </c>
      <c r="C66" s="69" t="s">
        <v>28</v>
      </c>
      <c r="D66" s="70" t="s">
        <v>55</v>
      </c>
      <c r="E66" s="70" t="s">
        <v>41</v>
      </c>
      <c r="F66" s="72">
        <v>0.18502202643171806</v>
      </c>
      <c r="G66" s="88">
        <v>9.3112E-2</v>
      </c>
      <c r="H66" s="88">
        <v>0.10198699999999999</v>
      </c>
      <c r="I66" s="88">
        <v>8.8981000000000005E-2</v>
      </c>
      <c r="J66" s="88">
        <f t="shared" si="2"/>
        <v>0.28408</v>
      </c>
      <c r="K66" s="93">
        <f t="shared" si="3"/>
        <v>5.2561057268722462E-2</v>
      </c>
    </row>
    <row r="67" spans="2:11" ht="15">
      <c r="B67" s="70">
        <v>28</v>
      </c>
      <c r="C67" s="69" t="s">
        <v>28</v>
      </c>
      <c r="D67" s="70" t="s">
        <v>56</v>
      </c>
      <c r="E67" s="70" t="s">
        <v>45</v>
      </c>
      <c r="F67" s="72">
        <v>5.2863436123348012E-2</v>
      </c>
      <c r="G67" s="88">
        <v>0.19825000000000001</v>
      </c>
      <c r="H67" s="88">
        <v>9.6673999999999996E-2</v>
      </c>
      <c r="I67" s="88">
        <v>0.20535600000000001</v>
      </c>
      <c r="J67" s="88">
        <f t="shared" si="2"/>
        <v>0.50028000000000006</v>
      </c>
      <c r="K67" s="93">
        <f t="shared" si="3"/>
        <v>2.6446519823788546E-2</v>
      </c>
    </row>
    <row r="68" spans="2:11" ht="15">
      <c r="B68" s="70">
        <v>29</v>
      </c>
      <c r="C68" s="69" t="s">
        <v>28</v>
      </c>
      <c r="D68" s="70" t="s">
        <v>56</v>
      </c>
      <c r="E68" s="70" t="s">
        <v>57</v>
      </c>
      <c r="F68" s="72">
        <v>6.8281938325991193E-2</v>
      </c>
      <c r="G68" s="88">
        <v>0.156613</v>
      </c>
      <c r="H68" s="88">
        <v>9.6673999999999996E-2</v>
      </c>
      <c r="I68" s="88">
        <v>0.74357899999999999</v>
      </c>
      <c r="J68" s="88">
        <f t="shared" si="2"/>
        <v>0.99686600000000003</v>
      </c>
      <c r="K68" s="93">
        <f t="shared" si="3"/>
        <v>6.8067942731277545E-2</v>
      </c>
    </row>
    <row r="69" spans="2:11" ht="15">
      <c r="B69" s="70">
        <v>30</v>
      </c>
      <c r="C69" s="69" t="s">
        <v>28</v>
      </c>
      <c r="D69" s="70" t="s">
        <v>56</v>
      </c>
      <c r="E69" s="70" t="s">
        <v>58</v>
      </c>
      <c r="F69" s="72">
        <v>4.405286343612335E-2</v>
      </c>
      <c r="G69" s="88">
        <v>0.196074</v>
      </c>
      <c r="H69" s="88">
        <v>0.10198699999999999</v>
      </c>
      <c r="I69" s="88">
        <v>0.29580099999999998</v>
      </c>
      <c r="J69" s="88">
        <f t="shared" si="2"/>
        <v>0.593862</v>
      </c>
      <c r="K69" s="93">
        <f t="shared" si="3"/>
        <v>2.6161321585903084E-2</v>
      </c>
    </row>
    <row r="70" spans="2:11" ht="15">
      <c r="B70" s="70">
        <v>31</v>
      </c>
      <c r="C70" s="69" t="s">
        <v>28</v>
      </c>
      <c r="D70" s="70" t="s">
        <v>56</v>
      </c>
      <c r="E70" s="70" t="s">
        <v>59</v>
      </c>
      <c r="F70" s="72">
        <v>3.5242290748898682E-2</v>
      </c>
      <c r="G70" s="88">
        <v>0.18069099999999999</v>
      </c>
      <c r="H70" s="88">
        <v>0.10312</v>
      </c>
      <c r="I70" s="88">
        <v>0.28246100000000002</v>
      </c>
      <c r="J70" s="88">
        <f t="shared" si="2"/>
        <v>0.566272</v>
      </c>
      <c r="K70" s="93">
        <f t="shared" si="3"/>
        <v>1.9956722466960355E-2</v>
      </c>
    </row>
    <row r="71" spans="2:11" ht="15">
      <c r="B71" s="74">
        <v>32</v>
      </c>
      <c r="C71" s="73" t="s">
        <v>30</v>
      </c>
      <c r="D71" s="74" t="s">
        <v>60</v>
      </c>
      <c r="E71" s="74" t="s">
        <v>41</v>
      </c>
      <c r="F71" s="76">
        <v>0</v>
      </c>
      <c r="G71" s="89">
        <v>0.42276799999999998</v>
      </c>
      <c r="H71" s="89">
        <v>0.10198699999999999</v>
      </c>
      <c r="I71" s="89">
        <v>7.4112999999999998E-2</v>
      </c>
      <c r="J71" s="89">
        <f t="shared" si="2"/>
        <v>0.59886799999999996</v>
      </c>
      <c r="K71" s="94">
        <f t="shared" si="3"/>
        <v>0</v>
      </c>
    </row>
    <row r="72" spans="2:11" ht="15">
      <c r="B72" s="74">
        <v>33</v>
      </c>
      <c r="C72" s="73" t="s">
        <v>30</v>
      </c>
      <c r="D72" s="74" t="s">
        <v>61</v>
      </c>
      <c r="E72" s="74" t="s">
        <v>62</v>
      </c>
      <c r="F72" s="76">
        <v>0</v>
      </c>
      <c r="G72" s="89">
        <v>0.534582</v>
      </c>
      <c r="H72" s="89">
        <v>0.122128</v>
      </c>
      <c r="I72" s="89">
        <v>8.4875000000000006E-2</v>
      </c>
      <c r="J72" s="89">
        <f t="shared" si="2"/>
        <v>0.74158500000000005</v>
      </c>
      <c r="K72" s="94">
        <f t="shared" si="3"/>
        <v>0</v>
      </c>
    </row>
    <row r="73" spans="2:11" ht="15">
      <c r="B73" s="74">
        <v>34</v>
      </c>
      <c r="C73" s="73" t="s">
        <v>30</v>
      </c>
      <c r="D73" s="74" t="s">
        <v>61</v>
      </c>
      <c r="E73" s="74" t="s">
        <v>46</v>
      </c>
      <c r="F73" s="76">
        <v>0</v>
      </c>
      <c r="G73" s="89">
        <v>0.57922600000000002</v>
      </c>
      <c r="H73" s="89">
        <v>0.12615599999999999</v>
      </c>
      <c r="I73" s="89">
        <v>4.8473000000000002E-2</v>
      </c>
      <c r="J73" s="89">
        <f t="shared" si="2"/>
        <v>0.75385499999999994</v>
      </c>
      <c r="K73" s="94">
        <f t="shared" si="3"/>
        <v>0</v>
      </c>
    </row>
    <row r="74" spans="2:11" ht="15">
      <c r="B74" s="74">
        <v>35</v>
      </c>
      <c r="C74" s="73" t="s">
        <v>30</v>
      </c>
      <c r="D74" s="74" t="s">
        <v>63</v>
      </c>
      <c r="E74" s="74" t="s">
        <v>45</v>
      </c>
      <c r="F74" s="76">
        <v>0</v>
      </c>
      <c r="G74" s="89">
        <v>0.74356199999999995</v>
      </c>
      <c r="H74" s="89">
        <v>0.35627599999999998</v>
      </c>
      <c r="I74" s="89">
        <v>0.21850800000000001</v>
      </c>
      <c r="J74" s="89">
        <f t="shared" si="2"/>
        <v>1.3183459999999998</v>
      </c>
      <c r="K74" s="94">
        <f t="shared" si="3"/>
        <v>0</v>
      </c>
    </row>
    <row r="75" spans="2:11" ht="15">
      <c r="B75" s="74">
        <v>36</v>
      </c>
      <c r="C75" s="73" t="s">
        <v>30</v>
      </c>
      <c r="D75" s="74" t="s">
        <v>63</v>
      </c>
      <c r="E75" s="74" t="s">
        <v>62</v>
      </c>
      <c r="F75" s="76">
        <v>0</v>
      </c>
      <c r="G75" s="89">
        <v>0.74465899999999996</v>
      </c>
      <c r="H75" s="89">
        <v>0.34478199999999998</v>
      </c>
      <c r="I75" s="89">
        <v>8.3961999999999995E-2</v>
      </c>
      <c r="J75" s="89">
        <f t="shared" si="2"/>
        <v>1.173403</v>
      </c>
      <c r="K75" s="94">
        <f t="shared" si="3"/>
        <v>0</v>
      </c>
    </row>
    <row r="76" spans="2:11" ht="15">
      <c r="B76" s="74">
        <v>37</v>
      </c>
      <c r="C76" s="73" t="s">
        <v>30</v>
      </c>
      <c r="D76" s="74" t="s">
        <v>63</v>
      </c>
      <c r="E76" s="74" t="s">
        <v>41</v>
      </c>
      <c r="F76" s="76">
        <v>0</v>
      </c>
      <c r="G76" s="89">
        <v>0.584422</v>
      </c>
      <c r="H76" s="89">
        <v>0.39586399999999999</v>
      </c>
      <c r="I76" s="89">
        <v>8.3263000000000004E-2</v>
      </c>
      <c r="J76" s="89">
        <f t="shared" si="2"/>
        <v>1.0635490000000001</v>
      </c>
      <c r="K76" s="94">
        <f t="shared" si="3"/>
        <v>0</v>
      </c>
    </row>
    <row r="77" spans="2:11" s="81" customFormat="1" ht="15">
      <c r="B77" s="78">
        <v>38</v>
      </c>
      <c r="C77" s="79" t="s">
        <v>30</v>
      </c>
      <c r="D77" s="78" t="s">
        <v>64</v>
      </c>
      <c r="E77" s="78" t="s">
        <v>50</v>
      </c>
      <c r="F77" s="80">
        <v>0.99999999999998568</v>
      </c>
      <c r="G77" s="90">
        <v>4.8299000000000002E-2</v>
      </c>
      <c r="H77" s="90">
        <v>0.18532499999999999</v>
      </c>
      <c r="I77" s="90">
        <v>1.2090999999999999E-2</v>
      </c>
      <c r="J77" s="90">
        <f t="shared" si="2"/>
        <v>0.24571499999999999</v>
      </c>
      <c r="K77" s="95">
        <f t="shared" si="3"/>
        <v>0.24571499999999646</v>
      </c>
    </row>
    <row r="78" spans="2:11" ht="15">
      <c r="B78" s="74">
        <v>39</v>
      </c>
      <c r="C78" s="73" t="s">
        <v>30</v>
      </c>
      <c r="D78" s="74" t="s">
        <v>65</v>
      </c>
      <c r="E78" s="74" t="s">
        <v>62</v>
      </c>
      <c r="F78" s="76">
        <v>0</v>
      </c>
      <c r="G78" s="89">
        <v>0.80690799999999996</v>
      </c>
      <c r="H78" s="89">
        <v>9.9793000000000007E-2</v>
      </c>
      <c r="I78" s="89">
        <v>8.3961999999999995E-2</v>
      </c>
      <c r="J78" s="89">
        <f t="shared" si="2"/>
        <v>0.99066299999999996</v>
      </c>
      <c r="K78" s="94">
        <f t="shared" si="3"/>
        <v>0</v>
      </c>
    </row>
    <row r="79" spans="2:11" ht="15">
      <c r="B79" s="74">
        <v>40</v>
      </c>
      <c r="C79" s="73" t="s">
        <v>30</v>
      </c>
      <c r="D79" s="74" t="s">
        <v>65</v>
      </c>
      <c r="E79" s="74" t="s">
        <v>41</v>
      </c>
      <c r="F79" s="76">
        <v>0</v>
      </c>
      <c r="G79" s="89">
        <v>0.64535600000000004</v>
      </c>
      <c r="H79" s="89">
        <v>0.11458</v>
      </c>
      <c r="I79" s="89">
        <v>8.3263000000000004E-2</v>
      </c>
      <c r="J79" s="89">
        <f t="shared" si="2"/>
        <v>0.84319900000000003</v>
      </c>
      <c r="K79" s="94">
        <f t="shared" si="3"/>
        <v>0</v>
      </c>
    </row>
    <row r="80" spans="2:11" ht="15">
      <c r="B80" s="74">
        <v>41</v>
      </c>
      <c r="C80" s="73" t="s">
        <v>30</v>
      </c>
      <c r="D80" s="74" t="s">
        <v>65</v>
      </c>
      <c r="E80" s="74" t="s">
        <v>66</v>
      </c>
      <c r="F80" s="76">
        <v>0</v>
      </c>
      <c r="G80" s="89">
        <v>0.97326199999999996</v>
      </c>
      <c r="H80" s="89">
        <v>0.11458</v>
      </c>
      <c r="I80" s="89">
        <v>9.8639000000000004E-2</v>
      </c>
      <c r="J80" s="89">
        <f t="shared" si="2"/>
        <v>1.1864809999999999</v>
      </c>
      <c r="K80" s="94">
        <f t="shared" si="3"/>
        <v>0</v>
      </c>
    </row>
    <row r="81" spans="2:11" ht="15">
      <c r="B81" s="74">
        <v>42</v>
      </c>
      <c r="C81" s="73" t="s">
        <v>30</v>
      </c>
      <c r="D81" s="74" t="s">
        <v>65</v>
      </c>
      <c r="E81" s="74" t="s">
        <v>47</v>
      </c>
      <c r="F81" s="76">
        <v>0</v>
      </c>
      <c r="G81" s="89">
        <v>0.57052999999999998</v>
      </c>
      <c r="H81" s="89">
        <v>0.10198699999999999</v>
      </c>
      <c r="I81" s="89">
        <v>0.447106</v>
      </c>
      <c r="J81" s="89">
        <f t="shared" si="2"/>
        <v>1.119623</v>
      </c>
      <c r="K81" s="94">
        <f t="shared" si="3"/>
        <v>0</v>
      </c>
    </row>
    <row r="82" spans="2:11" ht="15">
      <c r="B82" s="74">
        <v>43</v>
      </c>
      <c r="C82" s="73" t="s">
        <v>30</v>
      </c>
      <c r="D82" s="74" t="s">
        <v>67</v>
      </c>
      <c r="E82" s="74" t="s">
        <v>68</v>
      </c>
      <c r="F82" s="76">
        <v>0</v>
      </c>
      <c r="G82" s="89">
        <v>0.20217499999999999</v>
      </c>
      <c r="H82" s="89">
        <v>0.11458</v>
      </c>
      <c r="I82" s="89">
        <v>9.8222000000000004E-2</v>
      </c>
      <c r="J82" s="89">
        <f t="shared" si="2"/>
        <v>0.41497700000000004</v>
      </c>
      <c r="K82" s="94">
        <f t="shared" si="3"/>
        <v>0</v>
      </c>
    </row>
    <row r="83" spans="2:11" ht="15">
      <c r="B83" s="74">
        <v>44</v>
      </c>
      <c r="C83" s="73" t="s">
        <v>30</v>
      </c>
      <c r="D83" s="74" t="s">
        <v>67</v>
      </c>
      <c r="E83" s="74" t="s">
        <v>62</v>
      </c>
      <c r="F83" s="76">
        <v>0</v>
      </c>
      <c r="G83" s="89">
        <v>0.212621</v>
      </c>
      <c r="H83" s="89">
        <v>9.9793000000000007E-2</v>
      </c>
      <c r="I83" s="89">
        <v>8.3961999999999995E-2</v>
      </c>
      <c r="J83" s="89">
        <f t="shared" si="2"/>
        <v>0.39637600000000001</v>
      </c>
      <c r="K83" s="94">
        <f t="shared" si="3"/>
        <v>0</v>
      </c>
    </row>
    <row r="84" spans="2:11" ht="15">
      <c r="B84" s="74">
        <v>45</v>
      </c>
      <c r="C84" s="73" t="s">
        <v>30</v>
      </c>
      <c r="D84" s="74" t="s">
        <v>67</v>
      </c>
      <c r="E84" s="74" t="s">
        <v>46</v>
      </c>
      <c r="F84" s="76">
        <v>0</v>
      </c>
      <c r="G84" s="89">
        <v>0.20217499999999999</v>
      </c>
      <c r="H84" s="89">
        <v>0.11458</v>
      </c>
      <c r="I84" s="89">
        <v>5.4457999999999999E-2</v>
      </c>
      <c r="J84" s="89">
        <f t="shared" si="2"/>
        <v>0.37121300000000002</v>
      </c>
      <c r="K84" s="94">
        <f t="shared" si="3"/>
        <v>0</v>
      </c>
    </row>
    <row r="85" spans="2:11" ht="15">
      <c r="B85" s="74">
        <v>46</v>
      </c>
      <c r="C85" s="73" t="s">
        <v>30</v>
      </c>
      <c r="D85" s="74" t="s">
        <v>67</v>
      </c>
      <c r="E85" s="74" t="s">
        <v>69</v>
      </c>
      <c r="F85" s="76">
        <v>0</v>
      </c>
      <c r="G85" s="89">
        <v>0.20217499999999999</v>
      </c>
      <c r="H85" s="89">
        <v>0.11458</v>
      </c>
      <c r="I85" s="89">
        <v>0.16634099999999999</v>
      </c>
      <c r="J85" s="89">
        <f t="shared" si="2"/>
        <v>0.48309599999999997</v>
      </c>
      <c r="K85" s="94">
        <f t="shared" si="3"/>
        <v>0</v>
      </c>
    </row>
    <row r="86" spans="2:11" ht="15">
      <c r="B86" s="74">
        <v>47</v>
      </c>
      <c r="C86" s="73" t="s">
        <v>30</v>
      </c>
      <c r="D86" s="74" t="s">
        <v>67</v>
      </c>
      <c r="E86" s="74" t="s">
        <v>57</v>
      </c>
      <c r="F86" s="76">
        <v>0</v>
      </c>
      <c r="G86" s="89">
        <v>0.20100000000000001</v>
      </c>
      <c r="H86" s="89">
        <v>0.10312</v>
      </c>
      <c r="I86" s="89">
        <v>0.79261199999999998</v>
      </c>
      <c r="J86" s="89">
        <f t="shared" si="2"/>
        <v>1.096732</v>
      </c>
      <c r="K86" s="94">
        <f t="shared" si="3"/>
        <v>0</v>
      </c>
    </row>
    <row r="87" spans="2:11" ht="15">
      <c r="B87" s="70">
        <v>48</v>
      </c>
      <c r="C87" s="69" t="s">
        <v>32</v>
      </c>
      <c r="D87" s="70" t="s">
        <v>32</v>
      </c>
      <c r="E87" s="70" t="s">
        <v>45</v>
      </c>
      <c r="F87" s="72">
        <v>0.63829787234042556</v>
      </c>
      <c r="G87" s="88">
        <v>0.44561099999999998</v>
      </c>
      <c r="H87" s="88">
        <v>3.3017999999999999E-2</v>
      </c>
      <c r="I87" s="88">
        <v>0.130414</v>
      </c>
      <c r="J87" s="88">
        <f t="shared" si="2"/>
        <v>0.609043</v>
      </c>
      <c r="K87" s="93">
        <f t="shared" si="3"/>
        <v>0.38875085106382978</v>
      </c>
    </row>
    <row r="88" spans="2:11" ht="15">
      <c r="B88" s="70">
        <v>49</v>
      </c>
      <c r="C88" s="69" t="s">
        <v>32</v>
      </c>
      <c r="D88" s="70" t="s">
        <v>32</v>
      </c>
      <c r="E88" s="70" t="s">
        <v>57</v>
      </c>
      <c r="F88" s="72">
        <v>0.36170212765957449</v>
      </c>
      <c r="G88" s="88">
        <v>0.49074200000000001</v>
      </c>
      <c r="H88" s="88">
        <v>3.2978E-2</v>
      </c>
      <c r="I88" s="88">
        <v>0.399453</v>
      </c>
      <c r="J88" s="88">
        <f t="shared" si="2"/>
        <v>0.92317300000000002</v>
      </c>
      <c r="K88" s="93">
        <f t="shared" si="3"/>
        <v>0.33391363829787235</v>
      </c>
    </row>
    <row r="89" spans="2:11" ht="15">
      <c r="B89" s="74">
        <v>50</v>
      </c>
      <c r="C89" s="73" t="s">
        <v>31</v>
      </c>
      <c r="D89" s="74" t="s">
        <v>31</v>
      </c>
      <c r="E89" s="74" t="s">
        <v>70</v>
      </c>
      <c r="F89" s="76">
        <v>0.43478260869565222</v>
      </c>
      <c r="G89" s="89">
        <v>2.6889720000000001</v>
      </c>
      <c r="H89" s="89">
        <v>-0.18823500000000001</v>
      </c>
      <c r="I89" s="89">
        <v>3.2605000000000002E-2</v>
      </c>
      <c r="J89" s="89">
        <f t="shared" si="2"/>
        <v>2.5333420000000002</v>
      </c>
      <c r="K89" s="94">
        <f t="shared" si="3"/>
        <v>1.101453043478261</v>
      </c>
    </row>
    <row r="90" spans="2:11" ht="15">
      <c r="B90" s="74">
        <v>51</v>
      </c>
      <c r="C90" s="73" t="s">
        <v>31</v>
      </c>
      <c r="D90" s="74" t="s">
        <v>31</v>
      </c>
      <c r="E90" s="74" t="s">
        <v>66</v>
      </c>
      <c r="F90" s="76">
        <v>0.31521739130434784</v>
      </c>
      <c r="G90" s="89">
        <v>2.9543300000000001</v>
      </c>
      <c r="H90" s="89">
        <v>-0.33082</v>
      </c>
      <c r="I90" s="89">
        <v>4.8127999999999997E-2</v>
      </c>
      <c r="J90" s="89">
        <f t="shared" si="2"/>
        <v>2.6716380000000002</v>
      </c>
      <c r="K90" s="94">
        <f t="shared" si="3"/>
        <v>0.8421467608695653</v>
      </c>
    </row>
    <row r="91" spans="2:11" ht="15">
      <c r="B91" s="74">
        <v>52</v>
      </c>
      <c r="C91" s="73" t="s">
        <v>31</v>
      </c>
      <c r="D91" s="74" t="s">
        <v>31</v>
      </c>
      <c r="E91" s="74" t="s">
        <v>71</v>
      </c>
      <c r="F91" s="76">
        <v>0.25000000000000006</v>
      </c>
      <c r="G91" s="89">
        <v>2.6889720000000001</v>
      </c>
      <c r="H91" s="89">
        <v>-0.221641</v>
      </c>
      <c r="I91" s="89">
        <v>5.1152999999999997E-2</v>
      </c>
      <c r="J91" s="89">
        <f t="shared" si="2"/>
        <v>2.5184839999999999</v>
      </c>
      <c r="K91" s="94">
        <f t="shared" si="3"/>
        <v>0.6296210000000001</v>
      </c>
    </row>
    <row r="92" spans="2:11" ht="15">
      <c r="B92" s="70">
        <v>53</v>
      </c>
      <c r="C92" s="69" t="s">
        <v>125</v>
      </c>
      <c r="D92" s="70" t="s">
        <v>73</v>
      </c>
      <c r="E92" s="70" t="s">
        <v>62</v>
      </c>
      <c r="F92" s="72">
        <v>0</v>
      </c>
      <c r="G92" s="88">
        <v>0.240616</v>
      </c>
      <c r="H92" s="88">
        <v>0.100878</v>
      </c>
      <c r="I92" s="91">
        <v>8.8400000000000006E-2</v>
      </c>
      <c r="J92" s="88">
        <f t="shared" si="2"/>
        <v>0.429894</v>
      </c>
      <c r="K92" s="93">
        <f t="shared" si="3"/>
        <v>0</v>
      </c>
    </row>
    <row r="93" spans="2:11" ht="15">
      <c r="B93" s="70">
        <v>54</v>
      </c>
      <c r="C93" s="69" t="s">
        <v>125</v>
      </c>
      <c r="D93" s="70" t="s">
        <v>73</v>
      </c>
      <c r="E93" s="70" t="s">
        <v>41</v>
      </c>
      <c r="F93" s="72">
        <v>0</v>
      </c>
      <c r="G93" s="88">
        <v>0.253411</v>
      </c>
      <c r="H93" s="88">
        <v>0.10198699999999999</v>
      </c>
      <c r="I93" s="88">
        <v>7.7600000000000002E-2</v>
      </c>
      <c r="J93" s="88">
        <f t="shared" si="2"/>
        <v>0.43299799999999999</v>
      </c>
      <c r="K93" s="93">
        <f t="shared" si="3"/>
        <v>0</v>
      </c>
    </row>
    <row r="94" spans="2:11" s="81" customFormat="1" ht="15">
      <c r="B94" s="82">
        <v>55</v>
      </c>
      <c r="C94" s="83" t="s">
        <v>125</v>
      </c>
      <c r="D94" s="82" t="s">
        <v>73</v>
      </c>
      <c r="E94" s="82" t="s">
        <v>50</v>
      </c>
      <c r="F94" s="84">
        <v>0.36041603736178174</v>
      </c>
      <c r="G94" s="92">
        <v>0.23880199999999999</v>
      </c>
      <c r="H94" s="92">
        <v>0.100878</v>
      </c>
      <c r="I94" s="92">
        <v>3.0000000000000001E-3</v>
      </c>
      <c r="J94" s="92">
        <f t="shared" si="2"/>
        <v>0.34267999999999998</v>
      </c>
      <c r="K94" s="96">
        <f t="shared" si="3"/>
        <v>0.12350736768313536</v>
      </c>
    </row>
    <row r="95" spans="2:11" ht="15">
      <c r="B95" s="70">
        <v>56</v>
      </c>
      <c r="C95" s="69" t="s">
        <v>125</v>
      </c>
      <c r="D95" s="70" t="s">
        <v>74</v>
      </c>
      <c r="E95" s="70" t="s">
        <v>41</v>
      </c>
      <c r="F95" s="72">
        <v>0.20383982226350189</v>
      </c>
      <c r="G95" s="88">
        <v>9.3198000000000003E-2</v>
      </c>
      <c r="H95" s="88">
        <v>0.102448</v>
      </c>
      <c r="I95" s="88">
        <v>7.7848000000000001E-2</v>
      </c>
      <c r="J95" s="88">
        <f t="shared" si="2"/>
        <v>0.27349400000000001</v>
      </c>
      <c r="K95" s="93">
        <f t="shared" si="3"/>
        <v>5.5748968350134188E-2</v>
      </c>
    </row>
    <row r="96" spans="2:11" s="81" customFormat="1" ht="15">
      <c r="B96" s="82">
        <v>57</v>
      </c>
      <c r="C96" s="83" t="s">
        <v>125</v>
      </c>
      <c r="D96" s="82" t="s">
        <v>74</v>
      </c>
      <c r="E96" s="82" t="s">
        <v>50</v>
      </c>
      <c r="F96" s="84">
        <v>6.9120844982913904E-2</v>
      </c>
      <c r="G96" s="92">
        <v>8.4638000000000005E-2</v>
      </c>
      <c r="H96" s="92">
        <v>0.10133399999999999</v>
      </c>
      <c r="I96" s="92">
        <v>3.0469999999999998E-3</v>
      </c>
      <c r="J96" s="92">
        <f t="shared" si="2"/>
        <v>0.18901899999999999</v>
      </c>
      <c r="K96" s="96">
        <f t="shared" si="3"/>
        <v>1.3065152997825402E-2</v>
      </c>
    </row>
    <row r="97" spans="2:11" ht="15">
      <c r="B97" s="70">
        <v>58</v>
      </c>
      <c r="C97" s="69" t="s">
        <v>125</v>
      </c>
      <c r="D97" s="70" t="s">
        <v>75</v>
      </c>
      <c r="E97" s="70" t="s">
        <v>41</v>
      </c>
      <c r="F97" s="72">
        <v>0.14326200306499304</v>
      </c>
      <c r="G97" s="88">
        <v>0.28902699999999998</v>
      </c>
      <c r="H97" s="88">
        <v>0.10198699999999999</v>
      </c>
      <c r="I97" s="88">
        <v>7.825E-2</v>
      </c>
      <c r="J97" s="88">
        <f t="shared" si="2"/>
        <v>0.46926399999999996</v>
      </c>
      <c r="K97" s="93">
        <f t="shared" si="3"/>
        <v>6.7227700606290894E-2</v>
      </c>
    </row>
    <row r="98" spans="2:11" ht="15">
      <c r="B98" s="70">
        <v>59</v>
      </c>
      <c r="C98" s="69" t="s">
        <v>125</v>
      </c>
      <c r="D98" s="70" t="s">
        <v>75</v>
      </c>
      <c r="E98" s="70" t="s">
        <v>46</v>
      </c>
      <c r="F98" s="72">
        <v>0</v>
      </c>
      <c r="G98" s="88">
        <v>0.29070800000000002</v>
      </c>
      <c r="H98" s="88">
        <v>0.10198699999999999</v>
      </c>
      <c r="I98" s="88">
        <v>5.2609999999999997E-2</v>
      </c>
      <c r="J98" s="88">
        <f t="shared" si="2"/>
        <v>0.44530500000000001</v>
      </c>
      <c r="K98" s="93">
        <f t="shared" si="3"/>
        <v>0</v>
      </c>
    </row>
    <row r="99" spans="2:11" s="81" customFormat="1" ht="30">
      <c r="B99" s="82">
        <v>60</v>
      </c>
      <c r="C99" s="83" t="s">
        <v>125</v>
      </c>
      <c r="D99" s="82" t="s">
        <v>75</v>
      </c>
      <c r="E99" s="83" t="s">
        <v>76</v>
      </c>
      <c r="F99" s="85">
        <v>5.6073314694004298E-2</v>
      </c>
      <c r="G99" s="92">
        <v>0.27157199999999998</v>
      </c>
      <c r="H99" s="92">
        <v>0.100878</v>
      </c>
      <c r="I99" s="92">
        <v>3.1410000000000001E-3</v>
      </c>
      <c r="J99" s="92">
        <f t="shared" si="2"/>
        <v>0.37559099999999995</v>
      </c>
      <c r="K99" s="96">
        <f t="shared" si="3"/>
        <v>2.1060632339235764E-2</v>
      </c>
    </row>
    <row r="100" spans="2:11" s="81" customFormat="1" ht="30">
      <c r="B100" s="82">
        <v>61</v>
      </c>
      <c r="C100" s="83" t="s">
        <v>125</v>
      </c>
      <c r="D100" s="82" t="s">
        <v>75</v>
      </c>
      <c r="E100" s="83" t="s">
        <v>77</v>
      </c>
      <c r="F100" s="85">
        <v>5.6073314694004298E-2</v>
      </c>
      <c r="G100" s="92">
        <v>0.31795699999999999</v>
      </c>
      <c r="H100" s="92">
        <v>0.10133399999999999</v>
      </c>
      <c r="I100" s="92">
        <v>3.0230000000000001E-3</v>
      </c>
      <c r="J100" s="92">
        <f t="shared" si="2"/>
        <v>0.42231399999999997</v>
      </c>
      <c r="K100" s="96">
        <f t="shared" si="3"/>
        <v>2.3680545821683729E-2</v>
      </c>
    </row>
    <row r="101" spans="2:11" s="81" customFormat="1" ht="30">
      <c r="B101" s="82">
        <v>62</v>
      </c>
      <c r="C101" s="83" t="s">
        <v>125</v>
      </c>
      <c r="D101" s="82" t="s">
        <v>75</v>
      </c>
      <c r="E101" s="83" t="s">
        <v>78</v>
      </c>
      <c r="F101" s="85">
        <v>5.6073314694004298E-2</v>
      </c>
      <c r="G101" s="92">
        <v>0.16390399999999999</v>
      </c>
      <c r="H101" s="92">
        <v>0.100878</v>
      </c>
      <c r="I101" s="92">
        <v>3.0479999999999999E-3</v>
      </c>
      <c r="J101" s="92">
        <f t="shared" si="2"/>
        <v>0.26782999999999996</v>
      </c>
      <c r="K101" s="96">
        <f t="shared" si="3"/>
        <v>1.5018115874495169E-2</v>
      </c>
    </row>
    <row r="102" spans="2:11" s="81" customFormat="1" ht="30">
      <c r="B102" s="82">
        <v>63</v>
      </c>
      <c r="C102" s="83" t="s">
        <v>125</v>
      </c>
      <c r="D102" s="82" t="s">
        <v>75</v>
      </c>
      <c r="E102" s="83" t="s">
        <v>79</v>
      </c>
      <c r="F102" s="85">
        <v>5.5141348244796468E-2</v>
      </c>
      <c r="G102" s="92">
        <v>1.433359</v>
      </c>
      <c r="H102" s="92">
        <v>0.100878</v>
      </c>
      <c r="I102" s="92">
        <v>3.1250000000000002E-3</v>
      </c>
      <c r="J102" s="92">
        <f t="shared" si="2"/>
        <v>1.5373620000000001</v>
      </c>
      <c r="K102" s="96">
        <f t="shared" si="3"/>
        <v>8.4772213420316794E-2</v>
      </c>
    </row>
    <row r="103" spans="2:11" ht="15">
      <c r="B103" s="74">
        <v>64</v>
      </c>
      <c r="C103" s="73" t="s">
        <v>26</v>
      </c>
      <c r="D103" s="74" t="s">
        <v>80</v>
      </c>
      <c r="E103" s="74" t="s">
        <v>71</v>
      </c>
      <c r="F103" s="76">
        <v>0</v>
      </c>
      <c r="G103" s="89">
        <v>4.5770249999999999</v>
      </c>
      <c r="H103" s="89">
        <v>1.020249</v>
      </c>
      <c r="I103" s="89">
        <v>8.7573999999999999E-2</v>
      </c>
      <c r="J103" s="89">
        <f t="shared" si="2"/>
        <v>5.6848479999999997</v>
      </c>
      <c r="K103" s="94">
        <f t="shared" si="3"/>
        <v>0</v>
      </c>
    </row>
    <row r="104" spans="2:11" ht="15">
      <c r="B104" s="74">
        <v>65</v>
      </c>
      <c r="C104" s="73" t="s">
        <v>26</v>
      </c>
      <c r="D104" s="74" t="s">
        <v>81</v>
      </c>
      <c r="E104" s="74" t="s">
        <v>82</v>
      </c>
      <c r="F104" s="76">
        <v>0.12811776601296621</v>
      </c>
      <c r="G104" s="89">
        <v>1.6381209999999999</v>
      </c>
      <c r="H104" s="89">
        <v>0.120767</v>
      </c>
      <c r="I104" s="89">
        <v>11.81448</v>
      </c>
      <c r="J104" s="89">
        <f t="shared" si="2"/>
        <v>13.573368</v>
      </c>
      <c r="K104" s="94">
        <f t="shared" si="3"/>
        <v>1.7389895854318831</v>
      </c>
    </row>
    <row r="105" spans="2:11" ht="15">
      <c r="B105" s="74">
        <v>66</v>
      </c>
      <c r="C105" s="73" t="s">
        <v>26</v>
      </c>
      <c r="D105" s="74" t="s">
        <v>83</v>
      </c>
      <c r="E105" s="74" t="s">
        <v>82</v>
      </c>
      <c r="F105" s="76">
        <v>8.6956521739130418E-3</v>
      </c>
      <c r="G105" s="89">
        <v>1.715716</v>
      </c>
      <c r="H105" s="89">
        <v>0.15206900000000001</v>
      </c>
      <c r="I105" s="89">
        <v>0.42648200000000003</v>
      </c>
      <c r="J105" s="89">
        <f t="shared" ref="J105:J128" si="4">SUM(G105:I105)</f>
        <v>2.2942670000000001</v>
      </c>
      <c r="K105" s="94">
        <f t="shared" ref="K105:K128" si="5">F105*J105</f>
        <v>1.9950147826086954E-2</v>
      </c>
    </row>
    <row r="106" spans="2:11" ht="15">
      <c r="B106" s="74">
        <v>67</v>
      </c>
      <c r="C106" s="73" t="s">
        <v>26</v>
      </c>
      <c r="D106" s="74" t="s">
        <v>83</v>
      </c>
      <c r="E106" s="74" t="s">
        <v>84</v>
      </c>
      <c r="F106" s="76">
        <v>5.7971014492753624E-2</v>
      </c>
      <c r="G106" s="89">
        <v>1.6983520000000001</v>
      </c>
      <c r="H106" s="89">
        <v>0.46017599999999997</v>
      </c>
      <c r="I106" s="89">
        <v>9.5232999999999998E-2</v>
      </c>
      <c r="J106" s="89">
        <f t="shared" si="4"/>
        <v>2.2537609999999999</v>
      </c>
      <c r="K106" s="94">
        <f t="shared" si="5"/>
        <v>0.13065281159420289</v>
      </c>
    </row>
    <row r="107" spans="2:11" ht="15">
      <c r="B107" s="74">
        <v>68</v>
      </c>
      <c r="C107" s="73" t="s">
        <v>26</v>
      </c>
      <c r="D107" s="74" t="s">
        <v>85</v>
      </c>
      <c r="E107" s="74" t="s">
        <v>82</v>
      </c>
      <c r="F107" s="76">
        <v>6.6666666666666666E-2</v>
      </c>
      <c r="G107" s="89">
        <v>3.8360919999999998</v>
      </c>
      <c r="H107" s="89">
        <v>0.44528499999999999</v>
      </c>
      <c r="I107" s="89">
        <v>0.40416299999999999</v>
      </c>
      <c r="J107" s="89">
        <f t="shared" si="4"/>
        <v>4.6855399999999996</v>
      </c>
      <c r="K107" s="94">
        <f t="shared" si="5"/>
        <v>0.31236933333333328</v>
      </c>
    </row>
    <row r="108" spans="2:11" ht="15">
      <c r="B108" s="74">
        <v>69</v>
      </c>
      <c r="C108" s="73" t="s">
        <v>26</v>
      </c>
      <c r="D108" s="74" t="s">
        <v>85</v>
      </c>
      <c r="E108" s="74" t="s">
        <v>62</v>
      </c>
      <c r="F108" s="76">
        <v>8.9855072463768115E-2</v>
      </c>
      <c r="G108" s="89">
        <v>3.8948079999999998</v>
      </c>
      <c r="H108" s="89">
        <v>1.5669139999999999</v>
      </c>
      <c r="I108" s="89">
        <v>9.5881999999999995E-2</v>
      </c>
      <c r="J108" s="89">
        <f t="shared" si="4"/>
        <v>5.5576039999999995</v>
      </c>
      <c r="K108" s="94">
        <f t="shared" si="5"/>
        <v>0.49937891014492747</v>
      </c>
    </row>
    <row r="109" spans="2:11" ht="15">
      <c r="B109" s="74">
        <v>70</v>
      </c>
      <c r="C109" s="73" t="s">
        <v>26</v>
      </c>
      <c r="D109" s="74" t="s">
        <v>85</v>
      </c>
      <c r="E109" s="74" t="s">
        <v>86</v>
      </c>
      <c r="F109" s="76">
        <v>3.4782608695652167E-2</v>
      </c>
      <c r="G109" s="89">
        <v>3.8948079999999998</v>
      </c>
      <c r="H109" s="89">
        <v>1.0966009999999999</v>
      </c>
      <c r="I109" s="89">
        <v>0.18022199999999999</v>
      </c>
      <c r="J109" s="89">
        <f t="shared" si="4"/>
        <v>5.1716309999999996</v>
      </c>
      <c r="K109" s="94">
        <f t="shared" si="5"/>
        <v>0.17988281739130429</v>
      </c>
    </row>
    <row r="110" spans="2:11" s="81" customFormat="1" ht="15">
      <c r="B110" s="78">
        <v>71</v>
      </c>
      <c r="C110" s="79" t="s">
        <v>26</v>
      </c>
      <c r="D110" s="78" t="s">
        <v>87</v>
      </c>
      <c r="E110" s="78" t="s">
        <v>50</v>
      </c>
      <c r="F110" s="80">
        <v>0.39681068221090832</v>
      </c>
      <c r="G110" s="90">
        <v>2.9317169999999999</v>
      </c>
      <c r="H110" s="90">
        <v>0.79142299999999999</v>
      </c>
      <c r="I110" s="90">
        <v>7.0400000000000003E-3</v>
      </c>
      <c r="J110" s="90">
        <f t="shared" si="4"/>
        <v>3.7301799999999998</v>
      </c>
      <c r="K110" s="95">
        <f t="shared" si="5"/>
        <v>1.4801752705694859</v>
      </c>
    </row>
    <row r="111" spans="2:11" s="81" customFormat="1" ht="15">
      <c r="B111" s="78">
        <v>72</v>
      </c>
      <c r="C111" s="79" t="s">
        <v>26</v>
      </c>
      <c r="D111" s="78" t="s">
        <v>88</v>
      </c>
      <c r="E111" s="78" t="s">
        <v>50</v>
      </c>
      <c r="F111" s="80">
        <v>0.21710053728337197</v>
      </c>
      <c r="G111" s="90">
        <v>3.348328</v>
      </c>
      <c r="H111" s="90">
        <v>0.89125399999999999</v>
      </c>
      <c r="I111" s="90">
        <v>2.3171000000000001E-2</v>
      </c>
      <c r="J111" s="90">
        <f t="shared" si="4"/>
        <v>4.262753</v>
      </c>
      <c r="K111" s="95">
        <f t="shared" si="5"/>
        <v>0.92544596660630574</v>
      </c>
    </row>
    <row r="112" spans="2:11" ht="15">
      <c r="B112" s="70">
        <v>73</v>
      </c>
      <c r="C112" s="69" t="s">
        <v>27</v>
      </c>
      <c r="D112" s="70" t="s">
        <v>89</v>
      </c>
      <c r="E112" s="70" t="s">
        <v>71</v>
      </c>
      <c r="F112" s="72">
        <v>0</v>
      </c>
      <c r="G112" s="88">
        <v>4.6900983800000002</v>
      </c>
      <c r="H112" s="88">
        <v>1.0417997999999999</v>
      </c>
      <c r="I112" s="88">
        <v>9.6407270000000003E-2</v>
      </c>
      <c r="J112" s="88">
        <f t="shared" si="4"/>
        <v>5.8283054500000002</v>
      </c>
      <c r="K112" s="93">
        <f t="shared" si="5"/>
        <v>0</v>
      </c>
    </row>
    <row r="113" spans="2:11" ht="15">
      <c r="B113" s="70">
        <v>74</v>
      </c>
      <c r="C113" s="69" t="s">
        <v>27</v>
      </c>
      <c r="D113" s="70" t="s">
        <v>89</v>
      </c>
      <c r="E113" s="70" t="s">
        <v>41</v>
      </c>
      <c r="F113" s="72">
        <v>0.16812143647029221</v>
      </c>
      <c r="G113" s="88">
        <v>4.7533466300000002</v>
      </c>
      <c r="H113" s="88">
        <v>1.0619243</v>
      </c>
      <c r="I113" s="88">
        <v>8.6400099999999994E-2</v>
      </c>
      <c r="J113" s="88">
        <f t="shared" si="4"/>
        <v>5.9016710300000002</v>
      </c>
      <c r="K113" s="93">
        <f t="shared" si="5"/>
        <v>0.99219741113870896</v>
      </c>
    </row>
    <row r="114" spans="2:11" ht="15">
      <c r="B114" s="70">
        <v>75</v>
      </c>
      <c r="C114" s="69" t="s">
        <v>27</v>
      </c>
      <c r="D114" s="70" t="s">
        <v>89</v>
      </c>
      <c r="E114" s="70" t="s">
        <v>46</v>
      </c>
      <c r="F114" s="72">
        <v>3.2128451556224902E-2</v>
      </c>
      <c r="G114" s="88">
        <v>5.2182964500000004</v>
      </c>
      <c r="H114" s="88">
        <v>1.2098633000000001</v>
      </c>
      <c r="I114" s="88">
        <v>5.9993900000000003E-2</v>
      </c>
      <c r="J114" s="88">
        <f t="shared" si="4"/>
        <v>6.488153650000001</v>
      </c>
      <c r="K114" s="93">
        <f t="shared" si="5"/>
        <v>0.20845433023336882</v>
      </c>
    </row>
    <row r="115" spans="2:11" ht="15">
      <c r="B115" s="70">
        <v>76</v>
      </c>
      <c r="C115" s="69" t="s">
        <v>27</v>
      </c>
      <c r="D115" s="70" t="s">
        <v>89</v>
      </c>
      <c r="E115" s="70" t="s">
        <v>62</v>
      </c>
      <c r="F115" s="72">
        <v>8.0321222640562254E-2</v>
      </c>
      <c r="G115" s="88">
        <v>5.8551775900000003</v>
      </c>
      <c r="H115" s="88">
        <v>1.2781811999999999</v>
      </c>
      <c r="I115" s="88">
        <v>8.9882740000000003E-2</v>
      </c>
      <c r="J115" s="88">
        <f t="shared" si="4"/>
        <v>7.2232415300000001</v>
      </c>
      <c r="K115" s="93">
        <f t="shared" si="5"/>
        <v>0.58017959111768558</v>
      </c>
    </row>
    <row r="116" spans="2:11" s="81" customFormat="1" ht="15">
      <c r="B116" s="82">
        <v>77</v>
      </c>
      <c r="C116" s="83" t="s">
        <v>27</v>
      </c>
      <c r="D116" s="82" t="s">
        <v>89</v>
      </c>
      <c r="E116" s="82" t="s">
        <v>50</v>
      </c>
      <c r="F116" s="84">
        <v>7.284329395139473E-2</v>
      </c>
      <c r="G116" s="92">
        <v>4.5079172600000001</v>
      </c>
      <c r="H116" s="92">
        <v>0.61092601000000002</v>
      </c>
      <c r="I116" s="92">
        <v>1.9781150000000001E-2</v>
      </c>
      <c r="J116" s="92">
        <f t="shared" si="4"/>
        <v>5.1386244200000002</v>
      </c>
      <c r="K116" s="96">
        <f t="shared" si="5"/>
        <v>0.37431432913187529</v>
      </c>
    </row>
    <row r="117" spans="2:11" ht="15">
      <c r="B117" s="70">
        <v>78</v>
      </c>
      <c r="C117" s="69" t="s">
        <v>27</v>
      </c>
      <c r="D117" s="70" t="s">
        <v>90</v>
      </c>
      <c r="E117" s="70" t="s">
        <v>46</v>
      </c>
      <c r="F117" s="72">
        <v>1.2048130271084341E-2</v>
      </c>
      <c r="G117" s="88">
        <v>3.28595477</v>
      </c>
      <c r="H117" s="88">
        <v>1.3523988899999999</v>
      </c>
      <c r="I117" s="88">
        <v>0.22595926999999999</v>
      </c>
      <c r="J117" s="88">
        <f t="shared" si="4"/>
        <v>4.8643129299999996</v>
      </c>
      <c r="K117" s="93">
        <f t="shared" si="5"/>
        <v>5.8605875859959966E-2</v>
      </c>
    </row>
    <row r="118" spans="2:11" ht="15">
      <c r="B118" s="70">
        <v>79</v>
      </c>
      <c r="C118" s="69" t="s">
        <v>27</v>
      </c>
      <c r="D118" s="70" t="s">
        <v>90</v>
      </c>
      <c r="E118" s="70" t="s">
        <v>52</v>
      </c>
      <c r="F118" s="72">
        <v>4.0160017570281172E-3</v>
      </c>
      <c r="G118" s="88">
        <v>3.28595477</v>
      </c>
      <c r="H118" s="88">
        <v>1.3196891399999999</v>
      </c>
      <c r="I118" s="88">
        <v>0.36276388999999998</v>
      </c>
      <c r="J118" s="88">
        <f t="shared" si="4"/>
        <v>4.9684077999999996</v>
      </c>
      <c r="K118" s="93">
        <f t="shared" si="5"/>
        <v>1.9953134454432201E-2</v>
      </c>
    </row>
    <row r="119" spans="2:11" ht="15">
      <c r="B119" s="70">
        <v>80</v>
      </c>
      <c r="C119" s="69" t="s">
        <v>27</v>
      </c>
      <c r="D119" s="70" t="s">
        <v>90</v>
      </c>
      <c r="E119" s="70" t="s">
        <v>66</v>
      </c>
      <c r="F119" s="72">
        <v>4.0160580070281129E-2</v>
      </c>
      <c r="G119" s="88">
        <v>3.28595477</v>
      </c>
      <c r="H119" s="88">
        <v>1.3988526800000001</v>
      </c>
      <c r="I119" s="88">
        <v>0.35992365999999998</v>
      </c>
      <c r="J119" s="88">
        <f t="shared" si="4"/>
        <v>5.0447311099999999</v>
      </c>
      <c r="K119" s="93">
        <f t="shared" si="5"/>
        <v>0.20259932767619318</v>
      </c>
    </row>
    <row r="120" spans="2:11" ht="15">
      <c r="B120" s="70">
        <v>81</v>
      </c>
      <c r="C120" s="69" t="s">
        <v>27</v>
      </c>
      <c r="D120" s="70" t="s">
        <v>91</v>
      </c>
      <c r="E120" s="70" t="s">
        <v>46</v>
      </c>
      <c r="F120" s="72">
        <v>0.12449792946787148</v>
      </c>
      <c r="G120" s="88">
        <v>3.28595477</v>
      </c>
      <c r="H120" s="88">
        <v>1.32956783</v>
      </c>
      <c r="I120" s="88">
        <v>0.18260503</v>
      </c>
      <c r="J120" s="88">
        <f t="shared" si="4"/>
        <v>4.7981276300000006</v>
      </c>
      <c r="K120" s="93">
        <f t="shared" si="5"/>
        <v>0.59735695525758548</v>
      </c>
    </row>
    <row r="121" spans="2:11" ht="15">
      <c r="B121" s="70">
        <v>82</v>
      </c>
      <c r="C121" s="69" t="s">
        <v>27</v>
      </c>
      <c r="D121" s="70" t="s">
        <v>91</v>
      </c>
      <c r="E121" s="70" t="s">
        <v>52</v>
      </c>
      <c r="F121" s="72">
        <v>0.10441760818273092</v>
      </c>
      <c r="G121" s="88">
        <v>3.28595477</v>
      </c>
      <c r="H121" s="88">
        <v>1.2968580700000001</v>
      </c>
      <c r="I121" s="88">
        <v>0.26196017999999999</v>
      </c>
      <c r="J121" s="88">
        <f t="shared" si="4"/>
        <v>4.8447730199999999</v>
      </c>
      <c r="K121" s="93">
        <f t="shared" si="5"/>
        <v>0.50587961093662603</v>
      </c>
    </row>
    <row r="122" spans="2:11" ht="15">
      <c r="B122" s="70">
        <v>83</v>
      </c>
      <c r="C122" s="69" t="s">
        <v>27</v>
      </c>
      <c r="D122" s="70" t="s">
        <v>91</v>
      </c>
      <c r="E122" s="70" t="s">
        <v>66</v>
      </c>
      <c r="F122" s="72">
        <v>4.4176644327309236E-2</v>
      </c>
      <c r="G122" s="88">
        <v>3.28595477</v>
      </c>
      <c r="H122" s="88">
        <v>1.3760216199999999</v>
      </c>
      <c r="I122" s="88">
        <v>0.26031267000000002</v>
      </c>
      <c r="J122" s="88">
        <f t="shared" si="4"/>
        <v>4.9222890599999998</v>
      </c>
      <c r="K122" s="93">
        <f t="shared" si="5"/>
        <v>0.21745021307982532</v>
      </c>
    </row>
    <row r="123" spans="2:11" ht="15">
      <c r="B123" s="70">
        <v>84</v>
      </c>
      <c r="C123" s="69" t="s">
        <v>27</v>
      </c>
      <c r="D123" s="70" t="s">
        <v>92</v>
      </c>
      <c r="E123" s="70" t="s">
        <v>41</v>
      </c>
      <c r="F123" s="72">
        <v>0.10843367243975904</v>
      </c>
      <c r="G123" s="88">
        <v>4.6062284599999996</v>
      </c>
      <c r="H123" s="88">
        <v>6.4783439999999998E-2</v>
      </c>
      <c r="I123" s="88">
        <v>9.2460420000000001E-2</v>
      </c>
      <c r="J123" s="88">
        <f t="shared" si="4"/>
        <v>4.76347232</v>
      </c>
      <c r="K123" s="93">
        <f t="shared" si="5"/>
        <v>0.51652079722273903</v>
      </c>
    </row>
    <row r="124" spans="2:11" ht="15">
      <c r="B124" s="70">
        <v>85</v>
      </c>
      <c r="C124" s="69" t="s">
        <v>27</v>
      </c>
      <c r="D124" s="70" t="s">
        <v>92</v>
      </c>
      <c r="E124" s="70" t="s">
        <v>46</v>
      </c>
      <c r="F124" s="72">
        <v>4.0160017570281172E-3</v>
      </c>
      <c r="G124" s="88">
        <v>4.6062284599999996</v>
      </c>
      <c r="H124" s="88">
        <v>6.4783439999999998E-2</v>
      </c>
      <c r="I124" s="88">
        <v>6.7639069999999996E-2</v>
      </c>
      <c r="J124" s="88">
        <f t="shared" si="4"/>
        <v>4.7386509700000001</v>
      </c>
      <c r="K124" s="93">
        <f t="shared" si="5"/>
        <v>1.9030430621462993E-2</v>
      </c>
    </row>
    <row r="125" spans="2:11" ht="15">
      <c r="B125" s="70">
        <v>86</v>
      </c>
      <c r="C125" s="69" t="s">
        <v>27</v>
      </c>
      <c r="D125" s="70" t="s">
        <v>92</v>
      </c>
      <c r="E125" s="70" t="s">
        <v>62</v>
      </c>
      <c r="F125" s="72">
        <v>8.0320660140562293E-3</v>
      </c>
      <c r="G125" s="88">
        <v>4.7717385700000001</v>
      </c>
      <c r="H125" s="88">
        <v>3.7696470000000003E-2</v>
      </c>
      <c r="I125" s="88">
        <v>9.1157580000000002E-2</v>
      </c>
      <c r="J125" s="88">
        <f t="shared" si="4"/>
        <v>4.9005926200000003</v>
      </c>
      <c r="K125" s="93">
        <f t="shared" si="5"/>
        <v>3.9361883431836775E-2</v>
      </c>
    </row>
    <row r="126" spans="2:11" ht="15">
      <c r="B126" s="70">
        <v>87</v>
      </c>
      <c r="C126" s="69" t="s">
        <v>27</v>
      </c>
      <c r="D126" s="70" t="s">
        <v>93</v>
      </c>
      <c r="E126" s="70" t="s">
        <v>41</v>
      </c>
      <c r="F126" s="72">
        <v>2.4096323042168678E-2</v>
      </c>
      <c r="G126" s="88">
        <v>4.6062284599999996</v>
      </c>
      <c r="H126" s="88">
        <v>0.24492955</v>
      </c>
      <c r="I126" s="88">
        <v>9.1333460000000005E-2</v>
      </c>
      <c r="J126" s="88">
        <f t="shared" si="4"/>
        <v>4.9424914700000002</v>
      </c>
      <c r="K126" s="93">
        <f t="shared" si="5"/>
        <v>0.11909587109428314</v>
      </c>
    </row>
    <row r="127" spans="2:11" ht="15">
      <c r="B127" s="70">
        <v>88</v>
      </c>
      <c r="C127" s="69" t="s">
        <v>27</v>
      </c>
      <c r="D127" s="70" t="s">
        <v>93</v>
      </c>
      <c r="E127" s="70" t="s">
        <v>46</v>
      </c>
      <c r="F127" s="72">
        <v>6.8273029869477919E-2</v>
      </c>
      <c r="G127" s="88">
        <v>4.6062284599999996</v>
      </c>
      <c r="H127" s="88">
        <v>0.24492955</v>
      </c>
      <c r="I127" s="88">
        <v>6.3241770000000003E-2</v>
      </c>
      <c r="J127" s="88">
        <f t="shared" si="4"/>
        <v>4.9143997800000001</v>
      </c>
      <c r="K127" s="93">
        <f t="shared" si="5"/>
        <v>0.33552096297049572</v>
      </c>
    </row>
    <row r="128" spans="2:11" ht="15">
      <c r="B128" s="70">
        <v>89</v>
      </c>
      <c r="C128" s="69" t="s">
        <v>27</v>
      </c>
      <c r="D128" s="70" t="s">
        <v>93</v>
      </c>
      <c r="E128" s="70" t="s">
        <v>62</v>
      </c>
      <c r="F128" s="72">
        <v>0.10441760818273092</v>
      </c>
      <c r="G128" s="88">
        <v>4.7717385700000001</v>
      </c>
      <c r="H128" s="88">
        <v>0.21048969000000001</v>
      </c>
      <c r="I128" s="88">
        <v>9.1157580000000002E-2</v>
      </c>
      <c r="J128" s="88">
        <f t="shared" si="4"/>
        <v>5.0733858400000003</v>
      </c>
      <c r="K128" s="93">
        <f t="shared" si="5"/>
        <v>0.52975081480093522</v>
      </c>
    </row>
  </sheetData>
  <pageMargins left="0.7" right="0.7" top="0.75" bottom="0.75" header="0.3" footer="0.3"/>
  <drawing r:id="rId1"/>
  <legacyDrawing r:id="rId2"/>
  <oleObjects>
    <mc:AlternateContent xmlns:mc="http://schemas.openxmlformats.org/markup-compatibility/2006">
      <mc:Choice Requires="x14">
        <oleObject progId="PBrush" shapeId="70659" r:id="rId3">
          <objectPr defaultSize="0" autoPict="0" r:id="rId4">
            <anchor moveWithCells="1">
              <from>
                <xdr:col>10</xdr:col>
                <xdr:colOff>266700</xdr:colOff>
                <xdr:row>2</xdr:row>
                <xdr:rowOff>88900</xdr:rowOff>
              </from>
              <to>
                <xdr:col>18</xdr:col>
                <xdr:colOff>330200</xdr:colOff>
                <xdr:row>34</xdr:row>
                <xdr:rowOff>63500</xdr:rowOff>
              </to>
            </anchor>
          </objectPr>
        </oleObject>
      </mc:Choice>
      <mc:Fallback>
        <oleObject progId="PBrush" shapeId="70659" r:id="rId3"/>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DD4A5-F601-45C7-99CF-BFCA37D7F0D7}">
  <dimension ref="B1:I38"/>
  <sheetViews>
    <sheetView workbookViewId="0">
      <selection activeCell="E19" sqref="E19"/>
    </sheetView>
  </sheetViews>
  <sheetFormatPr defaultColWidth="8.7109375" defaultRowHeight="14.1"/>
  <cols>
    <col min="1" max="1" width="2.28515625" style="5" customWidth="1"/>
    <col min="2" max="4" width="28.85546875" style="5" customWidth="1"/>
    <col min="5" max="5" width="37.140625" style="5" bestFit="1" customWidth="1"/>
    <col min="6" max="6" width="30.7109375" style="5" bestFit="1" customWidth="1"/>
    <col min="7" max="7" width="15.28515625" style="5" customWidth="1"/>
    <col min="8" max="8" width="14.28515625" style="5" customWidth="1"/>
    <col min="9" max="16384" width="8.7109375" style="5"/>
  </cols>
  <sheetData>
    <row r="1" spans="2:7">
      <c r="B1" s="22" t="s">
        <v>0</v>
      </c>
    </row>
    <row r="2" spans="2:7">
      <c r="B2" s="22"/>
      <c r="C2" s="21">
        <v>2018</v>
      </c>
      <c r="D2" s="21">
        <v>2030</v>
      </c>
    </row>
    <row r="3" spans="2:7" ht="30">
      <c r="B3" s="33" t="s">
        <v>1</v>
      </c>
      <c r="C3" s="50">
        <v>963.18</v>
      </c>
      <c r="D3" s="51" t="e">
        <f>SUM(F23:F35)</f>
        <v>#REF!</v>
      </c>
    </row>
    <row r="4" spans="2:7" ht="15">
      <c r="B4" s="33" t="s">
        <v>2</v>
      </c>
      <c r="C4" s="35">
        <f>'2018 (food consumption)'!$B$15</f>
        <v>365</v>
      </c>
      <c r="D4" s="29">
        <f>C4</f>
        <v>365</v>
      </c>
      <c r="E4" s="32"/>
    </row>
    <row r="7" spans="2:7">
      <c r="B7" s="22" t="s">
        <v>3</v>
      </c>
      <c r="E7" s="31"/>
      <c r="F7" s="34"/>
      <c r="G7" s="28"/>
    </row>
    <row r="8" spans="2:7">
      <c r="B8" s="22"/>
      <c r="E8" s="31"/>
      <c r="F8" s="34"/>
      <c r="G8" s="28"/>
    </row>
    <row r="9" spans="2:7">
      <c r="B9" s="16" t="s">
        <v>4</v>
      </c>
      <c r="C9" s="17">
        <v>2018</v>
      </c>
      <c r="D9" s="17" t="s">
        <v>5</v>
      </c>
      <c r="E9" s="31"/>
      <c r="F9" s="34"/>
      <c r="G9" s="28"/>
    </row>
    <row r="10" spans="2:7">
      <c r="B10" s="23" t="s">
        <v>6</v>
      </c>
      <c r="C10" s="30">
        <f>C23+C24+C25+C26+C27+C28+C29+C30</f>
        <v>0.29041095890410956</v>
      </c>
      <c r="D10" s="15">
        <v>0.25</v>
      </c>
      <c r="E10" s="31"/>
      <c r="F10" s="34"/>
      <c r="G10" s="28"/>
    </row>
    <row r="11" spans="2:7">
      <c r="B11" s="23" t="s">
        <v>7</v>
      </c>
      <c r="C11" s="30">
        <f>C34+C35</f>
        <v>0.24931506849315069</v>
      </c>
      <c r="D11" s="15">
        <v>0.25</v>
      </c>
      <c r="E11" s="31"/>
      <c r="F11" s="34"/>
      <c r="G11" s="28"/>
    </row>
    <row r="12" spans="2:7">
      <c r="B12" s="23" t="s">
        <v>8</v>
      </c>
      <c r="C12" s="30">
        <f>C31+C32+C33</f>
        <v>0.46027397260273972</v>
      </c>
      <c r="D12" s="15">
        <v>0.5</v>
      </c>
      <c r="E12" s="31"/>
      <c r="F12" s="34"/>
      <c r="G12" s="28"/>
    </row>
    <row r="13" spans="2:7">
      <c r="E13" s="31"/>
      <c r="F13" s="34"/>
      <c r="G13" s="28"/>
    </row>
    <row r="14" spans="2:7">
      <c r="B14" s="16" t="s">
        <v>9</v>
      </c>
      <c r="C14" s="17">
        <v>2018</v>
      </c>
      <c r="D14" s="17" t="s">
        <v>10</v>
      </c>
      <c r="E14" s="31"/>
      <c r="F14" s="34"/>
      <c r="G14" s="28"/>
    </row>
    <row r="15" spans="2:7">
      <c r="B15" s="18" t="s">
        <v>11</v>
      </c>
      <c r="C15" s="15">
        <v>0.1</v>
      </c>
      <c r="D15" s="19">
        <v>0.3</v>
      </c>
      <c r="E15" s="31"/>
      <c r="F15" s="34"/>
      <c r="G15" s="28"/>
    </row>
    <row r="16" spans="2:7">
      <c r="B16" s="18" t="s">
        <v>12</v>
      </c>
      <c r="C16" s="15">
        <v>0.9</v>
      </c>
      <c r="D16" s="19">
        <v>0.7</v>
      </c>
      <c r="E16" s="31"/>
      <c r="F16" s="34"/>
      <c r="G16" s="28"/>
    </row>
    <row r="17" spans="2:9">
      <c r="B17" s="22"/>
      <c r="E17" s="31"/>
      <c r="F17" s="34"/>
      <c r="G17" s="28"/>
    </row>
    <row r="18" spans="2:9">
      <c r="B18" s="36"/>
      <c r="C18" s="37"/>
      <c r="G18" s="38"/>
    </row>
    <row r="19" spans="2:9">
      <c r="B19" s="22" t="s">
        <v>13</v>
      </c>
      <c r="C19" s="37"/>
      <c r="G19" s="38"/>
    </row>
    <row r="20" spans="2:9">
      <c r="B20" s="36"/>
      <c r="C20" s="37"/>
      <c r="G20" s="38"/>
    </row>
    <row r="21" spans="2:9">
      <c r="B21" s="39" t="s">
        <v>14</v>
      </c>
    </row>
    <row r="22" spans="2:9" ht="30">
      <c r="B22" s="21" t="s">
        <v>15</v>
      </c>
      <c r="C22" s="26" t="s">
        <v>16</v>
      </c>
      <c r="D22" s="26" t="s">
        <v>17</v>
      </c>
      <c r="E22" s="26" t="s">
        <v>18</v>
      </c>
      <c r="F22" s="26" t="s">
        <v>19</v>
      </c>
    </row>
    <row r="23" spans="2:9" ht="15">
      <c r="B23" s="20" t="s">
        <v>20</v>
      </c>
      <c r="C23" s="27">
        <f>VLOOKUP(B23,'2018 (food consumption)'!$A$2:$C$14,3,FALSE)</f>
        <v>8.21917808219178E-3</v>
      </c>
      <c r="D23" s="24">
        <f>C23*$D$4</f>
        <v>2.9999999999999996</v>
      </c>
      <c r="E23" s="49" t="e">
        <f>AVERAGE(#REF!)</f>
        <v>#REF!</v>
      </c>
      <c r="F23" s="49" t="e">
        <f>D23*E23</f>
        <v>#REF!</v>
      </c>
      <c r="H23" s="3"/>
      <c r="I23" s="4"/>
    </row>
    <row r="24" spans="2:9" ht="15">
      <c r="B24" s="20" t="s">
        <v>21</v>
      </c>
      <c r="C24" s="27">
        <f>VLOOKUP(B24,'2018 (food consumption)'!$A$2:$C$14,3,FALSE)</f>
        <v>5.4794520547945206E-3</v>
      </c>
      <c r="D24" s="24">
        <f t="shared" ref="D24:D35" si="0">C24*$D$4</f>
        <v>2</v>
      </c>
      <c r="E24" s="49" t="e">
        <f>AVERAGE(#REF!)</f>
        <v>#REF!</v>
      </c>
      <c r="F24" s="49" t="e">
        <f t="shared" ref="F24:F35" si="1">D24*E24</f>
        <v>#REF!</v>
      </c>
      <c r="H24" s="3"/>
      <c r="I24" s="4"/>
    </row>
    <row r="25" spans="2:9" ht="15">
      <c r="B25" s="20" t="s">
        <v>22</v>
      </c>
      <c r="C25" s="27">
        <f>VLOOKUP(B25,'2018 (food consumption)'!$A$2:$C$14,3,FALSE)</f>
        <v>6.0273972602739728E-2</v>
      </c>
      <c r="D25" s="24">
        <f t="shared" si="0"/>
        <v>22</v>
      </c>
      <c r="E25" s="49" t="e">
        <f>AVERAGE(#REF!)</f>
        <v>#REF!</v>
      </c>
      <c r="F25" s="49" t="e">
        <f t="shared" si="1"/>
        <v>#REF!</v>
      </c>
      <c r="H25" s="3"/>
      <c r="I25" s="4"/>
    </row>
    <row r="26" spans="2:9" ht="15">
      <c r="B26" s="20" t="s">
        <v>23</v>
      </c>
      <c r="C26" s="27">
        <f>VLOOKUP(B26,'2018 (food consumption)'!$A$2:$C$14,3,FALSE)</f>
        <v>9.3150684931506855E-2</v>
      </c>
      <c r="D26" s="24">
        <f t="shared" si="0"/>
        <v>34</v>
      </c>
      <c r="E26" s="49" t="e">
        <f>AVERAGE(#REF!)</f>
        <v>#REF!</v>
      </c>
      <c r="F26" s="49" t="e">
        <f t="shared" si="1"/>
        <v>#REF!</v>
      </c>
      <c r="H26" s="3"/>
      <c r="I26" s="4"/>
    </row>
    <row r="27" spans="2:9" ht="15">
      <c r="B27" s="20" t="s">
        <v>24</v>
      </c>
      <c r="C27" s="27">
        <f>VLOOKUP(B27,'2018 (food consumption)'!$A$2:$C$14,3,FALSE)</f>
        <v>5.4794520547945206E-3</v>
      </c>
      <c r="D27" s="24">
        <f t="shared" si="0"/>
        <v>2</v>
      </c>
      <c r="E27" s="49" t="e">
        <f>AVERAGE(#REF!)</f>
        <v>#REF!</v>
      </c>
      <c r="F27" s="49" t="e">
        <f t="shared" si="1"/>
        <v>#REF!</v>
      </c>
      <c r="H27" s="3"/>
      <c r="I27" s="4"/>
    </row>
    <row r="28" spans="2:9" ht="15">
      <c r="B28" s="20" t="s">
        <v>25</v>
      </c>
      <c r="C28" s="27">
        <f>VLOOKUP(B28,'2018 (food consumption)'!$A$2:$C$14,3,FALSE)</f>
        <v>6.0273972602739728E-2</v>
      </c>
      <c r="D28" s="24">
        <f t="shared" si="0"/>
        <v>22</v>
      </c>
      <c r="E28" s="49" t="e">
        <f>AVERAGE(#REF!)</f>
        <v>#REF!</v>
      </c>
      <c r="F28" s="49" t="e">
        <f t="shared" si="1"/>
        <v>#REF!</v>
      </c>
      <c r="H28" s="3"/>
      <c r="I28" s="4"/>
    </row>
    <row r="29" spans="2:9" ht="15">
      <c r="B29" s="20" t="s">
        <v>26</v>
      </c>
      <c r="C29" s="27">
        <f>VLOOKUP(B29,'2018 (food consumption)'!$A$2:$C$14,3,FALSE)</f>
        <v>4.1095890410958902E-2</v>
      </c>
      <c r="D29" s="24">
        <f t="shared" si="0"/>
        <v>15</v>
      </c>
      <c r="E29" s="49" t="e">
        <f>AVERAGE(#REF!)</f>
        <v>#REF!</v>
      </c>
      <c r="F29" s="49" t="e">
        <f t="shared" si="1"/>
        <v>#REF!</v>
      </c>
      <c r="H29" s="3"/>
      <c r="I29" s="4"/>
    </row>
    <row r="30" spans="2:9" ht="15">
      <c r="B30" s="20" t="s">
        <v>27</v>
      </c>
      <c r="C30" s="27">
        <f>VLOOKUP(B30,'2018 (food consumption)'!$A$2:$C$14,3,FALSE)</f>
        <v>1.643835616438356E-2</v>
      </c>
      <c r="D30" s="24">
        <f t="shared" si="0"/>
        <v>5.9999999999999991</v>
      </c>
      <c r="E30" s="49" t="e">
        <f>AVERAGE(#REF!)</f>
        <v>#REF!</v>
      </c>
      <c r="F30" s="49" t="e">
        <f t="shared" si="1"/>
        <v>#REF!</v>
      </c>
      <c r="H30" s="3"/>
      <c r="I30" s="4"/>
    </row>
    <row r="31" spans="2:9" ht="15">
      <c r="B31" s="20" t="s">
        <v>28</v>
      </c>
      <c r="C31" s="27">
        <f>VLOOKUP(B31,'2018 (food consumption)'!$A$2:$C$14,3,FALSE)</f>
        <v>0.19726027397260273</v>
      </c>
      <c r="D31" s="24">
        <f t="shared" si="0"/>
        <v>72</v>
      </c>
      <c r="E31" s="49" t="e">
        <f>AVERAGE(#REF!)</f>
        <v>#REF!</v>
      </c>
      <c r="F31" s="49" t="e">
        <f t="shared" si="1"/>
        <v>#REF!</v>
      </c>
      <c r="H31" s="3"/>
      <c r="I31" s="4"/>
    </row>
    <row r="32" spans="2:9" ht="15">
      <c r="B32" s="20" t="s">
        <v>29</v>
      </c>
      <c r="C32" s="27">
        <f>VLOOKUP(B32,'2018 (food consumption)'!$A$2:$C$14,3,FALSE)</f>
        <v>4.3835616438356165E-2</v>
      </c>
      <c r="D32" s="24">
        <f t="shared" si="0"/>
        <v>16</v>
      </c>
      <c r="E32" s="49" t="e">
        <f>AVERAGE(#REF!)</f>
        <v>#REF!</v>
      </c>
      <c r="F32" s="49" t="e">
        <f t="shared" si="1"/>
        <v>#REF!</v>
      </c>
      <c r="H32" s="3"/>
      <c r="I32" s="4"/>
    </row>
    <row r="33" spans="2:9" ht="15">
      <c r="B33" s="20" t="s">
        <v>30</v>
      </c>
      <c r="C33" s="27">
        <f>VLOOKUP(B33,'2018 (food consumption)'!$A$2:$C$14,3,FALSE)</f>
        <v>0.21917808219178081</v>
      </c>
      <c r="D33" s="24">
        <f t="shared" si="0"/>
        <v>80</v>
      </c>
      <c r="E33" s="49" t="e">
        <f>AVERAGE(#REF!)</f>
        <v>#REF!</v>
      </c>
      <c r="F33" s="49" t="e">
        <f t="shared" si="1"/>
        <v>#REF!</v>
      </c>
      <c r="H33" s="3"/>
      <c r="I33" s="4"/>
    </row>
    <row r="34" spans="2:9" ht="15">
      <c r="B34" s="20" t="s">
        <v>31</v>
      </c>
      <c r="C34" s="27">
        <f>VLOOKUP(B34,'2018 (food consumption)'!$A$2:$C$14,3,FALSE)</f>
        <v>0.12328767123287671</v>
      </c>
      <c r="D34" s="24">
        <f t="shared" si="0"/>
        <v>45</v>
      </c>
      <c r="E34" s="49" t="e">
        <f>AVERAGE(#REF!)</f>
        <v>#REF!</v>
      </c>
      <c r="F34" s="49" t="e">
        <f t="shared" si="1"/>
        <v>#REF!</v>
      </c>
      <c r="H34" s="3"/>
      <c r="I34" s="4"/>
    </row>
    <row r="35" spans="2:9" ht="15">
      <c r="B35" s="20" t="s">
        <v>32</v>
      </c>
      <c r="C35" s="27">
        <f>VLOOKUP(B35,'2018 (food consumption)'!$A$2:$C$14,3,FALSE)</f>
        <v>0.12602739726027398</v>
      </c>
      <c r="D35" s="24">
        <f t="shared" si="0"/>
        <v>46</v>
      </c>
      <c r="E35" s="49" t="e">
        <f>AVERAGE(#REF!)</f>
        <v>#REF!</v>
      </c>
      <c r="F35" s="49" t="e">
        <f t="shared" si="1"/>
        <v>#REF!</v>
      </c>
      <c r="H35" s="3"/>
      <c r="I35" s="4"/>
    </row>
    <row r="36" spans="2:9" s="14" customFormat="1"/>
    <row r="38" spans="2:9">
      <c r="G38" s="2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6BD8D-5837-478B-ADAF-E1E9E976A975}">
  <dimension ref="A1:M99"/>
  <sheetViews>
    <sheetView zoomScale="85" zoomScaleNormal="85" workbookViewId="0">
      <selection activeCell="K13" sqref="K13"/>
    </sheetView>
  </sheetViews>
  <sheetFormatPr defaultColWidth="8.85546875" defaultRowHeight="15"/>
  <cols>
    <col min="1" max="1" width="5.140625" style="4" bestFit="1" customWidth="1"/>
    <col min="2" max="2" width="15.28515625" style="4" bestFit="1" customWidth="1"/>
    <col min="3" max="3" width="16.85546875" style="4" bestFit="1" customWidth="1"/>
    <col min="4" max="4" width="29.85546875" style="4" bestFit="1" customWidth="1"/>
    <col min="5" max="8" width="13.7109375" style="4" customWidth="1"/>
    <col min="9" max="9" width="11.7109375" bestFit="1" customWidth="1"/>
  </cols>
  <sheetData>
    <row r="1" spans="1:13" s="1" customFormat="1" ht="28.35" customHeight="1">
      <c r="A1" s="47" t="s">
        <v>33</v>
      </c>
      <c r="B1" s="47" t="s">
        <v>15</v>
      </c>
      <c r="C1" s="47" t="s">
        <v>34</v>
      </c>
      <c r="D1" s="47" t="s">
        <v>35</v>
      </c>
      <c r="E1" s="10" t="s">
        <v>36</v>
      </c>
      <c r="F1" s="10" t="s">
        <v>37</v>
      </c>
      <c r="G1" s="10" t="s">
        <v>38</v>
      </c>
      <c r="H1" s="10" t="s">
        <v>39</v>
      </c>
    </row>
    <row r="2" spans="1:13" ht="15.95">
      <c r="A2" s="48">
        <v>1</v>
      </c>
      <c r="B2" s="52" t="s">
        <v>23</v>
      </c>
      <c r="C2" s="53" t="s">
        <v>40</v>
      </c>
      <c r="D2" s="52" t="s">
        <v>41</v>
      </c>
      <c r="E2" s="53">
        <f>SUM(F2:H2)</f>
        <v>3.3803679999999998</v>
      </c>
      <c r="F2" s="53">
        <v>2.995031</v>
      </c>
      <c r="G2" s="53">
        <v>0.38144</v>
      </c>
      <c r="H2" s="53">
        <v>3.8969999999999999E-3</v>
      </c>
    </row>
    <row r="3" spans="1:13" ht="15.95">
      <c r="A3" s="48">
        <v>2</v>
      </c>
      <c r="B3" s="52" t="s">
        <v>23</v>
      </c>
      <c r="C3" s="53" t="s">
        <v>42</v>
      </c>
      <c r="D3" s="53" t="s">
        <v>41</v>
      </c>
      <c r="E3" s="53">
        <f t="shared" ref="E3:E66" si="0">SUM(F3:H3)</f>
        <v>3.7630210000000002</v>
      </c>
      <c r="F3" s="53">
        <v>2.9989279999999998</v>
      </c>
      <c r="G3" s="53">
        <v>0.76137900000000003</v>
      </c>
      <c r="H3" s="53">
        <v>2.7139999999999998E-3</v>
      </c>
    </row>
    <row r="4" spans="1:13" ht="15.95">
      <c r="A4" s="48">
        <v>3</v>
      </c>
      <c r="B4" s="52" t="s">
        <v>23</v>
      </c>
      <c r="C4" s="53" t="s">
        <v>42</v>
      </c>
      <c r="D4" s="53" t="s">
        <v>43</v>
      </c>
      <c r="E4" s="53">
        <f t="shared" si="0"/>
        <v>3.6325800000000004</v>
      </c>
      <c r="F4" s="53">
        <v>2.5277020000000001</v>
      </c>
      <c r="G4" s="53">
        <v>0.68049199999999999</v>
      </c>
      <c r="H4" s="53">
        <v>0.42438599999999999</v>
      </c>
    </row>
    <row r="5" spans="1:13" ht="15.95">
      <c r="A5" s="48">
        <v>4</v>
      </c>
      <c r="B5" s="54" t="s">
        <v>24</v>
      </c>
      <c r="C5" s="55" t="s">
        <v>40</v>
      </c>
      <c r="D5" s="54" t="s">
        <v>41</v>
      </c>
      <c r="E5" s="55">
        <f t="shared" si="0"/>
        <v>4.1421920000000005</v>
      </c>
      <c r="F5" s="55">
        <v>3.812459</v>
      </c>
      <c r="G5" s="55">
        <v>0.32567699999999999</v>
      </c>
      <c r="H5" s="55">
        <v>4.0559999999999997E-3</v>
      </c>
    </row>
    <row r="6" spans="1:13" ht="15.95">
      <c r="A6" s="48">
        <v>5</v>
      </c>
      <c r="B6" s="54" t="s">
        <v>24</v>
      </c>
      <c r="C6" s="55" t="s">
        <v>42</v>
      </c>
      <c r="D6" s="54" t="s">
        <v>41</v>
      </c>
      <c r="E6" s="55">
        <f t="shared" si="0"/>
        <v>4.2503690000000001</v>
      </c>
      <c r="F6" s="55">
        <v>3.812459</v>
      </c>
      <c r="G6" s="55">
        <v>0.43385400000000002</v>
      </c>
      <c r="H6" s="55">
        <v>4.0559999999999997E-3</v>
      </c>
    </row>
    <row r="7" spans="1:13" ht="15.95">
      <c r="A7" s="48">
        <v>6</v>
      </c>
      <c r="B7" s="52" t="s">
        <v>21</v>
      </c>
      <c r="C7" s="53" t="s">
        <v>44</v>
      </c>
      <c r="D7" s="53" t="s">
        <v>45</v>
      </c>
      <c r="E7" s="53">
        <f t="shared" si="0"/>
        <v>21.220103999999999</v>
      </c>
      <c r="F7" s="53">
        <v>13.19894</v>
      </c>
      <c r="G7" s="53">
        <v>0.90092099999999997</v>
      </c>
      <c r="H7" s="53">
        <v>7.1202430000000003</v>
      </c>
    </row>
    <row r="8" spans="1:13" ht="15.95">
      <c r="A8" s="48">
        <v>7</v>
      </c>
      <c r="B8" s="52" t="s">
        <v>21</v>
      </c>
      <c r="C8" s="53" t="s">
        <v>42</v>
      </c>
      <c r="D8" s="53" t="s">
        <v>45</v>
      </c>
      <c r="E8" s="53">
        <f t="shared" si="0"/>
        <v>14.342961000000001</v>
      </c>
      <c r="F8" s="53">
        <v>13.19894</v>
      </c>
      <c r="G8" s="53">
        <v>0.96768900000000002</v>
      </c>
      <c r="H8" s="53">
        <v>0.17633199999999999</v>
      </c>
    </row>
    <row r="9" spans="1:13" ht="15.95">
      <c r="A9" s="48">
        <v>8</v>
      </c>
      <c r="B9" s="54" t="s">
        <v>22</v>
      </c>
      <c r="C9" s="55" t="s">
        <v>40</v>
      </c>
      <c r="D9" s="54" t="s">
        <v>46</v>
      </c>
      <c r="E9" s="55">
        <f t="shared" si="0"/>
        <v>9.0093472999999999</v>
      </c>
      <c r="F9" s="55">
        <v>7.22039819</v>
      </c>
      <c r="G9" s="55">
        <v>1.7484542000000001</v>
      </c>
      <c r="H9" s="55">
        <v>4.0494910000000002E-2</v>
      </c>
    </row>
    <row r="10" spans="1:13" ht="15.95">
      <c r="A10" s="48">
        <v>9</v>
      </c>
      <c r="B10" s="54" t="s">
        <v>22</v>
      </c>
      <c r="C10" s="55" t="s">
        <v>44</v>
      </c>
      <c r="D10" s="55" t="s">
        <v>43</v>
      </c>
      <c r="E10" s="55">
        <f t="shared" si="0"/>
        <v>26.974032749999999</v>
      </c>
      <c r="F10" s="55">
        <v>7.2956225999999997</v>
      </c>
      <c r="G10" s="55">
        <v>0.81951735000000003</v>
      </c>
      <c r="H10" s="55">
        <v>18.8588928</v>
      </c>
    </row>
    <row r="11" spans="1:13" ht="15.95">
      <c r="A11" s="48">
        <v>10</v>
      </c>
      <c r="B11" s="54" t="s">
        <v>22</v>
      </c>
      <c r="C11" s="55" t="s">
        <v>44</v>
      </c>
      <c r="D11" s="55" t="s">
        <v>45</v>
      </c>
      <c r="E11" s="55">
        <f t="shared" si="0"/>
        <v>18.329881700000001</v>
      </c>
      <c r="F11" s="55">
        <v>7.1395445799999999</v>
      </c>
      <c r="G11" s="55">
        <v>4.0700936900000002</v>
      </c>
      <c r="H11" s="55">
        <v>7.1202434300000004</v>
      </c>
    </row>
    <row r="12" spans="1:13" ht="15.95">
      <c r="A12" s="48">
        <v>11</v>
      </c>
      <c r="B12" s="54" t="s">
        <v>22</v>
      </c>
      <c r="C12" s="55" t="s">
        <v>42</v>
      </c>
      <c r="D12" s="55" t="s">
        <v>43</v>
      </c>
      <c r="E12" s="55">
        <f t="shared" si="0"/>
        <v>8.5660037500000001</v>
      </c>
      <c r="F12" s="55">
        <v>7.2956225999999997</v>
      </c>
      <c r="G12" s="55">
        <v>0.84836555000000002</v>
      </c>
      <c r="H12" s="55">
        <v>0.42201559999999999</v>
      </c>
    </row>
    <row r="13" spans="1:13" ht="15.95">
      <c r="A13" s="48">
        <v>12</v>
      </c>
      <c r="B13" s="54" t="s">
        <v>22</v>
      </c>
      <c r="C13" s="55" t="s">
        <v>42</v>
      </c>
      <c r="D13" s="55" t="s">
        <v>45</v>
      </c>
      <c r="E13" s="55">
        <f t="shared" si="0"/>
        <v>11.482704629999999</v>
      </c>
      <c r="F13" s="55">
        <v>7.1395445799999999</v>
      </c>
      <c r="G13" s="55">
        <v>4.1668280099999997</v>
      </c>
      <c r="H13" s="55">
        <v>0.17633204</v>
      </c>
    </row>
    <row r="14" spans="1:13" ht="15.95">
      <c r="A14" s="48">
        <v>13</v>
      </c>
      <c r="B14" s="54" t="s">
        <v>22</v>
      </c>
      <c r="C14" s="55" t="s">
        <v>42</v>
      </c>
      <c r="D14" s="55" t="s">
        <v>47</v>
      </c>
      <c r="E14" s="55">
        <f t="shared" si="0"/>
        <v>9.8110231499999987</v>
      </c>
      <c r="F14" s="55">
        <v>7.0857764300000001</v>
      </c>
      <c r="G14" s="55">
        <v>2.3632220799999999</v>
      </c>
      <c r="H14" s="55">
        <v>0.36202464000000001</v>
      </c>
    </row>
    <row r="15" spans="1:13" ht="15.95">
      <c r="A15" s="48">
        <v>14</v>
      </c>
      <c r="B15" s="54" t="s">
        <v>22</v>
      </c>
      <c r="C15" s="55" t="s">
        <v>42</v>
      </c>
      <c r="D15" s="55" t="s">
        <v>48</v>
      </c>
      <c r="E15" s="55">
        <f t="shared" si="0"/>
        <v>9.3633567899999992</v>
      </c>
      <c r="F15" s="55">
        <v>7.2956225999999997</v>
      </c>
      <c r="G15" s="55">
        <v>1.77765705</v>
      </c>
      <c r="H15" s="55">
        <v>0.29007714000000001</v>
      </c>
    </row>
    <row r="16" spans="1:13" ht="15.95">
      <c r="A16" s="48">
        <v>15</v>
      </c>
      <c r="B16" s="52" t="s">
        <v>20</v>
      </c>
      <c r="C16" s="53" t="s">
        <v>44</v>
      </c>
      <c r="D16" s="53" t="s">
        <v>43</v>
      </c>
      <c r="E16" s="53">
        <f t="shared" si="0"/>
        <v>38.387225999999998</v>
      </c>
      <c r="F16" s="53">
        <v>18.833870000000001</v>
      </c>
      <c r="G16" s="53">
        <v>0.69446600000000003</v>
      </c>
      <c r="H16" s="53">
        <v>18.858889999999999</v>
      </c>
      <c r="K16" s="4"/>
      <c r="L16" s="4"/>
      <c r="M16" s="4"/>
    </row>
    <row r="17" spans="1:13" ht="15.95">
      <c r="A17" s="48">
        <v>16</v>
      </c>
      <c r="B17" s="52" t="s">
        <v>20</v>
      </c>
      <c r="C17" s="53" t="s">
        <v>44</v>
      </c>
      <c r="D17" s="53" t="s">
        <v>45</v>
      </c>
      <c r="E17" s="53">
        <f t="shared" si="0"/>
        <v>27.496814999999998</v>
      </c>
      <c r="F17" s="53">
        <v>18.857240000000001</v>
      </c>
      <c r="G17" s="53">
        <v>1.5193319999999999</v>
      </c>
      <c r="H17" s="53">
        <v>7.1202430000000003</v>
      </c>
      <c r="K17" s="4"/>
      <c r="L17" s="4"/>
      <c r="M17" s="4"/>
    </row>
    <row r="18" spans="1:13" ht="15.95">
      <c r="A18" s="48">
        <v>17</v>
      </c>
      <c r="B18" s="52" t="s">
        <v>20</v>
      </c>
      <c r="C18" s="53" t="s">
        <v>44</v>
      </c>
      <c r="D18" s="53" t="s">
        <v>49</v>
      </c>
      <c r="E18" s="53">
        <f t="shared" si="0"/>
        <v>29.290783999999999</v>
      </c>
      <c r="F18" s="53">
        <v>18.760680000000001</v>
      </c>
      <c r="G18" s="53">
        <v>0.63292700000000002</v>
      </c>
      <c r="H18" s="53">
        <v>9.8971769999999992</v>
      </c>
    </row>
    <row r="19" spans="1:13" ht="15.95">
      <c r="A19" s="48">
        <v>18</v>
      </c>
      <c r="B19" s="52" t="s">
        <v>20</v>
      </c>
      <c r="C19" s="53" t="s">
        <v>42</v>
      </c>
      <c r="D19" s="53" t="s">
        <v>43</v>
      </c>
      <c r="E19" s="53">
        <f t="shared" si="0"/>
        <v>19.969895000000001</v>
      </c>
      <c r="F19" s="53">
        <v>18.833870000000001</v>
      </c>
      <c r="G19" s="53">
        <v>0.714009</v>
      </c>
      <c r="H19" s="53">
        <v>0.422016</v>
      </c>
    </row>
    <row r="20" spans="1:13" ht="15.95">
      <c r="A20" s="48">
        <v>19</v>
      </c>
      <c r="B20" s="52" t="s">
        <v>20</v>
      </c>
      <c r="C20" s="53" t="s">
        <v>42</v>
      </c>
      <c r="D20" s="53" t="s">
        <v>45</v>
      </c>
      <c r="E20" s="53">
        <f t="shared" si="0"/>
        <v>20.619671999999998</v>
      </c>
      <c r="F20" s="53">
        <v>18.857240000000001</v>
      </c>
      <c r="G20" s="53">
        <v>1.5861000000000001</v>
      </c>
      <c r="H20" s="53">
        <v>0.17633199999999999</v>
      </c>
    </row>
    <row r="21" spans="1:13" ht="15.95">
      <c r="A21" s="48">
        <v>20</v>
      </c>
      <c r="B21" s="52" t="s">
        <v>20</v>
      </c>
      <c r="C21" s="53" t="s">
        <v>42</v>
      </c>
      <c r="D21" s="53" t="s">
        <v>49</v>
      </c>
      <c r="E21" s="53">
        <f t="shared" si="0"/>
        <v>19.644688000000002</v>
      </c>
      <c r="F21" s="53">
        <v>18.760680000000001</v>
      </c>
      <c r="G21" s="53">
        <v>0.64853400000000005</v>
      </c>
      <c r="H21" s="53">
        <v>0.23547399999999999</v>
      </c>
    </row>
    <row r="22" spans="1:13" ht="15.95">
      <c r="A22" s="48">
        <v>21</v>
      </c>
      <c r="B22" s="54" t="s">
        <v>25</v>
      </c>
      <c r="C22" s="55" t="s">
        <v>40</v>
      </c>
      <c r="D22" s="55" t="s">
        <v>41</v>
      </c>
      <c r="E22" s="55">
        <f t="shared" si="0"/>
        <v>3.1084899999999998</v>
      </c>
      <c r="F22" s="55">
        <v>3.0457689999999999</v>
      </c>
      <c r="G22" s="55">
        <v>5.5363000000000002E-2</v>
      </c>
      <c r="H22" s="55">
        <v>7.358E-3</v>
      </c>
    </row>
    <row r="23" spans="1:13" ht="15.95">
      <c r="A23" s="48">
        <v>22</v>
      </c>
      <c r="B23" s="54" t="s">
        <v>25</v>
      </c>
      <c r="C23" s="55" t="s">
        <v>40</v>
      </c>
      <c r="D23" s="55" t="s">
        <v>50</v>
      </c>
      <c r="E23" s="55">
        <f t="shared" si="0"/>
        <v>2.9556629999999999</v>
      </c>
      <c r="F23" s="55">
        <v>2.924229</v>
      </c>
      <c r="G23" s="55">
        <v>3.1273000000000002E-2</v>
      </c>
      <c r="H23" s="55">
        <v>1.6100000000000001E-4</v>
      </c>
    </row>
    <row r="24" spans="1:13" ht="15.95">
      <c r="A24" s="48">
        <v>23</v>
      </c>
      <c r="B24" s="52" t="s">
        <v>28</v>
      </c>
      <c r="C24" s="53" t="s">
        <v>51</v>
      </c>
      <c r="D24" s="53" t="s">
        <v>41</v>
      </c>
      <c r="E24" s="53">
        <f t="shared" si="0"/>
        <v>0.38261500000000004</v>
      </c>
      <c r="F24" s="53">
        <v>0.19164700000000001</v>
      </c>
      <c r="G24" s="53">
        <v>0.10198699999999999</v>
      </c>
      <c r="H24" s="53">
        <v>8.8981000000000005E-2</v>
      </c>
    </row>
    <row r="25" spans="1:13" ht="15.95">
      <c r="A25" s="48">
        <v>24</v>
      </c>
      <c r="B25" s="52" t="s">
        <v>28</v>
      </c>
      <c r="C25" s="53" t="s">
        <v>51</v>
      </c>
      <c r="D25" s="53" t="s">
        <v>52</v>
      </c>
      <c r="E25" s="53">
        <f t="shared" si="0"/>
        <v>0.39091900000000002</v>
      </c>
      <c r="F25" s="53">
        <v>0.199766</v>
      </c>
      <c r="G25" s="53">
        <v>0.10198699999999999</v>
      </c>
      <c r="H25" s="53">
        <v>8.9165999999999995E-2</v>
      </c>
    </row>
    <row r="26" spans="1:13" ht="15.95">
      <c r="A26" s="48">
        <v>25</v>
      </c>
      <c r="B26" s="52" t="s">
        <v>28</v>
      </c>
      <c r="C26" s="53" t="s">
        <v>53</v>
      </c>
      <c r="D26" s="53" t="s">
        <v>41</v>
      </c>
      <c r="E26" s="53">
        <f t="shared" si="0"/>
        <v>0.318382</v>
      </c>
      <c r="F26" s="53">
        <v>0.127414</v>
      </c>
      <c r="G26" s="53">
        <v>0.10198699999999999</v>
      </c>
      <c r="H26" s="53">
        <v>8.8981000000000005E-2</v>
      </c>
    </row>
    <row r="27" spans="1:13" ht="15.95">
      <c r="A27" s="48">
        <v>26</v>
      </c>
      <c r="B27" s="52" t="s">
        <v>28</v>
      </c>
      <c r="C27" s="53" t="s">
        <v>54</v>
      </c>
      <c r="D27" s="53" t="s">
        <v>41</v>
      </c>
      <c r="E27" s="53">
        <f t="shared" si="0"/>
        <v>0.33505799999999997</v>
      </c>
      <c r="F27" s="53">
        <v>0.14409</v>
      </c>
      <c r="G27" s="53">
        <v>0.10198699999999999</v>
      </c>
      <c r="H27" s="53">
        <v>8.8981000000000005E-2</v>
      </c>
    </row>
    <row r="28" spans="1:13" ht="15.95">
      <c r="A28" s="48">
        <v>27</v>
      </c>
      <c r="B28" s="52" t="s">
        <v>28</v>
      </c>
      <c r="C28" s="53" t="s">
        <v>55</v>
      </c>
      <c r="D28" s="53" t="s">
        <v>41</v>
      </c>
      <c r="E28" s="53">
        <f t="shared" si="0"/>
        <v>0.28408</v>
      </c>
      <c r="F28" s="53">
        <v>9.3112E-2</v>
      </c>
      <c r="G28" s="53">
        <v>0.10198699999999999</v>
      </c>
      <c r="H28" s="53">
        <v>8.8981000000000005E-2</v>
      </c>
    </row>
    <row r="29" spans="1:13" ht="15.95">
      <c r="A29" s="48">
        <v>28</v>
      </c>
      <c r="B29" s="52" t="s">
        <v>28</v>
      </c>
      <c r="C29" s="53" t="s">
        <v>56</v>
      </c>
      <c r="D29" s="53" t="s">
        <v>45</v>
      </c>
      <c r="E29" s="53">
        <f t="shared" si="0"/>
        <v>0.50028000000000006</v>
      </c>
      <c r="F29" s="53">
        <v>0.19825000000000001</v>
      </c>
      <c r="G29" s="53">
        <v>9.6673999999999996E-2</v>
      </c>
      <c r="H29" s="53">
        <v>0.20535600000000001</v>
      </c>
    </row>
    <row r="30" spans="1:13" ht="15.95">
      <c r="A30" s="48">
        <v>29</v>
      </c>
      <c r="B30" s="52" t="s">
        <v>28</v>
      </c>
      <c r="C30" s="53" t="s">
        <v>56</v>
      </c>
      <c r="D30" s="53" t="s">
        <v>57</v>
      </c>
      <c r="E30" s="53">
        <f t="shared" si="0"/>
        <v>0.99686600000000003</v>
      </c>
      <c r="F30" s="53">
        <v>0.156613</v>
      </c>
      <c r="G30" s="53">
        <v>9.6673999999999996E-2</v>
      </c>
      <c r="H30" s="53">
        <v>0.74357899999999999</v>
      </c>
    </row>
    <row r="31" spans="1:13" ht="15.95">
      <c r="A31" s="48">
        <v>30</v>
      </c>
      <c r="B31" s="52" t="s">
        <v>28</v>
      </c>
      <c r="C31" s="53" t="s">
        <v>56</v>
      </c>
      <c r="D31" s="53" t="s">
        <v>58</v>
      </c>
      <c r="E31" s="53">
        <f t="shared" si="0"/>
        <v>0.593862</v>
      </c>
      <c r="F31" s="53">
        <v>0.196074</v>
      </c>
      <c r="G31" s="53">
        <v>0.10198699999999999</v>
      </c>
      <c r="H31" s="53">
        <v>0.29580099999999998</v>
      </c>
    </row>
    <row r="32" spans="1:13" ht="15.95">
      <c r="A32" s="48">
        <v>31</v>
      </c>
      <c r="B32" s="52" t="s">
        <v>28</v>
      </c>
      <c r="C32" s="53" t="s">
        <v>56</v>
      </c>
      <c r="D32" s="53" t="s">
        <v>59</v>
      </c>
      <c r="E32" s="53">
        <f t="shared" si="0"/>
        <v>0.566272</v>
      </c>
      <c r="F32" s="53">
        <v>0.18069099999999999</v>
      </c>
      <c r="G32" s="53">
        <v>0.10312</v>
      </c>
      <c r="H32" s="53">
        <v>0.28246100000000002</v>
      </c>
    </row>
    <row r="33" spans="1:8" ht="15.95">
      <c r="A33" s="48">
        <v>32</v>
      </c>
      <c r="B33" s="54" t="s">
        <v>30</v>
      </c>
      <c r="C33" s="55" t="s">
        <v>60</v>
      </c>
      <c r="D33" s="55" t="s">
        <v>41</v>
      </c>
      <c r="E33" s="55">
        <f t="shared" si="0"/>
        <v>0.59886799999999996</v>
      </c>
      <c r="F33" s="55">
        <v>0.42276799999999998</v>
      </c>
      <c r="G33" s="55">
        <v>0.10198699999999999</v>
      </c>
      <c r="H33" s="55">
        <v>7.4112999999999998E-2</v>
      </c>
    </row>
    <row r="34" spans="1:8" ht="15.95">
      <c r="A34" s="48">
        <v>33</v>
      </c>
      <c r="B34" s="54" t="s">
        <v>30</v>
      </c>
      <c r="C34" s="55" t="s">
        <v>61</v>
      </c>
      <c r="D34" s="55" t="s">
        <v>62</v>
      </c>
      <c r="E34" s="55">
        <f t="shared" si="0"/>
        <v>0.74158500000000005</v>
      </c>
      <c r="F34" s="55">
        <v>0.534582</v>
      </c>
      <c r="G34" s="55">
        <v>0.122128</v>
      </c>
      <c r="H34" s="55">
        <v>8.4875000000000006E-2</v>
      </c>
    </row>
    <row r="35" spans="1:8" ht="15.95">
      <c r="A35" s="48">
        <v>34</v>
      </c>
      <c r="B35" s="54" t="s">
        <v>30</v>
      </c>
      <c r="C35" s="55" t="s">
        <v>61</v>
      </c>
      <c r="D35" s="55" t="s">
        <v>46</v>
      </c>
      <c r="E35" s="55">
        <f t="shared" si="0"/>
        <v>0.75385499999999994</v>
      </c>
      <c r="F35" s="55">
        <v>0.57922600000000002</v>
      </c>
      <c r="G35" s="55">
        <v>0.12615599999999999</v>
      </c>
      <c r="H35" s="55">
        <v>4.8473000000000002E-2</v>
      </c>
    </row>
    <row r="36" spans="1:8" ht="15.95">
      <c r="A36" s="48">
        <v>35</v>
      </c>
      <c r="B36" s="54" t="s">
        <v>30</v>
      </c>
      <c r="C36" s="55" t="s">
        <v>63</v>
      </c>
      <c r="D36" s="55" t="s">
        <v>45</v>
      </c>
      <c r="E36" s="55">
        <f t="shared" si="0"/>
        <v>1.3183459999999998</v>
      </c>
      <c r="F36" s="55">
        <v>0.74356199999999995</v>
      </c>
      <c r="G36" s="55">
        <v>0.35627599999999998</v>
      </c>
      <c r="H36" s="55">
        <v>0.21850800000000001</v>
      </c>
    </row>
    <row r="37" spans="1:8" ht="15.95">
      <c r="A37" s="48">
        <v>36</v>
      </c>
      <c r="B37" s="54" t="s">
        <v>30</v>
      </c>
      <c r="C37" s="55" t="s">
        <v>63</v>
      </c>
      <c r="D37" s="55" t="s">
        <v>62</v>
      </c>
      <c r="E37" s="55">
        <f t="shared" si="0"/>
        <v>1.173403</v>
      </c>
      <c r="F37" s="55">
        <v>0.74465899999999996</v>
      </c>
      <c r="G37" s="55">
        <v>0.34478199999999998</v>
      </c>
      <c r="H37" s="55">
        <v>8.3961999999999995E-2</v>
      </c>
    </row>
    <row r="38" spans="1:8" ht="15.95">
      <c r="A38" s="48">
        <v>37</v>
      </c>
      <c r="B38" s="54" t="s">
        <v>30</v>
      </c>
      <c r="C38" s="55" t="s">
        <v>63</v>
      </c>
      <c r="D38" s="55" t="s">
        <v>41</v>
      </c>
      <c r="E38" s="55">
        <f t="shared" si="0"/>
        <v>1.0635490000000001</v>
      </c>
      <c r="F38" s="55">
        <v>0.584422</v>
      </c>
      <c r="G38" s="55">
        <v>0.39586399999999999</v>
      </c>
      <c r="H38" s="55">
        <v>8.3263000000000004E-2</v>
      </c>
    </row>
    <row r="39" spans="1:8" ht="15.95">
      <c r="A39" s="48">
        <v>38</v>
      </c>
      <c r="B39" s="54" t="s">
        <v>30</v>
      </c>
      <c r="C39" s="55" t="s">
        <v>64</v>
      </c>
      <c r="D39" s="55" t="s">
        <v>50</v>
      </c>
      <c r="E39" s="55">
        <f t="shared" si="0"/>
        <v>0.24571499999999999</v>
      </c>
      <c r="F39" s="55">
        <v>4.8299000000000002E-2</v>
      </c>
      <c r="G39" s="55">
        <v>0.18532499999999999</v>
      </c>
      <c r="H39" s="55">
        <v>1.2090999999999999E-2</v>
      </c>
    </row>
    <row r="40" spans="1:8" ht="15.95">
      <c r="A40" s="48">
        <v>39</v>
      </c>
      <c r="B40" s="54" t="s">
        <v>30</v>
      </c>
      <c r="C40" s="55" t="s">
        <v>65</v>
      </c>
      <c r="D40" s="55" t="s">
        <v>62</v>
      </c>
      <c r="E40" s="55">
        <f t="shared" si="0"/>
        <v>0.99066299999999996</v>
      </c>
      <c r="F40" s="55">
        <v>0.80690799999999996</v>
      </c>
      <c r="G40" s="55">
        <v>9.9793000000000007E-2</v>
      </c>
      <c r="H40" s="55">
        <v>8.3961999999999995E-2</v>
      </c>
    </row>
    <row r="41" spans="1:8" ht="15.95">
      <c r="A41" s="48">
        <v>40</v>
      </c>
      <c r="B41" s="54" t="s">
        <v>30</v>
      </c>
      <c r="C41" s="55" t="s">
        <v>65</v>
      </c>
      <c r="D41" s="55" t="s">
        <v>41</v>
      </c>
      <c r="E41" s="55">
        <f t="shared" si="0"/>
        <v>0.84319900000000003</v>
      </c>
      <c r="F41" s="55">
        <v>0.64535600000000004</v>
      </c>
      <c r="G41" s="55">
        <v>0.11458</v>
      </c>
      <c r="H41" s="55">
        <v>8.3263000000000004E-2</v>
      </c>
    </row>
    <row r="42" spans="1:8" ht="15.95">
      <c r="A42" s="48">
        <v>41</v>
      </c>
      <c r="B42" s="54" t="s">
        <v>30</v>
      </c>
      <c r="C42" s="55" t="s">
        <v>65</v>
      </c>
      <c r="D42" s="55" t="s">
        <v>66</v>
      </c>
      <c r="E42" s="55">
        <f t="shared" si="0"/>
        <v>1.1864809999999999</v>
      </c>
      <c r="F42" s="55">
        <v>0.97326199999999996</v>
      </c>
      <c r="G42" s="55">
        <v>0.11458</v>
      </c>
      <c r="H42" s="55">
        <v>9.8639000000000004E-2</v>
      </c>
    </row>
    <row r="43" spans="1:8" ht="15.95">
      <c r="A43" s="48">
        <v>42</v>
      </c>
      <c r="B43" s="54" t="s">
        <v>30</v>
      </c>
      <c r="C43" s="55" t="s">
        <v>65</v>
      </c>
      <c r="D43" s="55" t="s">
        <v>47</v>
      </c>
      <c r="E43" s="55">
        <f t="shared" si="0"/>
        <v>1.119623</v>
      </c>
      <c r="F43" s="55">
        <v>0.57052999999999998</v>
      </c>
      <c r="G43" s="55">
        <v>0.10198699999999999</v>
      </c>
      <c r="H43" s="55">
        <v>0.447106</v>
      </c>
    </row>
    <row r="44" spans="1:8" ht="15.95">
      <c r="A44" s="48">
        <v>43</v>
      </c>
      <c r="B44" s="54" t="s">
        <v>30</v>
      </c>
      <c r="C44" s="55" t="s">
        <v>67</v>
      </c>
      <c r="D44" s="55" t="s">
        <v>68</v>
      </c>
      <c r="E44" s="55">
        <f t="shared" si="0"/>
        <v>0.41497700000000004</v>
      </c>
      <c r="F44" s="55">
        <v>0.20217499999999999</v>
      </c>
      <c r="G44" s="55">
        <v>0.11458</v>
      </c>
      <c r="H44" s="55">
        <v>9.8222000000000004E-2</v>
      </c>
    </row>
    <row r="45" spans="1:8" ht="15.95">
      <c r="A45" s="48">
        <v>44</v>
      </c>
      <c r="B45" s="54" t="s">
        <v>30</v>
      </c>
      <c r="C45" s="55" t="s">
        <v>67</v>
      </c>
      <c r="D45" s="55" t="s">
        <v>62</v>
      </c>
      <c r="E45" s="55">
        <f t="shared" si="0"/>
        <v>0.39637600000000001</v>
      </c>
      <c r="F45" s="55">
        <v>0.212621</v>
      </c>
      <c r="G45" s="55">
        <v>9.9793000000000007E-2</v>
      </c>
      <c r="H45" s="55">
        <v>8.3961999999999995E-2</v>
      </c>
    </row>
    <row r="46" spans="1:8" ht="15.95">
      <c r="A46" s="48">
        <v>45</v>
      </c>
      <c r="B46" s="54" t="s">
        <v>30</v>
      </c>
      <c r="C46" s="55" t="s">
        <v>67</v>
      </c>
      <c r="D46" s="55" t="s">
        <v>46</v>
      </c>
      <c r="E46" s="55">
        <f t="shared" si="0"/>
        <v>0.37121300000000002</v>
      </c>
      <c r="F46" s="55">
        <v>0.20217499999999999</v>
      </c>
      <c r="G46" s="55">
        <v>0.11458</v>
      </c>
      <c r="H46" s="55">
        <v>5.4457999999999999E-2</v>
      </c>
    </row>
    <row r="47" spans="1:8" ht="15.95">
      <c r="A47" s="48">
        <v>46</v>
      </c>
      <c r="B47" s="54" t="s">
        <v>30</v>
      </c>
      <c r="C47" s="55" t="s">
        <v>67</v>
      </c>
      <c r="D47" s="55" t="s">
        <v>69</v>
      </c>
      <c r="E47" s="55">
        <f t="shared" si="0"/>
        <v>0.48309599999999997</v>
      </c>
      <c r="F47" s="55">
        <v>0.20217499999999999</v>
      </c>
      <c r="G47" s="55">
        <v>0.11458</v>
      </c>
      <c r="H47" s="55">
        <v>0.16634099999999999</v>
      </c>
    </row>
    <row r="48" spans="1:8" ht="15.95">
      <c r="A48" s="48">
        <v>47</v>
      </c>
      <c r="B48" s="54" t="s">
        <v>30</v>
      </c>
      <c r="C48" s="55" t="s">
        <v>67</v>
      </c>
      <c r="D48" s="55" t="s">
        <v>57</v>
      </c>
      <c r="E48" s="55">
        <f t="shared" si="0"/>
        <v>1.096732</v>
      </c>
      <c r="F48" s="55">
        <v>0.20100000000000001</v>
      </c>
      <c r="G48" s="55">
        <v>0.10312</v>
      </c>
      <c r="H48" s="55">
        <v>0.79261199999999998</v>
      </c>
    </row>
    <row r="49" spans="1:8" ht="15.95">
      <c r="A49" s="48">
        <v>48</v>
      </c>
      <c r="B49" s="52" t="s">
        <v>32</v>
      </c>
      <c r="C49" s="53" t="s">
        <v>32</v>
      </c>
      <c r="D49" s="53" t="s">
        <v>45</v>
      </c>
      <c r="E49" s="53">
        <f t="shared" si="0"/>
        <v>0.609043</v>
      </c>
      <c r="F49" s="53">
        <v>0.44561099999999998</v>
      </c>
      <c r="G49" s="53">
        <v>3.3017999999999999E-2</v>
      </c>
      <c r="H49" s="53">
        <v>0.130414</v>
      </c>
    </row>
    <row r="50" spans="1:8" ht="15.95">
      <c r="A50" s="48">
        <v>49</v>
      </c>
      <c r="B50" s="52" t="s">
        <v>32</v>
      </c>
      <c r="C50" s="53" t="s">
        <v>32</v>
      </c>
      <c r="D50" s="53" t="s">
        <v>57</v>
      </c>
      <c r="E50" s="53">
        <f t="shared" si="0"/>
        <v>0.92317300000000002</v>
      </c>
      <c r="F50" s="53">
        <v>0.49074200000000001</v>
      </c>
      <c r="G50" s="53">
        <v>3.2978E-2</v>
      </c>
      <c r="H50" s="53">
        <v>0.399453</v>
      </c>
    </row>
    <row r="51" spans="1:8" ht="15.95">
      <c r="A51" s="48">
        <v>50</v>
      </c>
      <c r="B51" s="54" t="s">
        <v>31</v>
      </c>
      <c r="C51" s="55" t="s">
        <v>31</v>
      </c>
      <c r="D51" s="55" t="s">
        <v>70</v>
      </c>
      <c r="E51" s="55">
        <f t="shared" si="0"/>
        <v>2.5333420000000002</v>
      </c>
      <c r="F51" s="55">
        <v>2.6889720000000001</v>
      </c>
      <c r="G51" s="55">
        <v>-0.18823500000000001</v>
      </c>
      <c r="H51" s="55">
        <v>3.2605000000000002E-2</v>
      </c>
    </row>
    <row r="52" spans="1:8" ht="15.95">
      <c r="A52" s="48">
        <v>51</v>
      </c>
      <c r="B52" s="54" t="s">
        <v>31</v>
      </c>
      <c r="C52" s="55" t="s">
        <v>31</v>
      </c>
      <c r="D52" s="55" t="s">
        <v>66</v>
      </c>
      <c r="E52" s="55">
        <f t="shared" si="0"/>
        <v>2.6716380000000002</v>
      </c>
      <c r="F52" s="55">
        <v>2.9543300000000001</v>
      </c>
      <c r="G52" s="55">
        <v>-0.33082</v>
      </c>
      <c r="H52" s="55">
        <v>4.8127999999999997E-2</v>
      </c>
    </row>
    <row r="53" spans="1:8" ht="15.95">
      <c r="A53" s="48">
        <v>52</v>
      </c>
      <c r="B53" s="54" t="s">
        <v>31</v>
      </c>
      <c r="C53" s="55" t="s">
        <v>31</v>
      </c>
      <c r="D53" s="55" t="s">
        <v>71</v>
      </c>
      <c r="E53" s="55">
        <f t="shared" si="0"/>
        <v>2.5184839999999999</v>
      </c>
      <c r="F53" s="55">
        <v>2.6889720000000001</v>
      </c>
      <c r="G53" s="55">
        <v>-0.221641</v>
      </c>
      <c r="H53" s="55">
        <v>5.1152999999999997E-2</v>
      </c>
    </row>
    <row r="54" spans="1:8" ht="15.95">
      <c r="A54" s="48">
        <v>53</v>
      </c>
      <c r="B54" s="52" t="s">
        <v>72</v>
      </c>
      <c r="C54" s="53" t="s">
        <v>73</v>
      </c>
      <c r="D54" s="53" t="s">
        <v>62</v>
      </c>
      <c r="E54" s="53">
        <f t="shared" si="0"/>
        <v>0.429894</v>
      </c>
      <c r="F54" s="53">
        <v>0.240616</v>
      </c>
      <c r="G54" s="53">
        <v>0.100878</v>
      </c>
      <c r="H54" s="56">
        <v>8.8400000000000006E-2</v>
      </c>
    </row>
    <row r="55" spans="1:8" ht="15.95">
      <c r="A55" s="48">
        <v>54</v>
      </c>
      <c r="B55" s="52" t="s">
        <v>72</v>
      </c>
      <c r="C55" s="53" t="s">
        <v>73</v>
      </c>
      <c r="D55" s="53" t="s">
        <v>41</v>
      </c>
      <c r="E55" s="53">
        <f t="shared" si="0"/>
        <v>0.43299799999999999</v>
      </c>
      <c r="F55" s="53">
        <v>0.253411</v>
      </c>
      <c r="G55" s="53">
        <v>0.10198699999999999</v>
      </c>
      <c r="H55" s="57">
        <v>7.7600000000000002E-2</v>
      </c>
    </row>
    <row r="56" spans="1:8" ht="15.95">
      <c r="A56" s="48">
        <v>55</v>
      </c>
      <c r="B56" s="52" t="s">
        <v>72</v>
      </c>
      <c r="C56" s="53" t="s">
        <v>73</v>
      </c>
      <c r="D56" s="53" t="s">
        <v>50</v>
      </c>
      <c r="E56" s="53">
        <f t="shared" si="0"/>
        <v>0.34267999999999998</v>
      </c>
      <c r="F56" s="53">
        <v>0.23880199999999999</v>
      </c>
      <c r="G56" s="53">
        <v>0.100878</v>
      </c>
      <c r="H56" s="57">
        <v>3.0000000000000001E-3</v>
      </c>
    </row>
    <row r="57" spans="1:8" ht="15.95">
      <c r="A57" s="48">
        <v>56</v>
      </c>
      <c r="B57" s="52" t="s">
        <v>72</v>
      </c>
      <c r="C57" s="53" t="s">
        <v>74</v>
      </c>
      <c r="D57" s="53" t="s">
        <v>41</v>
      </c>
      <c r="E57" s="53">
        <f t="shared" si="0"/>
        <v>0.27349400000000001</v>
      </c>
      <c r="F57" s="53">
        <v>9.3198000000000003E-2</v>
      </c>
      <c r="G57" s="53">
        <v>0.102448</v>
      </c>
      <c r="H57" s="53">
        <v>7.7848000000000001E-2</v>
      </c>
    </row>
    <row r="58" spans="1:8" ht="15.95">
      <c r="A58" s="48">
        <v>57</v>
      </c>
      <c r="B58" s="52" t="s">
        <v>72</v>
      </c>
      <c r="C58" s="53" t="s">
        <v>74</v>
      </c>
      <c r="D58" s="53" t="s">
        <v>50</v>
      </c>
      <c r="E58" s="53">
        <f t="shared" si="0"/>
        <v>0.18901899999999999</v>
      </c>
      <c r="F58" s="53">
        <v>8.4638000000000005E-2</v>
      </c>
      <c r="G58" s="53">
        <v>0.10133399999999999</v>
      </c>
      <c r="H58" s="53">
        <v>3.0469999999999998E-3</v>
      </c>
    </row>
    <row r="59" spans="1:8" ht="15.95">
      <c r="A59" s="48">
        <v>58</v>
      </c>
      <c r="B59" s="52" t="s">
        <v>72</v>
      </c>
      <c r="C59" s="53" t="s">
        <v>75</v>
      </c>
      <c r="D59" s="53" t="s">
        <v>41</v>
      </c>
      <c r="E59" s="53">
        <f t="shared" si="0"/>
        <v>0.46926399999999996</v>
      </c>
      <c r="F59" s="53">
        <v>0.28902699999999998</v>
      </c>
      <c r="G59" s="53">
        <v>0.10198699999999999</v>
      </c>
      <c r="H59" s="53">
        <v>7.825E-2</v>
      </c>
    </row>
    <row r="60" spans="1:8" ht="15.95">
      <c r="A60" s="48">
        <v>59</v>
      </c>
      <c r="B60" s="52" t="s">
        <v>72</v>
      </c>
      <c r="C60" s="53" t="s">
        <v>75</v>
      </c>
      <c r="D60" s="53" t="s">
        <v>46</v>
      </c>
      <c r="E60" s="53">
        <f t="shared" si="0"/>
        <v>0.44530500000000001</v>
      </c>
      <c r="F60" s="53">
        <v>0.29070800000000002</v>
      </c>
      <c r="G60" s="53">
        <v>0.10198699999999999</v>
      </c>
      <c r="H60" s="53">
        <v>5.2609999999999997E-2</v>
      </c>
    </row>
    <row r="61" spans="1:8" ht="32.1">
      <c r="A61" s="48">
        <v>60</v>
      </c>
      <c r="B61" s="52" t="s">
        <v>72</v>
      </c>
      <c r="C61" s="53" t="s">
        <v>75</v>
      </c>
      <c r="D61" s="52" t="s">
        <v>76</v>
      </c>
      <c r="E61" s="53">
        <f t="shared" si="0"/>
        <v>0.37559099999999995</v>
      </c>
      <c r="F61" s="53">
        <v>0.27157199999999998</v>
      </c>
      <c r="G61" s="53">
        <v>0.100878</v>
      </c>
      <c r="H61" s="53">
        <v>3.1410000000000001E-3</v>
      </c>
    </row>
    <row r="62" spans="1:8" ht="32.1">
      <c r="A62" s="48">
        <v>61</v>
      </c>
      <c r="B62" s="52" t="s">
        <v>72</v>
      </c>
      <c r="C62" s="53" t="s">
        <v>75</v>
      </c>
      <c r="D62" s="52" t="s">
        <v>77</v>
      </c>
      <c r="E62" s="53">
        <f t="shared" si="0"/>
        <v>0.42231399999999997</v>
      </c>
      <c r="F62" s="53">
        <v>0.31795699999999999</v>
      </c>
      <c r="G62" s="53">
        <v>0.10133399999999999</v>
      </c>
      <c r="H62" s="53">
        <v>3.0230000000000001E-3</v>
      </c>
    </row>
    <row r="63" spans="1:8" ht="32.1">
      <c r="A63" s="48">
        <v>62</v>
      </c>
      <c r="B63" s="52" t="s">
        <v>72</v>
      </c>
      <c r="C63" s="53" t="s">
        <v>75</v>
      </c>
      <c r="D63" s="52" t="s">
        <v>78</v>
      </c>
      <c r="E63" s="53">
        <f t="shared" si="0"/>
        <v>0.26782999999999996</v>
      </c>
      <c r="F63" s="53">
        <v>0.16390399999999999</v>
      </c>
      <c r="G63" s="53">
        <v>0.100878</v>
      </c>
      <c r="H63" s="53">
        <v>3.0479999999999999E-3</v>
      </c>
    </row>
    <row r="64" spans="1:8" ht="32.1">
      <c r="A64" s="48">
        <v>63</v>
      </c>
      <c r="B64" s="52" t="s">
        <v>72</v>
      </c>
      <c r="C64" s="53" t="s">
        <v>75</v>
      </c>
      <c r="D64" s="52" t="s">
        <v>79</v>
      </c>
      <c r="E64" s="53">
        <f t="shared" si="0"/>
        <v>1.5373620000000001</v>
      </c>
      <c r="F64" s="53">
        <v>1.433359</v>
      </c>
      <c r="G64" s="53">
        <v>0.100878</v>
      </c>
      <c r="H64" s="53">
        <v>3.1250000000000002E-3</v>
      </c>
    </row>
    <row r="65" spans="1:8" ht="15.95">
      <c r="A65" s="48">
        <v>64</v>
      </c>
      <c r="B65" s="54" t="s">
        <v>26</v>
      </c>
      <c r="C65" s="55" t="s">
        <v>80</v>
      </c>
      <c r="D65" s="55" t="s">
        <v>71</v>
      </c>
      <c r="E65" s="55">
        <f t="shared" si="0"/>
        <v>5.6848479999999997</v>
      </c>
      <c r="F65" s="55">
        <v>4.5770249999999999</v>
      </c>
      <c r="G65" s="55">
        <v>1.020249</v>
      </c>
      <c r="H65" s="55">
        <v>8.7573999999999999E-2</v>
      </c>
    </row>
    <row r="66" spans="1:8" ht="15.95">
      <c r="A66" s="48">
        <v>65</v>
      </c>
      <c r="B66" s="54" t="s">
        <v>26</v>
      </c>
      <c r="C66" s="55" t="s">
        <v>81</v>
      </c>
      <c r="D66" s="55" t="s">
        <v>82</v>
      </c>
      <c r="E66" s="55">
        <f t="shared" si="0"/>
        <v>13.573368</v>
      </c>
      <c r="F66" s="55">
        <v>1.6381209999999999</v>
      </c>
      <c r="G66" s="55">
        <v>0.120767</v>
      </c>
      <c r="H66" s="55">
        <v>11.81448</v>
      </c>
    </row>
    <row r="67" spans="1:8" ht="15.95">
      <c r="A67" s="48">
        <v>66</v>
      </c>
      <c r="B67" s="54" t="s">
        <v>26</v>
      </c>
      <c r="C67" s="55" t="s">
        <v>83</v>
      </c>
      <c r="D67" s="55" t="s">
        <v>82</v>
      </c>
      <c r="E67" s="55">
        <f t="shared" ref="E67:E90" si="1">SUM(F67:H67)</f>
        <v>2.2942670000000001</v>
      </c>
      <c r="F67" s="55">
        <v>1.715716</v>
      </c>
      <c r="G67" s="55">
        <v>0.15206900000000001</v>
      </c>
      <c r="H67" s="55">
        <v>0.42648200000000003</v>
      </c>
    </row>
    <row r="68" spans="1:8" ht="15.95">
      <c r="A68" s="48">
        <v>67</v>
      </c>
      <c r="B68" s="54" t="s">
        <v>26</v>
      </c>
      <c r="C68" s="55" t="s">
        <v>83</v>
      </c>
      <c r="D68" s="55" t="s">
        <v>84</v>
      </c>
      <c r="E68" s="55">
        <f t="shared" si="1"/>
        <v>2.2537609999999999</v>
      </c>
      <c r="F68" s="55">
        <v>1.6983520000000001</v>
      </c>
      <c r="G68" s="55">
        <v>0.46017599999999997</v>
      </c>
      <c r="H68" s="55">
        <v>9.5232999999999998E-2</v>
      </c>
    </row>
    <row r="69" spans="1:8" ht="15.95">
      <c r="A69" s="48">
        <v>68</v>
      </c>
      <c r="B69" s="54" t="s">
        <v>26</v>
      </c>
      <c r="C69" s="55" t="s">
        <v>85</v>
      </c>
      <c r="D69" s="55" t="s">
        <v>82</v>
      </c>
      <c r="E69" s="55">
        <f t="shared" si="1"/>
        <v>4.6855399999999996</v>
      </c>
      <c r="F69" s="55">
        <v>3.8360919999999998</v>
      </c>
      <c r="G69" s="55">
        <v>0.44528499999999999</v>
      </c>
      <c r="H69" s="55">
        <v>0.40416299999999999</v>
      </c>
    </row>
    <row r="70" spans="1:8" ht="15.95">
      <c r="A70" s="48">
        <v>69</v>
      </c>
      <c r="B70" s="54" t="s">
        <v>26</v>
      </c>
      <c r="C70" s="55" t="s">
        <v>85</v>
      </c>
      <c r="D70" s="55" t="s">
        <v>62</v>
      </c>
      <c r="E70" s="55">
        <f t="shared" si="1"/>
        <v>5.5576039999999995</v>
      </c>
      <c r="F70" s="55">
        <v>3.8948079999999998</v>
      </c>
      <c r="G70" s="55">
        <v>1.5669139999999999</v>
      </c>
      <c r="H70" s="55">
        <v>9.5881999999999995E-2</v>
      </c>
    </row>
    <row r="71" spans="1:8" ht="15.95">
      <c r="A71" s="48">
        <v>70</v>
      </c>
      <c r="B71" s="54" t="s">
        <v>26</v>
      </c>
      <c r="C71" s="55" t="s">
        <v>85</v>
      </c>
      <c r="D71" s="55" t="s">
        <v>86</v>
      </c>
      <c r="E71" s="55">
        <f t="shared" si="1"/>
        <v>5.1716309999999996</v>
      </c>
      <c r="F71" s="55">
        <v>3.8948079999999998</v>
      </c>
      <c r="G71" s="55">
        <v>1.0966009999999999</v>
      </c>
      <c r="H71" s="55">
        <v>0.18022199999999999</v>
      </c>
    </row>
    <row r="72" spans="1:8" ht="15.95">
      <c r="A72" s="48">
        <v>71</v>
      </c>
      <c r="B72" s="54" t="s">
        <v>26</v>
      </c>
      <c r="C72" s="55" t="s">
        <v>87</v>
      </c>
      <c r="D72" s="55" t="s">
        <v>50</v>
      </c>
      <c r="E72" s="55">
        <f t="shared" si="1"/>
        <v>3.7301799999999998</v>
      </c>
      <c r="F72" s="55">
        <v>2.9317169999999999</v>
      </c>
      <c r="G72" s="55">
        <v>0.79142299999999999</v>
      </c>
      <c r="H72" s="55">
        <v>7.0400000000000003E-3</v>
      </c>
    </row>
    <row r="73" spans="1:8" ht="15.95">
      <c r="A73" s="48">
        <v>72</v>
      </c>
      <c r="B73" s="54" t="s">
        <v>26</v>
      </c>
      <c r="C73" s="55" t="s">
        <v>88</v>
      </c>
      <c r="D73" s="55" t="s">
        <v>50</v>
      </c>
      <c r="E73" s="55">
        <f t="shared" si="1"/>
        <v>4.262753</v>
      </c>
      <c r="F73" s="55">
        <v>3.348328</v>
      </c>
      <c r="G73" s="55">
        <v>0.89125399999999999</v>
      </c>
      <c r="H73" s="55">
        <v>2.3171000000000001E-2</v>
      </c>
    </row>
    <row r="74" spans="1:8" ht="15.95">
      <c r="A74" s="48">
        <v>73</v>
      </c>
      <c r="B74" s="52" t="s">
        <v>27</v>
      </c>
      <c r="C74" s="53" t="s">
        <v>89</v>
      </c>
      <c r="D74" s="53" t="s">
        <v>71</v>
      </c>
      <c r="E74" s="53">
        <f t="shared" si="1"/>
        <v>5.8283054500000002</v>
      </c>
      <c r="F74" s="53">
        <v>4.6900983800000002</v>
      </c>
      <c r="G74" s="53">
        <v>1.0417997999999999</v>
      </c>
      <c r="H74" s="53">
        <v>9.6407270000000003E-2</v>
      </c>
    </row>
    <row r="75" spans="1:8" ht="15.95">
      <c r="A75" s="48">
        <v>74</v>
      </c>
      <c r="B75" s="52" t="s">
        <v>27</v>
      </c>
      <c r="C75" s="53" t="s">
        <v>89</v>
      </c>
      <c r="D75" s="53" t="s">
        <v>41</v>
      </c>
      <c r="E75" s="53">
        <f t="shared" si="1"/>
        <v>5.9016710300000002</v>
      </c>
      <c r="F75" s="53">
        <v>4.7533466300000002</v>
      </c>
      <c r="G75" s="53">
        <v>1.0619243</v>
      </c>
      <c r="H75" s="53">
        <v>8.6400099999999994E-2</v>
      </c>
    </row>
    <row r="76" spans="1:8" ht="15.95">
      <c r="A76" s="48">
        <v>75</v>
      </c>
      <c r="B76" s="52" t="s">
        <v>27</v>
      </c>
      <c r="C76" s="53" t="s">
        <v>89</v>
      </c>
      <c r="D76" s="53" t="s">
        <v>46</v>
      </c>
      <c r="E76" s="53">
        <f t="shared" si="1"/>
        <v>6.488153650000001</v>
      </c>
      <c r="F76" s="53">
        <v>5.2182964500000004</v>
      </c>
      <c r="G76" s="53">
        <v>1.2098633000000001</v>
      </c>
      <c r="H76" s="53">
        <v>5.9993900000000003E-2</v>
      </c>
    </row>
    <row r="77" spans="1:8" ht="15.95">
      <c r="A77" s="48">
        <v>76</v>
      </c>
      <c r="B77" s="52" t="s">
        <v>27</v>
      </c>
      <c r="C77" s="53" t="s">
        <v>89</v>
      </c>
      <c r="D77" s="53" t="s">
        <v>62</v>
      </c>
      <c r="E77" s="53">
        <f t="shared" si="1"/>
        <v>7.2232415300000001</v>
      </c>
      <c r="F77" s="53">
        <v>5.8551775900000003</v>
      </c>
      <c r="G77" s="53">
        <v>1.2781811999999999</v>
      </c>
      <c r="H77" s="53">
        <v>8.9882740000000003E-2</v>
      </c>
    </row>
    <row r="78" spans="1:8" ht="15.95">
      <c r="A78" s="48">
        <v>77</v>
      </c>
      <c r="B78" s="52" t="s">
        <v>27</v>
      </c>
      <c r="C78" s="53" t="s">
        <v>89</v>
      </c>
      <c r="D78" s="53" t="s">
        <v>50</v>
      </c>
      <c r="E78" s="53">
        <f t="shared" si="1"/>
        <v>5.1386244200000002</v>
      </c>
      <c r="F78" s="53">
        <v>4.5079172600000001</v>
      </c>
      <c r="G78" s="53">
        <v>0.61092601000000002</v>
      </c>
      <c r="H78" s="53">
        <v>1.9781150000000001E-2</v>
      </c>
    </row>
    <row r="79" spans="1:8" ht="15.95">
      <c r="A79" s="48">
        <v>78</v>
      </c>
      <c r="B79" s="52" t="s">
        <v>27</v>
      </c>
      <c r="C79" s="53" t="s">
        <v>90</v>
      </c>
      <c r="D79" s="53" t="s">
        <v>46</v>
      </c>
      <c r="E79" s="53">
        <f t="shared" si="1"/>
        <v>4.8643129299999996</v>
      </c>
      <c r="F79" s="53">
        <v>3.28595477</v>
      </c>
      <c r="G79" s="53">
        <v>1.3523988899999999</v>
      </c>
      <c r="H79" s="53">
        <v>0.22595926999999999</v>
      </c>
    </row>
    <row r="80" spans="1:8" ht="15.95">
      <c r="A80" s="48">
        <v>79</v>
      </c>
      <c r="B80" s="52" t="s">
        <v>27</v>
      </c>
      <c r="C80" s="53" t="s">
        <v>90</v>
      </c>
      <c r="D80" s="53" t="s">
        <v>52</v>
      </c>
      <c r="E80" s="53">
        <f t="shared" si="1"/>
        <v>4.9684077999999996</v>
      </c>
      <c r="F80" s="53">
        <v>3.28595477</v>
      </c>
      <c r="G80" s="53">
        <v>1.3196891399999999</v>
      </c>
      <c r="H80" s="53">
        <v>0.36276388999999998</v>
      </c>
    </row>
    <row r="81" spans="1:8" ht="15.95">
      <c r="A81" s="48">
        <v>80</v>
      </c>
      <c r="B81" s="52" t="s">
        <v>27</v>
      </c>
      <c r="C81" s="53" t="s">
        <v>90</v>
      </c>
      <c r="D81" s="53" t="s">
        <v>66</v>
      </c>
      <c r="E81" s="53">
        <f t="shared" si="1"/>
        <v>5.0447311099999999</v>
      </c>
      <c r="F81" s="53">
        <v>3.28595477</v>
      </c>
      <c r="G81" s="53">
        <v>1.3988526800000001</v>
      </c>
      <c r="H81" s="53">
        <v>0.35992365999999998</v>
      </c>
    </row>
    <row r="82" spans="1:8" ht="15.95">
      <c r="A82" s="48">
        <v>81</v>
      </c>
      <c r="B82" s="52" t="s">
        <v>27</v>
      </c>
      <c r="C82" s="53" t="s">
        <v>91</v>
      </c>
      <c r="D82" s="53" t="s">
        <v>46</v>
      </c>
      <c r="E82" s="53">
        <f t="shared" si="1"/>
        <v>4.7981276300000006</v>
      </c>
      <c r="F82" s="53">
        <v>3.28595477</v>
      </c>
      <c r="G82" s="53">
        <v>1.32956783</v>
      </c>
      <c r="H82" s="53">
        <v>0.18260503</v>
      </c>
    </row>
    <row r="83" spans="1:8" ht="15.95">
      <c r="A83" s="48">
        <v>82</v>
      </c>
      <c r="B83" s="52" t="s">
        <v>27</v>
      </c>
      <c r="C83" s="53" t="s">
        <v>91</v>
      </c>
      <c r="D83" s="53" t="s">
        <v>52</v>
      </c>
      <c r="E83" s="53">
        <f t="shared" si="1"/>
        <v>4.8447730199999999</v>
      </c>
      <c r="F83" s="53">
        <v>3.28595477</v>
      </c>
      <c r="G83" s="53">
        <v>1.2968580700000001</v>
      </c>
      <c r="H83" s="53">
        <v>0.26196017999999999</v>
      </c>
    </row>
    <row r="84" spans="1:8" ht="15.95">
      <c r="A84" s="48">
        <v>83</v>
      </c>
      <c r="B84" s="52" t="s">
        <v>27</v>
      </c>
      <c r="C84" s="53" t="s">
        <v>91</v>
      </c>
      <c r="D84" s="53" t="s">
        <v>66</v>
      </c>
      <c r="E84" s="53">
        <f t="shared" si="1"/>
        <v>4.9222890599999998</v>
      </c>
      <c r="F84" s="53">
        <v>3.28595477</v>
      </c>
      <c r="G84" s="53">
        <v>1.3760216199999999</v>
      </c>
      <c r="H84" s="53">
        <v>0.26031267000000002</v>
      </c>
    </row>
    <row r="85" spans="1:8" ht="15.95">
      <c r="A85" s="48">
        <v>84</v>
      </c>
      <c r="B85" s="52" t="s">
        <v>27</v>
      </c>
      <c r="C85" s="53" t="s">
        <v>92</v>
      </c>
      <c r="D85" s="53" t="s">
        <v>41</v>
      </c>
      <c r="E85" s="53">
        <f t="shared" si="1"/>
        <v>4.76347232</v>
      </c>
      <c r="F85" s="53">
        <v>4.6062284599999996</v>
      </c>
      <c r="G85" s="53">
        <v>6.4783439999999998E-2</v>
      </c>
      <c r="H85" s="53">
        <v>9.2460420000000001E-2</v>
      </c>
    </row>
    <row r="86" spans="1:8" ht="15.95">
      <c r="A86" s="48">
        <v>85</v>
      </c>
      <c r="B86" s="52" t="s">
        <v>27</v>
      </c>
      <c r="C86" s="53" t="s">
        <v>92</v>
      </c>
      <c r="D86" s="53" t="s">
        <v>46</v>
      </c>
      <c r="E86" s="53">
        <f t="shared" si="1"/>
        <v>4.7386509700000001</v>
      </c>
      <c r="F86" s="53">
        <v>4.6062284599999996</v>
      </c>
      <c r="G86" s="53">
        <v>6.4783439999999998E-2</v>
      </c>
      <c r="H86" s="53">
        <v>6.7639069999999996E-2</v>
      </c>
    </row>
    <row r="87" spans="1:8" ht="15.95">
      <c r="A87" s="48">
        <v>86</v>
      </c>
      <c r="B87" s="52" t="s">
        <v>27</v>
      </c>
      <c r="C87" s="53" t="s">
        <v>92</v>
      </c>
      <c r="D87" s="53" t="s">
        <v>62</v>
      </c>
      <c r="E87" s="53">
        <f t="shared" si="1"/>
        <v>4.9005926200000003</v>
      </c>
      <c r="F87" s="53">
        <v>4.7717385700000001</v>
      </c>
      <c r="G87" s="53">
        <v>3.7696470000000003E-2</v>
      </c>
      <c r="H87" s="53">
        <v>9.1157580000000002E-2</v>
      </c>
    </row>
    <row r="88" spans="1:8" ht="15.95">
      <c r="A88" s="48">
        <v>87</v>
      </c>
      <c r="B88" s="52" t="s">
        <v>27</v>
      </c>
      <c r="C88" s="53" t="s">
        <v>93</v>
      </c>
      <c r="D88" s="53" t="s">
        <v>41</v>
      </c>
      <c r="E88" s="53">
        <f t="shared" si="1"/>
        <v>4.9424914700000002</v>
      </c>
      <c r="F88" s="53">
        <v>4.6062284599999996</v>
      </c>
      <c r="G88" s="53">
        <v>0.24492955</v>
      </c>
      <c r="H88" s="53">
        <v>9.1333460000000005E-2</v>
      </c>
    </row>
    <row r="89" spans="1:8" ht="15.95">
      <c r="A89" s="48">
        <v>88</v>
      </c>
      <c r="B89" s="52" t="s">
        <v>27</v>
      </c>
      <c r="C89" s="53" t="s">
        <v>93</v>
      </c>
      <c r="D89" s="53" t="s">
        <v>46</v>
      </c>
      <c r="E89" s="53">
        <f t="shared" si="1"/>
        <v>4.9143997800000001</v>
      </c>
      <c r="F89" s="53">
        <v>4.6062284599999996</v>
      </c>
      <c r="G89" s="53">
        <v>0.24492955</v>
      </c>
      <c r="H89" s="53">
        <v>6.3241770000000003E-2</v>
      </c>
    </row>
    <row r="90" spans="1:8" ht="15.95">
      <c r="A90" s="48">
        <v>89</v>
      </c>
      <c r="B90" s="52" t="s">
        <v>27</v>
      </c>
      <c r="C90" s="53" t="s">
        <v>93</v>
      </c>
      <c r="D90" s="53" t="s">
        <v>62</v>
      </c>
      <c r="E90" s="53">
        <f t="shared" si="1"/>
        <v>5.0733858400000003</v>
      </c>
      <c r="F90" s="53">
        <v>4.7717385700000001</v>
      </c>
      <c r="G90" s="53">
        <v>0.21048969000000001</v>
      </c>
      <c r="H90" s="53">
        <v>9.1157580000000002E-2</v>
      </c>
    </row>
    <row r="91" spans="1:8">
      <c r="B91" s="3"/>
    </row>
    <row r="92" spans="1:8">
      <c r="B92" s="3"/>
    </row>
    <row r="93" spans="1:8">
      <c r="B93" s="3"/>
    </row>
    <row r="94" spans="1:8">
      <c r="B94" s="3"/>
    </row>
    <row r="95" spans="1:8">
      <c r="B95" s="3"/>
    </row>
    <row r="96" spans="1:8">
      <c r="B96" s="3"/>
    </row>
    <row r="97" spans="2:2">
      <c r="B97" s="3"/>
    </row>
    <row r="98" spans="2:2">
      <c r="B98" s="3"/>
    </row>
    <row r="99" spans="2:2">
      <c r="B99" s="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F35EE-2215-4A03-A965-59B125728D5F}">
  <dimension ref="A1:J99"/>
  <sheetViews>
    <sheetView zoomScale="85" zoomScaleNormal="85" workbookViewId="0">
      <selection activeCell="O6" sqref="O6"/>
    </sheetView>
  </sheetViews>
  <sheetFormatPr defaultColWidth="8.85546875" defaultRowHeight="15"/>
  <cols>
    <col min="1" max="1" width="5.140625" style="4" bestFit="1" customWidth="1"/>
    <col min="2" max="2" width="13.7109375" style="4" bestFit="1" customWidth="1"/>
    <col min="3" max="3" width="16.85546875" style="4" bestFit="1" customWidth="1"/>
    <col min="4" max="4" width="13.7109375" style="4" bestFit="1" customWidth="1"/>
    <col min="5" max="5" width="13.7109375" style="4" customWidth="1"/>
    <col min="6" max="6" width="13.140625" style="4" bestFit="1" customWidth="1"/>
    <col min="7" max="10" width="13.7109375" style="4" customWidth="1"/>
    <col min="11" max="11" width="11.7109375" bestFit="1" customWidth="1"/>
  </cols>
  <sheetData>
    <row r="1" spans="1:10" s="1" customFormat="1" ht="28.35" customHeight="1">
      <c r="A1" s="47" t="s">
        <v>33</v>
      </c>
      <c r="B1" s="47" t="s">
        <v>15</v>
      </c>
      <c r="C1" s="47" t="s">
        <v>34</v>
      </c>
      <c r="D1" s="47" t="s">
        <v>35</v>
      </c>
      <c r="E1" s="47" t="s">
        <v>94</v>
      </c>
      <c r="F1" s="47" t="s">
        <v>95</v>
      </c>
      <c r="G1" s="10" t="s">
        <v>36</v>
      </c>
      <c r="H1" s="10" t="s">
        <v>37</v>
      </c>
      <c r="I1" s="10" t="s">
        <v>38</v>
      </c>
      <c r="J1" s="10" t="s">
        <v>39</v>
      </c>
    </row>
    <row r="2" spans="1:10" ht="48">
      <c r="A2" s="48">
        <v>1</v>
      </c>
      <c r="B2" s="6" t="s">
        <v>96</v>
      </c>
      <c r="C2" s="7" t="s">
        <v>40</v>
      </c>
      <c r="D2" s="6" t="s">
        <v>97</v>
      </c>
      <c r="E2" s="6" t="s">
        <v>98</v>
      </c>
      <c r="F2" s="6" t="s">
        <v>99</v>
      </c>
      <c r="G2" s="7">
        <v>3.3803679999999998</v>
      </c>
      <c r="H2" s="7">
        <v>2.995031</v>
      </c>
      <c r="I2" s="7">
        <v>0.38144</v>
      </c>
      <c r="J2" s="7">
        <v>3.8969999999999999E-3</v>
      </c>
    </row>
    <row r="3" spans="1:10" ht="32.1">
      <c r="A3" s="48">
        <v>2</v>
      </c>
      <c r="B3" s="6" t="s">
        <v>96</v>
      </c>
      <c r="C3" s="7" t="s">
        <v>42</v>
      </c>
      <c r="D3" s="7" t="s">
        <v>41</v>
      </c>
      <c r="E3" s="7" t="s">
        <v>98</v>
      </c>
      <c r="F3" s="6" t="s">
        <v>99</v>
      </c>
      <c r="G3" s="7">
        <v>3.7630210000000002</v>
      </c>
      <c r="H3" s="7">
        <v>2.9989279999999998</v>
      </c>
      <c r="I3" s="7">
        <v>0.76137900000000003</v>
      </c>
      <c r="J3" s="7">
        <v>2.7139999999999998E-3</v>
      </c>
    </row>
    <row r="4" spans="1:10" ht="32.1">
      <c r="A4" s="48">
        <v>3</v>
      </c>
      <c r="B4" s="6" t="s">
        <v>96</v>
      </c>
      <c r="C4" s="7" t="s">
        <v>42</v>
      </c>
      <c r="D4" s="7" t="s">
        <v>43</v>
      </c>
      <c r="E4" s="7" t="s">
        <v>98</v>
      </c>
      <c r="F4" s="6" t="s">
        <v>99</v>
      </c>
      <c r="G4" s="7">
        <v>3.6325799999999999</v>
      </c>
      <c r="H4" s="7">
        <v>2.5277020000000001</v>
      </c>
      <c r="I4" s="7">
        <v>0.68049199999999999</v>
      </c>
      <c r="J4" s="7">
        <v>0.42438599999999999</v>
      </c>
    </row>
    <row r="5" spans="1:10" ht="48">
      <c r="A5" s="48">
        <v>4</v>
      </c>
      <c r="B5" s="6" t="s">
        <v>100</v>
      </c>
      <c r="C5" s="7" t="s">
        <v>40</v>
      </c>
      <c r="D5" s="6" t="s">
        <v>97</v>
      </c>
      <c r="E5" s="7" t="s">
        <v>98</v>
      </c>
      <c r="F5" s="6" t="s">
        <v>99</v>
      </c>
      <c r="G5" s="7">
        <v>4.1421919999999997</v>
      </c>
      <c r="H5" s="7">
        <v>3.812459</v>
      </c>
      <c r="I5" s="7">
        <v>0.32567699999999999</v>
      </c>
      <c r="J5" s="7">
        <v>4.0559999999999997E-3</v>
      </c>
    </row>
    <row r="6" spans="1:10" ht="48">
      <c r="A6" s="48">
        <v>5</v>
      </c>
      <c r="B6" s="6" t="s">
        <v>100</v>
      </c>
      <c r="C6" s="7" t="s">
        <v>42</v>
      </c>
      <c r="D6" s="6" t="s">
        <v>97</v>
      </c>
      <c r="E6" s="7" t="s">
        <v>98</v>
      </c>
      <c r="F6" s="6" t="s">
        <v>99</v>
      </c>
      <c r="G6" s="7">
        <v>4.2503690000000001</v>
      </c>
      <c r="H6" s="7">
        <v>3.812459</v>
      </c>
      <c r="I6" s="7">
        <v>0.43385400000000002</v>
      </c>
      <c r="J6" s="7">
        <v>4.0559999999999997E-3</v>
      </c>
    </row>
    <row r="7" spans="1:10" ht="32.1">
      <c r="A7" s="48">
        <v>6</v>
      </c>
      <c r="B7" s="6" t="s">
        <v>101</v>
      </c>
      <c r="C7" s="7" t="s">
        <v>44</v>
      </c>
      <c r="D7" s="7" t="s">
        <v>45</v>
      </c>
      <c r="E7" s="7" t="s">
        <v>98</v>
      </c>
      <c r="F7" s="6" t="s">
        <v>99</v>
      </c>
      <c r="G7" s="7">
        <v>21.220099999999999</v>
      </c>
      <c r="H7" s="7">
        <v>13.19894</v>
      </c>
      <c r="I7" s="7">
        <v>0.90092099999999997</v>
      </c>
      <c r="J7" s="7">
        <v>7.1202430000000003</v>
      </c>
    </row>
    <row r="8" spans="1:10" ht="32.1">
      <c r="A8" s="48">
        <v>7</v>
      </c>
      <c r="B8" s="6" t="s">
        <v>101</v>
      </c>
      <c r="C8" s="7" t="s">
        <v>42</v>
      </c>
      <c r="D8" s="7" t="s">
        <v>45</v>
      </c>
      <c r="E8" s="7" t="s">
        <v>98</v>
      </c>
      <c r="F8" s="6" t="s">
        <v>99</v>
      </c>
      <c r="G8" s="7">
        <v>14.34296</v>
      </c>
      <c r="H8" s="7">
        <v>13.19894</v>
      </c>
      <c r="I8" s="7">
        <v>0.96768900000000002</v>
      </c>
      <c r="J8" s="7">
        <v>0.17633199999999999</v>
      </c>
    </row>
    <row r="9" spans="1:10" ht="48">
      <c r="A9" s="48">
        <v>8</v>
      </c>
      <c r="B9" s="6" t="s">
        <v>102</v>
      </c>
      <c r="C9" s="7" t="s">
        <v>40</v>
      </c>
      <c r="D9" s="6" t="s">
        <v>103</v>
      </c>
      <c r="E9" s="7" t="s">
        <v>98</v>
      </c>
      <c r="F9" s="6" t="s">
        <v>99</v>
      </c>
      <c r="G9" s="7">
        <v>9.0093473100000008</v>
      </c>
      <c r="H9" s="7">
        <v>7.22039819</v>
      </c>
      <c r="I9" s="7">
        <v>1.7484542000000001</v>
      </c>
      <c r="J9" s="7">
        <v>4.0494910000000002E-2</v>
      </c>
    </row>
    <row r="10" spans="1:10" ht="32.1">
      <c r="A10" s="48">
        <v>9</v>
      </c>
      <c r="B10" s="6" t="s">
        <v>102</v>
      </c>
      <c r="C10" s="7" t="s">
        <v>44</v>
      </c>
      <c r="D10" s="7" t="s">
        <v>43</v>
      </c>
      <c r="E10" s="7" t="s">
        <v>98</v>
      </c>
      <c r="F10" s="6" t="s">
        <v>99</v>
      </c>
      <c r="G10" s="7">
        <v>26.9740328</v>
      </c>
      <c r="H10" s="7">
        <v>7.2956225999999997</v>
      </c>
      <c r="I10" s="7">
        <v>0.81951735000000003</v>
      </c>
      <c r="J10" s="7">
        <v>18.8588928</v>
      </c>
    </row>
    <row r="11" spans="1:10" ht="32.1">
      <c r="A11" s="48">
        <v>10</v>
      </c>
      <c r="B11" s="6" t="s">
        <v>102</v>
      </c>
      <c r="C11" s="7" t="s">
        <v>44</v>
      </c>
      <c r="D11" s="7" t="s">
        <v>45</v>
      </c>
      <c r="E11" s="7" t="s">
        <v>98</v>
      </c>
      <c r="F11" s="6" t="s">
        <v>99</v>
      </c>
      <c r="G11" s="7">
        <v>18.329881700000001</v>
      </c>
      <c r="H11" s="7">
        <v>7.1395445799999999</v>
      </c>
      <c r="I11" s="7">
        <v>4.0700936900000002</v>
      </c>
      <c r="J11" s="7">
        <v>7.1202434300000004</v>
      </c>
    </row>
    <row r="12" spans="1:10" ht="32.1">
      <c r="A12" s="48">
        <v>11</v>
      </c>
      <c r="B12" s="6" t="s">
        <v>102</v>
      </c>
      <c r="C12" s="7" t="s">
        <v>42</v>
      </c>
      <c r="D12" s="7" t="s">
        <v>43</v>
      </c>
      <c r="E12" s="7" t="s">
        <v>98</v>
      </c>
      <c r="F12" s="6" t="s">
        <v>99</v>
      </c>
      <c r="G12" s="7">
        <v>8.5660037500000001</v>
      </c>
      <c r="H12" s="7">
        <v>7.2956225999999997</v>
      </c>
      <c r="I12" s="7">
        <v>0.84836555000000002</v>
      </c>
      <c r="J12" s="7">
        <v>0.42201559999999999</v>
      </c>
    </row>
    <row r="13" spans="1:10" ht="32.1">
      <c r="A13" s="48">
        <v>12</v>
      </c>
      <c r="B13" s="6" t="s">
        <v>102</v>
      </c>
      <c r="C13" s="7" t="s">
        <v>42</v>
      </c>
      <c r="D13" s="7" t="s">
        <v>45</v>
      </c>
      <c r="E13" s="7" t="s">
        <v>98</v>
      </c>
      <c r="F13" s="6" t="s">
        <v>99</v>
      </c>
      <c r="G13" s="7">
        <v>11.4827046</v>
      </c>
      <c r="H13" s="7">
        <v>7.1395445799999999</v>
      </c>
      <c r="I13" s="7">
        <v>4.1668280099999997</v>
      </c>
      <c r="J13" s="7">
        <v>0.17633204</v>
      </c>
    </row>
    <row r="14" spans="1:10" ht="32.1">
      <c r="A14" s="48">
        <v>13</v>
      </c>
      <c r="B14" s="6" t="s">
        <v>102</v>
      </c>
      <c r="C14" s="7" t="s">
        <v>42</v>
      </c>
      <c r="D14" s="7" t="s">
        <v>47</v>
      </c>
      <c r="E14" s="7" t="s">
        <v>98</v>
      </c>
      <c r="F14" s="6" t="s">
        <v>99</v>
      </c>
      <c r="G14" s="7">
        <v>9.8110231500000005</v>
      </c>
      <c r="H14" s="7">
        <v>7.0857764300000001</v>
      </c>
      <c r="I14" s="7">
        <v>2.3632220799999999</v>
      </c>
      <c r="J14" s="7">
        <v>0.36202464000000001</v>
      </c>
    </row>
    <row r="15" spans="1:10" ht="32.1">
      <c r="A15" s="48">
        <v>14</v>
      </c>
      <c r="B15" s="6" t="s">
        <v>102</v>
      </c>
      <c r="C15" s="7" t="s">
        <v>42</v>
      </c>
      <c r="D15" s="7" t="s">
        <v>48</v>
      </c>
      <c r="E15" s="7" t="s">
        <v>98</v>
      </c>
      <c r="F15" s="6" t="s">
        <v>99</v>
      </c>
      <c r="G15" s="7">
        <v>9.3633567899999992</v>
      </c>
      <c r="H15" s="7">
        <v>7.2956225999999997</v>
      </c>
      <c r="I15" s="7">
        <v>1.77765705</v>
      </c>
      <c r="J15" s="7">
        <v>0.29007714000000001</v>
      </c>
    </row>
    <row r="16" spans="1:10" ht="32.1">
      <c r="A16" s="48">
        <v>15</v>
      </c>
      <c r="B16" s="6" t="s">
        <v>104</v>
      </c>
      <c r="C16" s="7" t="s">
        <v>44</v>
      </c>
      <c r="D16" s="7" t="s">
        <v>43</v>
      </c>
      <c r="E16" s="7" t="s">
        <v>98</v>
      </c>
      <c r="F16" s="6" t="s">
        <v>99</v>
      </c>
      <c r="G16" s="7">
        <v>38.387230000000002</v>
      </c>
      <c r="H16" s="7">
        <v>18.833870000000001</v>
      </c>
      <c r="I16" s="7">
        <v>0.69446600000000003</v>
      </c>
      <c r="J16" s="7">
        <v>18.858889999999999</v>
      </c>
    </row>
    <row r="17" spans="1:10" ht="32.1">
      <c r="A17" s="48">
        <v>16</v>
      </c>
      <c r="B17" s="6" t="s">
        <v>104</v>
      </c>
      <c r="C17" s="7" t="s">
        <v>44</v>
      </c>
      <c r="D17" s="7" t="s">
        <v>45</v>
      </c>
      <c r="E17" s="7" t="s">
        <v>98</v>
      </c>
      <c r="F17" s="6" t="s">
        <v>99</v>
      </c>
      <c r="G17" s="7">
        <v>27.49682</v>
      </c>
      <c r="H17" s="7">
        <v>18.857240000000001</v>
      </c>
      <c r="I17" s="7">
        <v>1.5193319999999999</v>
      </c>
      <c r="J17" s="7">
        <v>7.1202430000000003</v>
      </c>
    </row>
    <row r="18" spans="1:10" ht="32.1">
      <c r="A18" s="48">
        <v>17</v>
      </c>
      <c r="B18" s="6" t="s">
        <v>104</v>
      </c>
      <c r="C18" s="7" t="s">
        <v>44</v>
      </c>
      <c r="D18" s="7" t="s">
        <v>49</v>
      </c>
      <c r="E18" s="7" t="s">
        <v>98</v>
      </c>
      <c r="F18" s="6" t="s">
        <v>99</v>
      </c>
      <c r="G18" s="7">
        <v>29.290780000000002</v>
      </c>
      <c r="H18" s="7">
        <v>18.760680000000001</v>
      </c>
      <c r="I18" s="7">
        <v>0.63292700000000002</v>
      </c>
      <c r="J18" s="7">
        <v>9.8971769999999992</v>
      </c>
    </row>
    <row r="19" spans="1:10" ht="32.1">
      <c r="A19" s="48">
        <v>18</v>
      </c>
      <c r="B19" s="6" t="s">
        <v>104</v>
      </c>
      <c r="C19" s="7" t="s">
        <v>42</v>
      </c>
      <c r="D19" s="7" t="s">
        <v>43</v>
      </c>
      <c r="E19" s="7" t="s">
        <v>98</v>
      </c>
      <c r="F19" s="6" t="s">
        <v>99</v>
      </c>
      <c r="G19" s="7">
        <v>19.969899999999999</v>
      </c>
      <c r="H19" s="7">
        <v>18.833870000000001</v>
      </c>
      <c r="I19" s="7">
        <v>0.714009</v>
      </c>
      <c r="J19" s="7">
        <v>0.422016</v>
      </c>
    </row>
    <row r="20" spans="1:10" ht="32.1">
      <c r="A20" s="48">
        <v>19</v>
      </c>
      <c r="B20" s="6" t="s">
        <v>104</v>
      </c>
      <c r="C20" s="7" t="s">
        <v>42</v>
      </c>
      <c r="D20" s="7" t="s">
        <v>45</v>
      </c>
      <c r="E20" s="7" t="s">
        <v>98</v>
      </c>
      <c r="F20" s="6" t="s">
        <v>99</v>
      </c>
      <c r="G20" s="7">
        <v>20.619669999999999</v>
      </c>
      <c r="H20" s="7">
        <v>18.857240000000001</v>
      </c>
      <c r="I20" s="7">
        <v>1.5861000000000001</v>
      </c>
      <c r="J20" s="7">
        <v>0.17633199999999999</v>
      </c>
    </row>
    <row r="21" spans="1:10" ht="32.1">
      <c r="A21" s="48">
        <v>20</v>
      </c>
      <c r="B21" s="6" t="s">
        <v>104</v>
      </c>
      <c r="C21" s="7" t="s">
        <v>42</v>
      </c>
      <c r="D21" s="7" t="s">
        <v>49</v>
      </c>
      <c r="E21" s="7" t="s">
        <v>98</v>
      </c>
      <c r="F21" s="6" t="s">
        <v>99</v>
      </c>
      <c r="G21" s="7">
        <v>19.644680000000001</v>
      </c>
      <c r="H21" s="7">
        <v>18.760680000000001</v>
      </c>
      <c r="I21" s="7">
        <v>0.64853400000000005</v>
      </c>
      <c r="J21" s="7">
        <v>0.23547399999999999</v>
      </c>
    </row>
    <row r="22" spans="1:10" ht="32.1">
      <c r="A22" s="48">
        <v>21</v>
      </c>
      <c r="B22" s="6" t="s">
        <v>105</v>
      </c>
      <c r="C22" s="7" t="s">
        <v>40</v>
      </c>
      <c r="D22" s="7" t="s">
        <v>41</v>
      </c>
      <c r="E22" s="7" t="s">
        <v>98</v>
      </c>
      <c r="F22" s="6" t="s">
        <v>99</v>
      </c>
      <c r="G22" s="7">
        <v>3.1084900000000002</v>
      </c>
      <c r="H22" s="7">
        <v>3.0457689999999999</v>
      </c>
      <c r="I22" s="7">
        <v>5.5363000000000002E-2</v>
      </c>
      <c r="J22" s="7">
        <v>7.358E-3</v>
      </c>
    </row>
    <row r="23" spans="1:10" ht="32.1">
      <c r="A23" s="48">
        <v>22</v>
      </c>
      <c r="B23" s="6" t="s">
        <v>105</v>
      </c>
      <c r="C23" s="7" t="s">
        <v>40</v>
      </c>
      <c r="D23" s="7" t="s">
        <v>50</v>
      </c>
      <c r="E23" s="7" t="s">
        <v>98</v>
      </c>
      <c r="F23" s="6" t="s">
        <v>99</v>
      </c>
      <c r="G23" s="7">
        <v>2.9556629999999999</v>
      </c>
      <c r="H23" s="7">
        <v>2.924229</v>
      </c>
      <c r="I23" s="7">
        <v>3.1273000000000002E-2</v>
      </c>
      <c r="J23" s="7">
        <v>1.6100000000000001E-4</v>
      </c>
    </row>
    <row r="24" spans="1:10" ht="32.1">
      <c r="A24" s="48">
        <v>23</v>
      </c>
      <c r="B24" s="6" t="s">
        <v>106</v>
      </c>
      <c r="C24" s="7" t="s">
        <v>51</v>
      </c>
      <c r="D24" s="7" t="s">
        <v>41</v>
      </c>
      <c r="E24" s="7" t="s">
        <v>98</v>
      </c>
      <c r="F24" s="6" t="s">
        <v>99</v>
      </c>
      <c r="G24" s="7">
        <v>0.38261499999999998</v>
      </c>
      <c r="H24" s="7">
        <v>0.19164700000000001</v>
      </c>
      <c r="I24" s="7">
        <v>0.10198699999999999</v>
      </c>
      <c r="J24" s="7">
        <v>8.8981000000000005E-2</v>
      </c>
    </row>
    <row r="25" spans="1:10" ht="32.1">
      <c r="A25" s="48">
        <v>24</v>
      </c>
      <c r="B25" s="6" t="s">
        <v>106</v>
      </c>
      <c r="C25" s="7" t="s">
        <v>51</v>
      </c>
      <c r="D25" s="7" t="s">
        <v>52</v>
      </c>
      <c r="E25" s="7" t="s">
        <v>98</v>
      </c>
      <c r="F25" s="6" t="s">
        <v>99</v>
      </c>
      <c r="G25" s="7">
        <v>0.39091900000000002</v>
      </c>
      <c r="H25" s="7">
        <v>0.199766</v>
      </c>
      <c r="I25" s="7">
        <v>0.10198699999999999</v>
      </c>
      <c r="J25" s="7">
        <v>8.9165999999999995E-2</v>
      </c>
    </row>
    <row r="26" spans="1:10" ht="32.1">
      <c r="A26" s="48">
        <v>25</v>
      </c>
      <c r="B26" s="6" t="s">
        <v>106</v>
      </c>
      <c r="C26" s="7" t="s">
        <v>53</v>
      </c>
      <c r="D26" s="7" t="s">
        <v>41</v>
      </c>
      <c r="E26" s="7" t="s">
        <v>98</v>
      </c>
      <c r="F26" s="6" t="s">
        <v>99</v>
      </c>
      <c r="G26" s="7">
        <v>0.318382</v>
      </c>
      <c r="H26" s="7">
        <v>0.127414</v>
      </c>
      <c r="I26" s="7">
        <v>0.10198699999999999</v>
      </c>
      <c r="J26" s="7">
        <v>8.8981000000000005E-2</v>
      </c>
    </row>
    <row r="27" spans="1:10" ht="32.1">
      <c r="A27" s="48">
        <v>26</v>
      </c>
      <c r="B27" s="6" t="s">
        <v>106</v>
      </c>
      <c r="C27" s="7" t="s">
        <v>54</v>
      </c>
      <c r="D27" s="7" t="s">
        <v>41</v>
      </c>
      <c r="E27" s="7" t="s">
        <v>98</v>
      </c>
      <c r="F27" s="6" t="s">
        <v>99</v>
      </c>
      <c r="G27" s="7">
        <v>0.33505800000000002</v>
      </c>
      <c r="H27" s="7">
        <v>0.14409</v>
      </c>
      <c r="I27" s="7">
        <v>0.10198699999999999</v>
      </c>
      <c r="J27" s="7">
        <v>8.8981000000000005E-2</v>
      </c>
    </row>
    <row r="28" spans="1:10" ht="32.1">
      <c r="A28" s="48">
        <v>27</v>
      </c>
      <c r="B28" s="6" t="s">
        <v>106</v>
      </c>
      <c r="C28" s="7" t="s">
        <v>55</v>
      </c>
      <c r="D28" s="7" t="s">
        <v>41</v>
      </c>
      <c r="E28" s="7" t="s">
        <v>98</v>
      </c>
      <c r="F28" s="6" t="s">
        <v>99</v>
      </c>
      <c r="G28" s="7">
        <v>0.28408</v>
      </c>
      <c r="H28" s="7">
        <v>9.3112E-2</v>
      </c>
      <c r="I28" s="7">
        <v>0.10198699999999999</v>
      </c>
      <c r="J28" s="7">
        <v>8.8981000000000005E-2</v>
      </c>
    </row>
    <row r="29" spans="1:10" ht="32.1">
      <c r="A29" s="48">
        <v>28</v>
      </c>
      <c r="B29" s="6" t="s">
        <v>106</v>
      </c>
      <c r="C29" s="7" t="s">
        <v>56</v>
      </c>
      <c r="D29" s="7" t="s">
        <v>45</v>
      </c>
      <c r="E29" s="7" t="s">
        <v>98</v>
      </c>
      <c r="F29" s="6" t="s">
        <v>99</v>
      </c>
      <c r="G29" s="7">
        <v>0.50027999999999995</v>
      </c>
      <c r="H29" s="7">
        <v>0.19825000000000001</v>
      </c>
      <c r="I29" s="7">
        <v>9.6673999999999996E-2</v>
      </c>
      <c r="J29" s="7">
        <v>0.20535600000000001</v>
      </c>
    </row>
    <row r="30" spans="1:10" ht="32.1">
      <c r="A30" s="48">
        <v>29</v>
      </c>
      <c r="B30" s="6" t="s">
        <v>106</v>
      </c>
      <c r="C30" s="7" t="s">
        <v>56</v>
      </c>
      <c r="D30" s="7" t="s">
        <v>57</v>
      </c>
      <c r="E30" s="7" t="s">
        <v>98</v>
      </c>
      <c r="F30" s="6" t="s">
        <v>99</v>
      </c>
      <c r="G30" s="7">
        <v>0.996865</v>
      </c>
      <c r="H30" s="7">
        <v>0.156613</v>
      </c>
      <c r="I30" s="7">
        <v>9.6673999999999996E-2</v>
      </c>
      <c r="J30" s="7">
        <v>0.74357899999999999</v>
      </c>
    </row>
    <row r="31" spans="1:10" ht="32.1">
      <c r="A31" s="48">
        <v>30</v>
      </c>
      <c r="B31" s="6" t="s">
        <v>106</v>
      </c>
      <c r="C31" s="7" t="s">
        <v>56</v>
      </c>
      <c r="D31" s="7" t="s">
        <v>58</v>
      </c>
      <c r="E31" s="7" t="s">
        <v>98</v>
      </c>
      <c r="F31" s="6" t="s">
        <v>99</v>
      </c>
      <c r="G31" s="7">
        <v>0.59386099999999997</v>
      </c>
      <c r="H31" s="7">
        <v>0.196074</v>
      </c>
      <c r="I31" s="7">
        <v>0.10198699999999999</v>
      </c>
      <c r="J31" s="7">
        <v>0.29580099999999998</v>
      </c>
    </row>
    <row r="32" spans="1:10" ht="32.1">
      <c r="A32" s="48">
        <v>31</v>
      </c>
      <c r="B32" s="6" t="s">
        <v>106</v>
      </c>
      <c r="C32" s="7" t="s">
        <v>56</v>
      </c>
      <c r="D32" s="7" t="s">
        <v>59</v>
      </c>
      <c r="E32" s="7" t="s">
        <v>98</v>
      </c>
      <c r="F32" s="6" t="s">
        <v>99</v>
      </c>
      <c r="G32" s="7">
        <v>0.56627300000000003</v>
      </c>
      <c r="H32" s="7">
        <v>0.18069099999999999</v>
      </c>
      <c r="I32" s="7">
        <v>0.10312</v>
      </c>
      <c r="J32" s="7">
        <v>0.28246100000000002</v>
      </c>
    </row>
    <row r="33" spans="1:10" ht="48">
      <c r="A33" s="48">
        <v>32</v>
      </c>
      <c r="B33" s="6" t="s">
        <v>107</v>
      </c>
      <c r="C33" s="7" t="s">
        <v>60</v>
      </c>
      <c r="D33" s="7" t="s">
        <v>41</v>
      </c>
      <c r="E33" s="7" t="s">
        <v>98</v>
      </c>
      <c r="F33" s="6" t="s">
        <v>99</v>
      </c>
      <c r="G33" s="7">
        <v>0.59886700000000004</v>
      </c>
      <c r="H33" s="7">
        <v>0.42276799999999998</v>
      </c>
      <c r="I33" s="7">
        <v>0.10198699999999999</v>
      </c>
      <c r="J33" s="7">
        <v>7.4112999999999998E-2</v>
      </c>
    </row>
    <row r="34" spans="1:10" ht="48">
      <c r="A34" s="48">
        <v>33</v>
      </c>
      <c r="B34" s="6" t="s">
        <v>107</v>
      </c>
      <c r="C34" s="7" t="s">
        <v>61</v>
      </c>
      <c r="D34" s="7" t="s">
        <v>62</v>
      </c>
      <c r="E34" s="7" t="s">
        <v>98</v>
      </c>
      <c r="F34" s="6" t="s">
        <v>99</v>
      </c>
      <c r="G34" s="7">
        <v>0.74158500000000005</v>
      </c>
      <c r="H34" s="7">
        <v>0.534582</v>
      </c>
      <c r="I34" s="7">
        <v>0.122128</v>
      </c>
      <c r="J34" s="7">
        <v>8.4875000000000006E-2</v>
      </c>
    </row>
    <row r="35" spans="1:10" ht="48">
      <c r="A35" s="48">
        <v>34</v>
      </c>
      <c r="B35" s="6" t="s">
        <v>107</v>
      </c>
      <c r="C35" s="7" t="s">
        <v>61</v>
      </c>
      <c r="D35" s="7" t="s">
        <v>46</v>
      </c>
      <c r="E35" s="7" t="s">
        <v>98</v>
      </c>
      <c r="F35" s="6" t="s">
        <v>99</v>
      </c>
      <c r="G35" s="7">
        <v>0.75385599999999997</v>
      </c>
      <c r="H35" s="7">
        <v>0.57922600000000002</v>
      </c>
      <c r="I35" s="7">
        <v>0.12615599999999999</v>
      </c>
      <c r="J35" s="7">
        <v>4.8473000000000002E-2</v>
      </c>
    </row>
    <row r="36" spans="1:10" ht="48">
      <c r="A36" s="48">
        <v>35</v>
      </c>
      <c r="B36" s="6" t="s">
        <v>107</v>
      </c>
      <c r="C36" s="7" t="s">
        <v>63</v>
      </c>
      <c r="D36" s="7" t="s">
        <v>45</v>
      </c>
      <c r="E36" s="7" t="s">
        <v>98</v>
      </c>
      <c r="F36" s="6" t="s">
        <v>99</v>
      </c>
      <c r="G36" s="7">
        <v>1.318346</v>
      </c>
      <c r="H36" s="7">
        <v>0.74356199999999995</v>
      </c>
      <c r="I36" s="7">
        <v>0.35627599999999998</v>
      </c>
      <c r="J36" s="7">
        <v>0.21850800000000001</v>
      </c>
    </row>
    <row r="37" spans="1:10" ht="48">
      <c r="A37" s="48">
        <v>36</v>
      </c>
      <c r="B37" s="6" t="s">
        <v>107</v>
      </c>
      <c r="C37" s="7" t="s">
        <v>63</v>
      </c>
      <c r="D37" s="7" t="s">
        <v>62</v>
      </c>
      <c r="E37" s="7" t="s">
        <v>98</v>
      </c>
      <c r="F37" s="6" t="s">
        <v>99</v>
      </c>
      <c r="G37" s="7">
        <v>1.1734039999999999</v>
      </c>
      <c r="H37" s="7">
        <v>0.74465899999999996</v>
      </c>
      <c r="I37" s="7">
        <v>0.34478199999999998</v>
      </c>
      <c r="J37" s="7">
        <v>8.3961999999999995E-2</v>
      </c>
    </row>
    <row r="38" spans="1:10" ht="48">
      <c r="A38" s="48">
        <v>37</v>
      </c>
      <c r="B38" s="6" t="s">
        <v>107</v>
      </c>
      <c r="C38" s="7" t="s">
        <v>63</v>
      </c>
      <c r="D38" s="7" t="s">
        <v>41</v>
      </c>
      <c r="E38" s="7" t="s">
        <v>98</v>
      </c>
      <c r="F38" s="6" t="s">
        <v>99</v>
      </c>
      <c r="G38" s="7">
        <v>1.0635479999999999</v>
      </c>
      <c r="H38" s="7">
        <v>0.584422</v>
      </c>
      <c r="I38" s="7">
        <v>0.39586399999999999</v>
      </c>
      <c r="J38" s="7">
        <v>8.3263000000000004E-2</v>
      </c>
    </row>
    <row r="39" spans="1:10" ht="48">
      <c r="A39" s="48">
        <v>38</v>
      </c>
      <c r="B39" s="6" t="s">
        <v>107</v>
      </c>
      <c r="C39" s="7" t="s">
        <v>64</v>
      </c>
      <c r="D39" s="7" t="s">
        <v>50</v>
      </c>
      <c r="E39" s="7" t="s">
        <v>98</v>
      </c>
      <c r="F39" s="6" t="s">
        <v>99</v>
      </c>
      <c r="G39" s="7">
        <v>0.24571499999999999</v>
      </c>
      <c r="H39" s="7">
        <v>4.8299000000000002E-2</v>
      </c>
      <c r="I39" s="7">
        <v>0.18532499999999999</v>
      </c>
      <c r="J39" s="7">
        <v>1.2090999999999999E-2</v>
      </c>
    </row>
    <row r="40" spans="1:10" ht="48">
      <c r="A40" s="48">
        <v>39</v>
      </c>
      <c r="B40" s="6" t="s">
        <v>107</v>
      </c>
      <c r="C40" s="7" t="s">
        <v>65</v>
      </c>
      <c r="D40" s="7" t="s">
        <v>62</v>
      </c>
      <c r="E40" s="7" t="s">
        <v>98</v>
      </c>
      <c r="F40" s="6" t="s">
        <v>99</v>
      </c>
      <c r="G40" s="7">
        <v>0.99066299999999996</v>
      </c>
      <c r="H40" s="7">
        <v>0.80690799999999996</v>
      </c>
      <c r="I40" s="7">
        <v>9.9793000000000007E-2</v>
      </c>
      <c r="J40" s="7">
        <v>8.3961999999999995E-2</v>
      </c>
    </row>
    <row r="41" spans="1:10" ht="48">
      <c r="A41" s="48">
        <v>40</v>
      </c>
      <c r="B41" s="6" t="s">
        <v>107</v>
      </c>
      <c r="C41" s="7" t="s">
        <v>65</v>
      </c>
      <c r="D41" s="7" t="s">
        <v>41</v>
      </c>
      <c r="E41" s="7" t="s">
        <v>98</v>
      </c>
      <c r="F41" s="6" t="s">
        <v>99</v>
      </c>
      <c r="G41" s="7">
        <v>0.843198</v>
      </c>
      <c r="H41" s="7">
        <v>0.64535600000000004</v>
      </c>
      <c r="I41" s="7">
        <v>0.11458</v>
      </c>
      <c r="J41" s="7">
        <v>8.3263000000000004E-2</v>
      </c>
    </row>
    <row r="42" spans="1:10" ht="48">
      <c r="A42" s="48">
        <v>41</v>
      </c>
      <c r="B42" s="6" t="s">
        <v>107</v>
      </c>
      <c r="C42" s="7" t="s">
        <v>65</v>
      </c>
      <c r="D42" s="7" t="s">
        <v>66</v>
      </c>
      <c r="E42" s="7" t="s">
        <v>98</v>
      </c>
      <c r="F42" s="6" t="s">
        <v>99</v>
      </c>
      <c r="G42" s="7">
        <v>1.1864809999999999</v>
      </c>
      <c r="H42" s="7">
        <v>0.97326199999999996</v>
      </c>
      <c r="I42" s="7">
        <v>0.11458</v>
      </c>
      <c r="J42" s="7">
        <v>9.8639000000000004E-2</v>
      </c>
    </row>
    <row r="43" spans="1:10" ht="48">
      <c r="A43" s="48">
        <v>42</v>
      </c>
      <c r="B43" s="6" t="s">
        <v>107</v>
      </c>
      <c r="C43" s="7" t="s">
        <v>65</v>
      </c>
      <c r="D43" s="7" t="s">
        <v>47</v>
      </c>
      <c r="E43" s="7" t="s">
        <v>98</v>
      </c>
      <c r="F43" s="6" t="s">
        <v>99</v>
      </c>
      <c r="G43" s="7">
        <v>1.119623</v>
      </c>
      <c r="H43" s="7">
        <v>0.57052999999999998</v>
      </c>
      <c r="I43" s="7">
        <v>0.10198699999999999</v>
      </c>
      <c r="J43" s="7">
        <v>0.447106</v>
      </c>
    </row>
    <row r="44" spans="1:10" ht="48">
      <c r="A44" s="48">
        <v>43</v>
      </c>
      <c r="B44" s="6" t="s">
        <v>107</v>
      </c>
      <c r="C44" s="7" t="s">
        <v>67</v>
      </c>
      <c r="D44" s="7" t="s">
        <v>68</v>
      </c>
      <c r="E44" s="7" t="s">
        <v>98</v>
      </c>
      <c r="F44" s="6" t="s">
        <v>99</v>
      </c>
      <c r="G44" s="7">
        <v>0.41497800000000001</v>
      </c>
      <c r="H44" s="7">
        <v>0.20217499999999999</v>
      </c>
      <c r="I44" s="7">
        <v>0.11458</v>
      </c>
      <c r="J44" s="7">
        <v>9.8222000000000004E-2</v>
      </c>
    </row>
    <row r="45" spans="1:10" ht="48">
      <c r="A45" s="48">
        <v>44</v>
      </c>
      <c r="B45" s="6" t="s">
        <v>107</v>
      </c>
      <c r="C45" s="7" t="s">
        <v>67</v>
      </c>
      <c r="D45" s="7" t="s">
        <v>62</v>
      </c>
      <c r="E45" s="7" t="s">
        <v>98</v>
      </c>
      <c r="F45" s="6" t="s">
        <v>99</v>
      </c>
      <c r="G45" s="7">
        <v>0.39637699999999998</v>
      </c>
      <c r="H45" s="7">
        <v>0.212621</v>
      </c>
      <c r="I45" s="7">
        <v>9.9793000000000007E-2</v>
      </c>
      <c r="J45" s="7">
        <v>8.3961999999999995E-2</v>
      </c>
    </row>
    <row r="46" spans="1:10" ht="48">
      <c r="A46" s="48">
        <v>45</v>
      </c>
      <c r="B46" s="6" t="s">
        <v>107</v>
      </c>
      <c r="C46" s="7" t="s">
        <v>67</v>
      </c>
      <c r="D46" s="7" t="s">
        <v>46</v>
      </c>
      <c r="E46" s="7" t="s">
        <v>98</v>
      </c>
      <c r="F46" s="6" t="s">
        <v>99</v>
      </c>
      <c r="G46" s="7">
        <v>0.37121300000000002</v>
      </c>
      <c r="H46" s="7">
        <v>0.20217499999999999</v>
      </c>
      <c r="I46" s="7">
        <v>0.11458</v>
      </c>
      <c r="J46" s="7">
        <v>5.4457999999999999E-2</v>
      </c>
    </row>
    <row r="47" spans="1:10" ht="48">
      <c r="A47" s="48">
        <v>46</v>
      </c>
      <c r="B47" s="6" t="s">
        <v>107</v>
      </c>
      <c r="C47" s="7" t="s">
        <v>67</v>
      </c>
      <c r="D47" s="7" t="s">
        <v>69</v>
      </c>
      <c r="E47" s="7" t="s">
        <v>98</v>
      </c>
      <c r="F47" s="6" t="s">
        <v>99</v>
      </c>
      <c r="G47" s="7">
        <v>0.483097</v>
      </c>
      <c r="H47" s="7">
        <v>0.20217499999999999</v>
      </c>
      <c r="I47" s="7">
        <v>0.11458</v>
      </c>
      <c r="J47" s="7">
        <v>0.16634099999999999</v>
      </c>
    </row>
    <row r="48" spans="1:10" ht="48">
      <c r="A48" s="48">
        <v>47</v>
      </c>
      <c r="B48" s="6" t="s">
        <v>107</v>
      </c>
      <c r="C48" s="7" t="s">
        <v>67</v>
      </c>
      <c r="D48" s="7" t="s">
        <v>57</v>
      </c>
      <c r="E48" s="7" t="s">
        <v>98</v>
      </c>
      <c r="F48" s="6" t="s">
        <v>99</v>
      </c>
      <c r="G48" s="7">
        <v>1.0967309999999999</v>
      </c>
      <c r="H48" s="7">
        <v>0.20100000000000001</v>
      </c>
      <c r="I48" s="7">
        <v>0.10312</v>
      </c>
      <c r="J48" s="7">
        <v>0.79261199999999998</v>
      </c>
    </row>
    <row r="49" spans="1:10" ht="32.1">
      <c r="A49" s="48">
        <v>48</v>
      </c>
      <c r="B49" s="6" t="s">
        <v>108</v>
      </c>
      <c r="C49" s="7" t="s">
        <v>32</v>
      </c>
      <c r="D49" s="7" t="s">
        <v>45</v>
      </c>
      <c r="E49" s="7" t="s">
        <v>98</v>
      </c>
      <c r="F49" s="6" t="s">
        <v>99</v>
      </c>
      <c r="G49" s="7">
        <v>0.609043</v>
      </c>
      <c r="H49" s="7">
        <v>0.44561099999999998</v>
      </c>
      <c r="I49" s="7">
        <v>3.3017999999999999E-2</v>
      </c>
      <c r="J49" s="7">
        <v>0.130414</v>
      </c>
    </row>
    <row r="50" spans="1:10" ht="32.1">
      <c r="A50" s="48">
        <v>49</v>
      </c>
      <c r="B50" s="6" t="s">
        <v>108</v>
      </c>
      <c r="C50" s="7" t="s">
        <v>32</v>
      </c>
      <c r="D50" s="7" t="s">
        <v>57</v>
      </c>
      <c r="E50" s="7" t="s">
        <v>98</v>
      </c>
      <c r="F50" s="6" t="s">
        <v>99</v>
      </c>
      <c r="G50" s="7">
        <v>0.92317400000000005</v>
      </c>
      <c r="H50" s="7">
        <v>0.49074200000000001</v>
      </c>
      <c r="I50" s="7">
        <v>3.2978E-2</v>
      </c>
      <c r="J50" s="7">
        <v>0.399453</v>
      </c>
    </row>
    <row r="51" spans="1:10" ht="32.1">
      <c r="A51" s="48">
        <v>50</v>
      </c>
      <c r="B51" s="6" t="s">
        <v>109</v>
      </c>
      <c r="C51" s="7" t="s">
        <v>31</v>
      </c>
      <c r="D51" s="7" t="s">
        <v>70</v>
      </c>
      <c r="E51" s="7" t="s">
        <v>98</v>
      </c>
      <c r="F51" s="6" t="s">
        <v>99</v>
      </c>
      <c r="G51" s="7">
        <v>2.5333410000000001</v>
      </c>
      <c r="H51" s="7">
        <v>2.6889720000000001</v>
      </c>
      <c r="I51" s="7">
        <v>-0.18823500000000001</v>
      </c>
      <c r="J51" s="7">
        <v>3.2605000000000002E-2</v>
      </c>
    </row>
    <row r="52" spans="1:10" ht="32.1">
      <c r="A52" s="48">
        <v>51</v>
      </c>
      <c r="B52" s="6" t="s">
        <v>109</v>
      </c>
      <c r="C52" s="7" t="s">
        <v>31</v>
      </c>
      <c r="D52" s="7" t="s">
        <v>66</v>
      </c>
      <c r="E52" s="7" t="s">
        <v>98</v>
      </c>
      <c r="F52" s="6" t="s">
        <v>99</v>
      </c>
      <c r="G52" s="7">
        <v>2.6716380000000002</v>
      </c>
      <c r="H52" s="7">
        <v>2.9543300000000001</v>
      </c>
      <c r="I52" s="7">
        <v>-0.33082</v>
      </c>
      <c r="J52" s="7">
        <v>4.8127999999999997E-2</v>
      </c>
    </row>
    <row r="53" spans="1:10" ht="32.1">
      <c r="A53" s="48">
        <v>52</v>
      </c>
      <c r="B53" s="6" t="s">
        <v>109</v>
      </c>
      <c r="C53" s="7" t="s">
        <v>31</v>
      </c>
      <c r="D53" s="7" t="s">
        <v>71</v>
      </c>
      <c r="E53" s="7" t="s">
        <v>98</v>
      </c>
      <c r="F53" s="6" t="s">
        <v>99</v>
      </c>
      <c r="G53" s="7">
        <v>2.5184850000000001</v>
      </c>
      <c r="H53" s="7">
        <v>2.6889720000000001</v>
      </c>
      <c r="I53" s="7">
        <v>-0.221641</v>
      </c>
      <c r="J53" s="7">
        <v>5.1152999999999997E-2</v>
      </c>
    </row>
    <row r="54" spans="1:10" ht="32.1">
      <c r="A54" s="48">
        <v>53</v>
      </c>
      <c r="B54" s="6" t="s">
        <v>110</v>
      </c>
      <c r="C54" s="7" t="s">
        <v>73</v>
      </c>
      <c r="D54" s="7" t="s">
        <v>62</v>
      </c>
      <c r="E54" s="7" t="s">
        <v>98</v>
      </c>
      <c r="F54" s="6" t="s">
        <v>99</v>
      </c>
      <c r="G54" s="7">
        <v>0.42985800000000002</v>
      </c>
      <c r="H54" s="7">
        <v>0.240616</v>
      </c>
      <c r="I54" s="7">
        <v>0.100878</v>
      </c>
      <c r="J54" s="8">
        <v>8.8400000000000006E-2</v>
      </c>
    </row>
    <row r="55" spans="1:10" ht="32.1">
      <c r="A55" s="48">
        <v>54</v>
      </c>
      <c r="B55" s="6" t="s">
        <v>110</v>
      </c>
      <c r="C55" s="7" t="s">
        <v>73</v>
      </c>
      <c r="D55" s="7" t="s">
        <v>41</v>
      </c>
      <c r="E55" s="7" t="s">
        <v>98</v>
      </c>
      <c r="F55" s="6" t="s">
        <v>99</v>
      </c>
      <c r="G55" s="7">
        <v>0.43303999999999998</v>
      </c>
      <c r="H55" s="7">
        <v>0.253411</v>
      </c>
      <c r="I55" s="7">
        <v>0.10198699999999999</v>
      </c>
      <c r="J55" s="9">
        <v>7.7600000000000002E-2</v>
      </c>
    </row>
    <row r="56" spans="1:10" ht="32.1">
      <c r="A56" s="48">
        <v>55</v>
      </c>
      <c r="B56" s="6" t="s">
        <v>110</v>
      </c>
      <c r="C56" s="7" t="s">
        <v>73</v>
      </c>
      <c r="D56" s="7" t="s">
        <v>50</v>
      </c>
      <c r="E56" s="7" t="s">
        <v>98</v>
      </c>
      <c r="F56" s="6" t="s">
        <v>99</v>
      </c>
      <c r="G56" s="7">
        <v>0.34267900000000001</v>
      </c>
      <c r="H56" s="7">
        <v>0.23880199999999999</v>
      </c>
      <c r="I56" s="7">
        <v>0.100878</v>
      </c>
      <c r="J56" s="9">
        <v>3.0000000000000001E-3</v>
      </c>
    </row>
    <row r="57" spans="1:10" ht="32.1">
      <c r="A57" s="48">
        <v>56</v>
      </c>
      <c r="B57" s="6" t="s">
        <v>110</v>
      </c>
      <c r="C57" s="7" t="s">
        <v>74</v>
      </c>
      <c r="D57" s="7" t="s">
        <v>41</v>
      </c>
      <c r="E57" s="7" t="s">
        <v>98</v>
      </c>
      <c r="F57" s="6" t="s">
        <v>99</v>
      </c>
      <c r="G57" s="7">
        <v>0.27349499999999999</v>
      </c>
      <c r="H57" s="7">
        <v>9.3198000000000003E-2</v>
      </c>
      <c r="I57" s="7">
        <v>0.102448</v>
      </c>
      <c r="J57" s="7">
        <v>7.7848000000000001E-2</v>
      </c>
    </row>
    <row r="58" spans="1:10" ht="32.1">
      <c r="A58" s="48">
        <v>57</v>
      </c>
      <c r="B58" s="6" t="s">
        <v>110</v>
      </c>
      <c r="C58" s="7" t="s">
        <v>74</v>
      </c>
      <c r="D58" s="7" t="s">
        <v>50</v>
      </c>
      <c r="E58" s="7" t="s">
        <v>98</v>
      </c>
      <c r="F58" s="6" t="s">
        <v>99</v>
      </c>
      <c r="G58" s="7">
        <v>0.18901999999999999</v>
      </c>
      <c r="H58" s="7">
        <v>8.4638000000000005E-2</v>
      </c>
      <c r="I58" s="7">
        <v>0.10133399999999999</v>
      </c>
      <c r="J58" s="7">
        <v>3.0469999999999998E-3</v>
      </c>
    </row>
    <row r="59" spans="1:10" ht="32.1">
      <c r="A59" s="48">
        <v>58</v>
      </c>
      <c r="B59" s="6" t="s">
        <v>110</v>
      </c>
      <c r="C59" s="7" t="s">
        <v>75</v>
      </c>
      <c r="D59" s="7" t="s">
        <v>41</v>
      </c>
      <c r="E59" s="7" t="s">
        <v>98</v>
      </c>
      <c r="F59" s="6" t="s">
        <v>99</v>
      </c>
      <c r="G59" s="7">
        <v>0.46926400000000001</v>
      </c>
      <c r="H59" s="7">
        <v>0.28902699999999998</v>
      </c>
      <c r="I59" s="7">
        <v>0.10198699999999999</v>
      </c>
      <c r="J59" s="7">
        <v>7.825E-2</v>
      </c>
    </row>
    <row r="60" spans="1:10" ht="32.1">
      <c r="A60" s="48">
        <v>59</v>
      </c>
      <c r="B60" s="6" t="s">
        <v>110</v>
      </c>
      <c r="C60" s="7" t="s">
        <v>75</v>
      </c>
      <c r="D60" s="7" t="s">
        <v>46</v>
      </c>
      <c r="E60" s="7" t="s">
        <v>98</v>
      </c>
      <c r="F60" s="6" t="s">
        <v>99</v>
      </c>
      <c r="G60" s="7">
        <v>0.44530500000000001</v>
      </c>
      <c r="H60" s="7">
        <v>0.29070800000000002</v>
      </c>
      <c r="I60" s="7">
        <v>0.10198699999999999</v>
      </c>
      <c r="J60" s="7">
        <v>5.2609999999999997E-2</v>
      </c>
    </row>
    <row r="61" spans="1:10" ht="32.1">
      <c r="A61" s="48">
        <v>60</v>
      </c>
      <c r="B61" s="6" t="s">
        <v>110</v>
      </c>
      <c r="C61" s="7" t="s">
        <v>75</v>
      </c>
      <c r="D61" s="6" t="s">
        <v>111</v>
      </c>
      <c r="E61" s="7" t="s">
        <v>98</v>
      </c>
      <c r="F61" s="6" t="s">
        <v>99</v>
      </c>
      <c r="G61" s="7">
        <v>0.37559100000000001</v>
      </c>
      <c r="H61" s="7">
        <v>0.27157199999999998</v>
      </c>
      <c r="I61" s="7">
        <v>0.100878</v>
      </c>
      <c r="J61" s="7">
        <v>3.1410000000000001E-3</v>
      </c>
    </row>
    <row r="62" spans="1:10" ht="48">
      <c r="A62" s="48">
        <v>61</v>
      </c>
      <c r="B62" s="6" t="s">
        <v>110</v>
      </c>
      <c r="C62" s="7" t="s">
        <v>75</v>
      </c>
      <c r="D62" s="6" t="s">
        <v>112</v>
      </c>
      <c r="E62" s="7" t="s">
        <v>98</v>
      </c>
      <c r="F62" s="6" t="s">
        <v>99</v>
      </c>
      <c r="G62" s="7">
        <v>0.422315</v>
      </c>
      <c r="H62" s="7">
        <v>0.31795699999999999</v>
      </c>
      <c r="I62" s="7">
        <v>0.10133399999999999</v>
      </c>
      <c r="J62" s="7">
        <v>3.0230000000000001E-3</v>
      </c>
    </row>
    <row r="63" spans="1:10" ht="48">
      <c r="A63" s="48">
        <v>62</v>
      </c>
      <c r="B63" s="6" t="s">
        <v>110</v>
      </c>
      <c r="C63" s="7" t="s">
        <v>75</v>
      </c>
      <c r="D63" s="6" t="s">
        <v>113</v>
      </c>
      <c r="E63" s="7" t="s">
        <v>98</v>
      </c>
      <c r="F63" s="6" t="s">
        <v>99</v>
      </c>
      <c r="G63" s="7">
        <v>0.26783000000000001</v>
      </c>
      <c r="H63" s="7">
        <v>0.16390399999999999</v>
      </c>
      <c r="I63" s="7">
        <v>0.100878</v>
      </c>
      <c r="J63" s="7">
        <v>3.0479999999999999E-3</v>
      </c>
    </row>
    <row r="64" spans="1:10" ht="63.95">
      <c r="A64" s="48">
        <v>63</v>
      </c>
      <c r="B64" s="6" t="s">
        <v>110</v>
      </c>
      <c r="C64" s="7" t="s">
        <v>75</v>
      </c>
      <c r="D64" s="6" t="s">
        <v>114</v>
      </c>
      <c r="E64" s="7" t="s">
        <v>98</v>
      </c>
      <c r="F64" s="6" t="s">
        <v>99</v>
      </c>
      <c r="G64" s="7">
        <v>1.5373619999999999</v>
      </c>
      <c r="H64" s="7">
        <v>1.433359</v>
      </c>
      <c r="I64" s="7">
        <v>0.100878</v>
      </c>
      <c r="J64" s="7">
        <v>3.1250000000000002E-3</v>
      </c>
    </row>
    <row r="65" spans="1:10" ht="32.1">
      <c r="A65" s="48">
        <v>64</v>
      </c>
      <c r="B65" s="6" t="s">
        <v>115</v>
      </c>
      <c r="C65" s="7" t="s">
        <v>80</v>
      </c>
      <c r="D65" s="7" t="s">
        <v>71</v>
      </c>
      <c r="E65" s="7" t="s">
        <v>98</v>
      </c>
      <c r="F65" s="6" t="s">
        <v>99</v>
      </c>
      <c r="G65" s="7">
        <v>5.6848479999999997</v>
      </c>
      <c r="H65" s="7">
        <v>4.5770249999999999</v>
      </c>
      <c r="I65" s="7">
        <v>1.020249</v>
      </c>
      <c r="J65" s="7">
        <v>8.7573999999999999E-2</v>
      </c>
    </row>
    <row r="66" spans="1:10" ht="32.1">
      <c r="A66" s="48">
        <v>65</v>
      </c>
      <c r="B66" s="6" t="s">
        <v>115</v>
      </c>
      <c r="C66" s="7" t="s">
        <v>81</v>
      </c>
      <c r="D66" s="7" t="s">
        <v>82</v>
      </c>
      <c r="E66" s="7" t="s">
        <v>98</v>
      </c>
      <c r="F66" s="6" t="s">
        <v>99</v>
      </c>
      <c r="G66" s="7">
        <v>13.573370000000001</v>
      </c>
      <c r="H66" s="7">
        <v>1.6381209999999999</v>
      </c>
      <c r="I66" s="7">
        <v>0.120767</v>
      </c>
      <c r="J66" s="7">
        <v>11.81448</v>
      </c>
    </row>
    <row r="67" spans="1:10" ht="32.1">
      <c r="A67" s="48">
        <v>66</v>
      </c>
      <c r="B67" s="6" t="s">
        <v>115</v>
      </c>
      <c r="C67" s="7" t="s">
        <v>83</v>
      </c>
      <c r="D67" s="7" t="s">
        <v>82</v>
      </c>
      <c r="E67" s="7" t="s">
        <v>98</v>
      </c>
      <c r="F67" s="6" t="s">
        <v>99</v>
      </c>
      <c r="G67" s="7">
        <v>2.2942670000000001</v>
      </c>
      <c r="H67" s="7">
        <v>1.715716</v>
      </c>
      <c r="I67" s="7">
        <v>0.15206900000000001</v>
      </c>
      <c r="J67" s="7">
        <v>0.42648200000000003</v>
      </c>
    </row>
    <row r="68" spans="1:10" ht="32.1">
      <c r="A68" s="48">
        <v>67</v>
      </c>
      <c r="B68" s="6" t="s">
        <v>115</v>
      </c>
      <c r="C68" s="7" t="s">
        <v>83</v>
      </c>
      <c r="D68" s="7" t="s">
        <v>84</v>
      </c>
      <c r="E68" s="7" t="s">
        <v>98</v>
      </c>
      <c r="F68" s="6" t="s">
        <v>99</v>
      </c>
      <c r="G68" s="7">
        <v>2.2537600000000002</v>
      </c>
      <c r="H68" s="7">
        <v>1.6983520000000001</v>
      </c>
      <c r="I68" s="7">
        <v>0.46017599999999997</v>
      </c>
      <c r="J68" s="7">
        <v>9.5232999999999998E-2</v>
      </c>
    </row>
    <row r="69" spans="1:10" ht="32.1">
      <c r="A69" s="48">
        <v>68</v>
      </c>
      <c r="B69" s="6" t="s">
        <v>115</v>
      </c>
      <c r="C69" s="7" t="s">
        <v>85</v>
      </c>
      <c r="D69" s="7" t="s">
        <v>82</v>
      </c>
      <c r="E69" s="7" t="s">
        <v>98</v>
      </c>
      <c r="F69" s="6" t="s">
        <v>99</v>
      </c>
      <c r="G69" s="7">
        <v>4.6855409999999997</v>
      </c>
      <c r="H69" s="7">
        <v>3.8360919999999998</v>
      </c>
      <c r="I69" s="7">
        <v>0.44528499999999999</v>
      </c>
      <c r="J69" s="7">
        <v>0.40416299999999999</v>
      </c>
    </row>
    <row r="70" spans="1:10" ht="32.1">
      <c r="A70" s="48">
        <v>69</v>
      </c>
      <c r="B70" s="6" t="s">
        <v>115</v>
      </c>
      <c r="C70" s="7" t="s">
        <v>85</v>
      </c>
      <c r="D70" s="7" t="s">
        <v>62</v>
      </c>
      <c r="E70" s="7" t="s">
        <v>98</v>
      </c>
      <c r="F70" s="6" t="s">
        <v>99</v>
      </c>
      <c r="G70" s="7">
        <v>5.5576040000000004</v>
      </c>
      <c r="H70" s="7">
        <v>3.8948079999999998</v>
      </c>
      <c r="I70" s="7">
        <v>1.5669139999999999</v>
      </c>
      <c r="J70" s="7">
        <v>9.5881999999999995E-2</v>
      </c>
    </row>
    <row r="71" spans="1:10" ht="32.1">
      <c r="A71" s="48">
        <v>70</v>
      </c>
      <c r="B71" s="6" t="s">
        <v>115</v>
      </c>
      <c r="C71" s="7" t="s">
        <v>85</v>
      </c>
      <c r="D71" s="7" t="s">
        <v>86</v>
      </c>
      <c r="E71" s="7" t="s">
        <v>98</v>
      </c>
      <c r="F71" s="6" t="s">
        <v>99</v>
      </c>
      <c r="G71" s="7">
        <v>5.1716309999999996</v>
      </c>
      <c r="H71" s="7">
        <v>3.8948079999999998</v>
      </c>
      <c r="I71" s="7">
        <v>1.0966009999999999</v>
      </c>
      <c r="J71" s="7">
        <v>0.18022199999999999</v>
      </c>
    </row>
    <row r="72" spans="1:10" ht="32.1">
      <c r="A72" s="48">
        <v>71</v>
      </c>
      <c r="B72" s="6" t="s">
        <v>115</v>
      </c>
      <c r="C72" s="7" t="s">
        <v>87</v>
      </c>
      <c r="D72" s="7" t="s">
        <v>50</v>
      </c>
      <c r="E72" s="7" t="s">
        <v>98</v>
      </c>
      <c r="F72" s="6" t="s">
        <v>99</v>
      </c>
      <c r="G72" s="7">
        <v>3.7301799999999998</v>
      </c>
      <c r="H72" s="7">
        <v>2.9317169999999999</v>
      </c>
      <c r="I72" s="7">
        <v>0.79142299999999999</v>
      </c>
      <c r="J72" s="7">
        <v>7.0400000000000003E-3</v>
      </c>
    </row>
    <row r="73" spans="1:10" ht="32.1">
      <c r="A73" s="48">
        <v>72</v>
      </c>
      <c r="B73" s="6" t="s">
        <v>115</v>
      </c>
      <c r="C73" s="7" t="s">
        <v>88</v>
      </c>
      <c r="D73" s="7" t="s">
        <v>50</v>
      </c>
      <c r="E73" s="7" t="s">
        <v>98</v>
      </c>
      <c r="F73" s="6" t="s">
        <v>99</v>
      </c>
      <c r="G73" s="7">
        <v>4.2627540000000002</v>
      </c>
      <c r="H73" s="7">
        <v>3.348328</v>
      </c>
      <c r="I73" s="7">
        <v>0.89125399999999999</v>
      </c>
      <c r="J73" s="7">
        <v>2.3171000000000001E-2</v>
      </c>
    </row>
    <row r="74" spans="1:10" ht="48">
      <c r="A74" s="48">
        <v>73</v>
      </c>
      <c r="B74" s="6" t="s">
        <v>116</v>
      </c>
      <c r="C74" s="7" t="s">
        <v>89</v>
      </c>
      <c r="D74" s="7" t="s">
        <v>71</v>
      </c>
      <c r="E74" s="7" t="s">
        <v>98</v>
      </c>
      <c r="F74" s="6" t="s">
        <v>99</v>
      </c>
      <c r="G74" s="7">
        <v>5.8283054500000002</v>
      </c>
      <c r="H74" s="7">
        <v>4.6900983800000002</v>
      </c>
      <c r="I74" s="7">
        <v>1.0417997999999999</v>
      </c>
      <c r="J74" s="7">
        <v>9.6407270000000003E-2</v>
      </c>
    </row>
    <row r="75" spans="1:10" ht="48">
      <c r="A75" s="48">
        <v>74</v>
      </c>
      <c r="B75" s="6" t="s">
        <v>116</v>
      </c>
      <c r="C75" s="7" t="s">
        <v>89</v>
      </c>
      <c r="D75" s="7" t="s">
        <v>41</v>
      </c>
      <c r="E75" s="7" t="s">
        <v>98</v>
      </c>
      <c r="F75" s="6" t="s">
        <v>99</v>
      </c>
      <c r="G75" s="7">
        <v>5.9016710200000002</v>
      </c>
      <c r="H75" s="7">
        <v>4.7533466300000002</v>
      </c>
      <c r="I75" s="7">
        <v>1.0619243</v>
      </c>
      <c r="J75" s="7">
        <v>8.6400099999999994E-2</v>
      </c>
    </row>
    <row r="76" spans="1:10" ht="48">
      <c r="A76" s="48">
        <v>75</v>
      </c>
      <c r="B76" s="6" t="s">
        <v>116</v>
      </c>
      <c r="C76" s="7" t="s">
        <v>89</v>
      </c>
      <c r="D76" s="7" t="s">
        <v>46</v>
      </c>
      <c r="E76" s="7" t="s">
        <v>98</v>
      </c>
      <c r="F76" s="6" t="s">
        <v>99</v>
      </c>
      <c r="G76" s="7">
        <v>6.48815366</v>
      </c>
      <c r="H76" s="7">
        <v>5.2182964500000004</v>
      </c>
      <c r="I76" s="7">
        <v>1.2098633000000001</v>
      </c>
      <c r="J76" s="7">
        <v>5.9993900000000003E-2</v>
      </c>
    </row>
    <row r="77" spans="1:10" ht="48">
      <c r="A77" s="48">
        <v>76</v>
      </c>
      <c r="B77" s="6" t="s">
        <v>116</v>
      </c>
      <c r="C77" s="7" t="s">
        <v>89</v>
      </c>
      <c r="D77" s="7" t="s">
        <v>62</v>
      </c>
      <c r="E77" s="7" t="s">
        <v>98</v>
      </c>
      <c r="F77" s="6" t="s">
        <v>99</v>
      </c>
      <c r="G77" s="7">
        <v>7.2232415200000002</v>
      </c>
      <c r="H77" s="7">
        <v>5.8551775900000003</v>
      </c>
      <c r="I77" s="7">
        <v>1.2781811999999999</v>
      </c>
      <c r="J77" s="7">
        <v>8.9882740000000003E-2</v>
      </c>
    </row>
    <row r="78" spans="1:10" ht="48">
      <c r="A78" s="48">
        <v>77</v>
      </c>
      <c r="B78" s="6" t="s">
        <v>116</v>
      </c>
      <c r="C78" s="7" t="s">
        <v>89</v>
      </c>
      <c r="D78" s="7" t="s">
        <v>50</v>
      </c>
      <c r="E78" s="7" t="s">
        <v>98</v>
      </c>
      <c r="F78" s="6" t="s">
        <v>99</v>
      </c>
      <c r="G78" s="7">
        <v>5.1386244200000002</v>
      </c>
      <c r="H78" s="7">
        <v>4.5079172600000001</v>
      </c>
      <c r="I78" s="7">
        <v>0.61092601000000002</v>
      </c>
      <c r="J78" s="7">
        <v>1.9781150000000001E-2</v>
      </c>
    </row>
    <row r="79" spans="1:10" ht="48">
      <c r="A79" s="48">
        <v>78</v>
      </c>
      <c r="B79" s="6" t="s">
        <v>116</v>
      </c>
      <c r="C79" s="7" t="s">
        <v>90</v>
      </c>
      <c r="D79" s="7" t="s">
        <v>46</v>
      </c>
      <c r="E79" s="7" t="s">
        <v>98</v>
      </c>
      <c r="F79" s="6" t="s">
        <v>99</v>
      </c>
      <c r="G79" s="7">
        <v>4.8643129299999996</v>
      </c>
      <c r="H79" s="7">
        <v>3.28595477</v>
      </c>
      <c r="I79" s="7">
        <v>1.3523988899999999</v>
      </c>
      <c r="J79" s="7">
        <v>0.22595926999999999</v>
      </c>
    </row>
    <row r="80" spans="1:10" ht="48">
      <c r="A80" s="48">
        <v>79</v>
      </c>
      <c r="B80" s="6" t="s">
        <v>116</v>
      </c>
      <c r="C80" s="7" t="s">
        <v>90</v>
      </c>
      <c r="D80" s="7" t="s">
        <v>52</v>
      </c>
      <c r="E80" s="7" t="s">
        <v>98</v>
      </c>
      <c r="F80" s="6" t="s">
        <v>99</v>
      </c>
      <c r="G80" s="7">
        <v>4.9684077899999997</v>
      </c>
      <c r="H80" s="7">
        <v>3.28595477</v>
      </c>
      <c r="I80" s="7">
        <v>1.3196891399999999</v>
      </c>
      <c r="J80" s="7">
        <v>0.36276388999999998</v>
      </c>
    </row>
    <row r="81" spans="1:10" ht="48">
      <c r="A81" s="48">
        <v>80</v>
      </c>
      <c r="B81" s="6" t="s">
        <v>116</v>
      </c>
      <c r="C81" s="7" t="s">
        <v>90</v>
      </c>
      <c r="D81" s="7" t="s">
        <v>66</v>
      </c>
      <c r="E81" s="7" t="s">
        <v>98</v>
      </c>
      <c r="F81" s="6" t="s">
        <v>99</v>
      </c>
      <c r="G81" s="7">
        <v>5.0447311099999999</v>
      </c>
      <c r="H81" s="7">
        <v>3.28595477</v>
      </c>
      <c r="I81" s="7">
        <v>1.3988526800000001</v>
      </c>
      <c r="J81" s="7">
        <v>0.35992365999999998</v>
      </c>
    </row>
    <row r="82" spans="1:10" ht="48">
      <c r="A82" s="48">
        <v>81</v>
      </c>
      <c r="B82" s="6" t="s">
        <v>116</v>
      </c>
      <c r="C82" s="7" t="s">
        <v>91</v>
      </c>
      <c r="D82" s="7" t="s">
        <v>46</v>
      </c>
      <c r="E82" s="7" t="s">
        <v>98</v>
      </c>
      <c r="F82" s="6" t="s">
        <v>99</v>
      </c>
      <c r="G82" s="7">
        <v>4.7981276199999998</v>
      </c>
      <c r="H82" s="7">
        <v>3.28595477</v>
      </c>
      <c r="I82" s="7">
        <v>1.32956783</v>
      </c>
      <c r="J82" s="7">
        <v>0.18260503</v>
      </c>
    </row>
    <row r="83" spans="1:10" ht="48">
      <c r="A83" s="48">
        <v>82</v>
      </c>
      <c r="B83" s="6" t="s">
        <v>116</v>
      </c>
      <c r="C83" s="7" t="s">
        <v>91</v>
      </c>
      <c r="D83" s="7" t="s">
        <v>52</v>
      </c>
      <c r="E83" s="7" t="s">
        <v>98</v>
      </c>
      <c r="F83" s="6" t="s">
        <v>99</v>
      </c>
      <c r="G83" s="7">
        <v>4.8447730199999999</v>
      </c>
      <c r="H83" s="7">
        <v>3.28595477</v>
      </c>
      <c r="I83" s="7">
        <v>1.2968580700000001</v>
      </c>
      <c r="J83" s="7">
        <v>0.26196017999999999</v>
      </c>
    </row>
    <row r="84" spans="1:10" ht="48">
      <c r="A84" s="48">
        <v>83</v>
      </c>
      <c r="B84" s="6" t="s">
        <v>116</v>
      </c>
      <c r="C84" s="7" t="s">
        <v>91</v>
      </c>
      <c r="D84" s="7" t="s">
        <v>66</v>
      </c>
      <c r="E84" s="7" t="s">
        <v>98</v>
      </c>
      <c r="F84" s="6" t="s">
        <v>99</v>
      </c>
      <c r="G84" s="7">
        <v>4.9222890499999998</v>
      </c>
      <c r="H84" s="7">
        <v>3.28595477</v>
      </c>
      <c r="I84" s="7">
        <v>1.3760216199999999</v>
      </c>
      <c r="J84" s="7">
        <v>0.26031267000000002</v>
      </c>
    </row>
    <row r="85" spans="1:10" ht="48">
      <c r="A85" s="48">
        <v>84</v>
      </c>
      <c r="B85" s="6" t="s">
        <v>116</v>
      </c>
      <c r="C85" s="7" t="s">
        <v>92</v>
      </c>
      <c r="D85" s="7" t="s">
        <v>41</v>
      </c>
      <c r="E85" s="7" t="s">
        <v>98</v>
      </c>
      <c r="F85" s="6" t="s">
        <v>99</v>
      </c>
      <c r="G85" s="7">
        <v>4.76347232</v>
      </c>
      <c r="H85" s="7">
        <v>4.6062284599999996</v>
      </c>
      <c r="I85" s="7">
        <v>6.4783439999999998E-2</v>
      </c>
      <c r="J85" s="7">
        <v>9.2460420000000001E-2</v>
      </c>
    </row>
    <row r="86" spans="1:10" ht="48">
      <c r="A86" s="48">
        <v>85</v>
      </c>
      <c r="B86" s="6" t="s">
        <v>116</v>
      </c>
      <c r="C86" s="7" t="s">
        <v>92</v>
      </c>
      <c r="D86" s="7" t="s">
        <v>46</v>
      </c>
      <c r="E86" s="7" t="s">
        <v>98</v>
      </c>
      <c r="F86" s="6" t="s">
        <v>99</v>
      </c>
      <c r="G86" s="7">
        <v>4.7386509700000001</v>
      </c>
      <c r="H86" s="7">
        <v>4.6062284599999996</v>
      </c>
      <c r="I86" s="7">
        <v>6.4783439999999998E-2</v>
      </c>
      <c r="J86" s="7">
        <v>6.7639069999999996E-2</v>
      </c>
    </row>
    <row r="87" spans="1:10" ht="48">
      <c r="A87" s="48">
        <v>86</v>
      </c>
      <c r="B87" s="6" t="s">
        <v>116</v>
      </c>
      <c r="C87" s="7" t="s">
        <v>92</v>
      </c>
      <c r="D87" s="7" t="s">
        <v>62</v>
      </c>
      <c r="E87" s="7" t="s">
        <v>98</v>
      </c>
      <c r="F87" s="6" t="s">
        <v>99</v>
      </c>
      <c r="G87" s="7">
        <v>4.9005926200000003</v>
      </c>
      <c r="H87" s="7">
        <v>4.7717385700000001</v>
      </c>
      <c r="I87" s="7">
        <v>3.7696470000000003E-2</v>
      </c>
      <c r="J87" s="7">
        <v>9.1157580000000002E-2</v>
      </c>
    </row>
    <row r="88" spans="1:10" ht="48">
      <c r="A88" s="48">
        <v>87</v>
      </c>
      <c r="B88" s="6" t="s">
        <v>116</v>
      </c>
      <c r="C88" s="7" t="s">
        <v>93</v>
      </c>
      <c r="D88" s="7" t="s">
        <v>41</v>
      </c>
      <c r="E88" s="7" t="s">
        <v>98</v>
      </c>
      <c r="F88" s="6" t="s">
        <v>99</v>
      </c>
      <c r="G88" s="7">
        <v>4.9424914800000002</v>
      </c>
      <c r="H88" s="7">
        <v>4.6062284599999996</v>
      </c>
      <c r="I88" s="7">
        <v>0.24492955</v>
      </c>
      <c r="J88" s="7">
        <v>9.1333460000000005E-2</v>
      </c>
    </row>
    <row r="89" spans="1:10" ht="48">
      <c r="A89" s="48">
        <v>88</v>
      </c>
      <c r="B89" s="6" t="s">
        <v>116</v>
      </c>
      <c r="C89" s="7" t="s">
        <v>93</v>
      </c>
      <c r="D89" s="7" t="s">
        <v>46</v>
      </c>
      <c r="E89" s="7" t="s">
        <v>98</v>
      </c>
      <c r="F89" s="6" t="s">
        <v>99</v>
      </c>
      <c r="G89" s="7">
        <v>4.9143997800000001</v>
      </c>
      <c r="H89" s="7">
        <v>4.6062284599999996</v>
      </c>
      <c r="I89" s="7">
        <v>0.24492955</v>
      </c>
      <c r="J89" s="7">
        <v>6.3241770000000003E-2</v>
      </c>
    </row>
    <row r="90" spans="1:10" ht="48">
      <c r="A90" s="48">
        <v>89</v>
      </c>
      <c r="B90" s="6" t="s">
        <v>116</v>
      </c>
      <c r="C90" s="7" t="s">
        <v>93</v>
      </c>
      <c r="D90" s="7" t="s">
        <v>62</v>
      </c>
      <c r="E90" s="7" t="s">
        <v>98</v>
      </c>
      <c r="F90" s="6" t="s">
        <v>99</v>
      </c>
      <c r="G90" s="7">
        <v>5.0733858400000003</v>
      </c>
      <c r="H90" s="7">
        <v>4.7717385700000001</v>
      </c>
      <c r="I90" s="7">
        <v>0.21048969000000001</v>
      </c>
      <c r="J90" s="7">
        <v>9.1157580000000002E-2</v>
      </c>
    </row>
    <row r="91" spans="1:10">
      <c r="B91" s="3"/>
    </row>
    <row r="92" spans="1:10">
      <c r="B92" s="3"/>
    </row>
    <row r="93" spans="1:10">
      <c r="B93" s="3"/>
    </row>
    <row r="94" spans="1:10">
      <c r="B94" s="3"/>
    </row>
    <row r="95" spans="1:10">
      <c r="B95" s="3"/>
    </row>
    <row r="96" spans="1:10">
      <c r="B96" s="3"/>
    </row>
    <row r="97" spans="2:2">
      <c r="B97" s="3"/>
    </row>
    <row r="98" spans="2:2">
      <c r="B98" s="3"/>
    </row>
    <row r="99" spans="2:2">
      <c r="B99" s="3"/>
    </row>
  </sheetData>
  <sortState xmlns:xlrd2="http://schemas.microsoft.com/office/spreadsheetml/2017/richdata2" ref="A2:J90">
    <sortCondition ref="A2:A90"/>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36CA4-69D9-4E02-B6DE-9BBF053249CA}">
  <dimension ref="A1:H34"/>
  <sheetViews>
    <sheetView zoomScale="85" zoomScaleNormal="85" workbookViewId="0">
      <selection activeCell="A2" sqref="A2:F14"/>
    </sheetView>
  </sheetViews>
  <sheetFormatPr defaultColWidth="8.85546875" defaultRowHeight="15"/>
  <cols>
    <col min="1" max="1" width="22.7109375" style="4" bestFit="1" customWidth="1"/>
    <col min="2" max="2" width="17.28515625" style="4" bestFit="1" customWidth="1"/>
    <col min="3" max="3" width="14" style="4" bestFit="1" customWidth="1"/>
    <col min="4" max="4" width="13.28515625" style="4" bestFit="1" customWidth="1"/>
    <col min="5" max="5" width="23.28515625" style="4" bestFit="1" customWidth="1"/>
    <col min="6" max="6" width="15.140625" style="4" bestFit="1" customWidth="1"/>
    <col min="7" max="7" width="25.28515625" style="4" customWidth="1"/>
    <col min="8" max="8" width="10" bestFit="1" customWidth="1"/>
    <col min="9" max="9" width="13.7109375" bestFit="1" customWidth="1"/>
    <col min="13" max="13" width="12.7109375" customWidth="1"/>
    <col min="14" max="14" width="37" customWidth="1"/>
  </cols>
  <sheetData>
    <row r="1" spans="1:8" ht="27" customHeight="1">
      <c r="A1" s="47" t="s">
        <v>117</v>
      </c>
      <c r="B1" s="47" t="s">
        <v>34</v>
      </c>
      <c r="C1" s="47" t="s">
        <v>35</v>
      </c>
      <c r="D1" s="47" t="s">
        <v>94</v>
      </c>
      <c r="E1" s="47" t="s">
        <v>95</v>
      </c>
      <c r="F1" s="10" t="s">
        <v>118</v>
      </c>
      <c r="G1" s="2"/>
      <c r="H1" s="2"/>
    </row>
    <row r="2" spans="1:8" ht="15.95">
      <c r="A2" s="6" t="s">
        <v>20</v>
      </c>
      <c r="B2" s="7" t="s">
        <v>119</v>
      </c>
      <c r="C2" s="7" t="s">
        <v>119</v>
      </c>
      <c r="D2" s="7" t="s">
        <v>98</v>
      </c>
      <c r="E2" s="6" t="s">
        <v>99</v>
      </c>
      <c r="F2" s="7">
        <v>24.41</v>
      </c>
      <c r="G2"/>
    </row>
    <row r="3" spans="1:8" ht="15.95">
      <c r="A3" s="6" t="s">
        <v>21</v>
      </c>
      <c r="B3" s="7" t="s">
        <v>119</v>
      </c>
      <c r="C3" s="7" t="s">
        <v>119</v>
      </c>
      <c r="D3" s="7" t="s">
        <v>98</v>
      </c>
      <c r="E3" s="6" t="s">
        <v>99</v>
      </c>
      <c r="F3" s="7">
        <v>16.47</v>
      </c>
      <c r="G3"/>
    </row>
    <row r="4" spans="1:8" ht="15.95">
      <c r="A4" s="6" t="s">
        <v>22</v>
      </c>
      <c r="B4" s="7" t="s">
        <v>119</v>
      </c>
      <c r="C4" s="7" t="s">
        <v>119</v>
      </c>
      <c r="D4" s="7" t="s">
        <v>98</v>
      </c>
      <c r="E4" s="6" t="s">
        <v>99</v>
      </c>
      <c r="F4" s="7">
        <v>12.77</v>
      </c>
      <c r="G4"/>
    </row>
    <row r="5" spans="1:8" ht="15.95">
      <c r="A5" s="6" t="s">
        <v>23</v>
      </c>
      <c r="B5" s="7" t="s">
        <v>119</v>
      </c>
      <c r="C5" s="7" t="s">
        <v>119</v>
      </c>
      <c r="D5" s="7" t="s">
        <v>98</v>
      </c>
      <c r="E5" s="6" t="s">
        <v>99</v>
      </c>
      <c r="F5" s="7">
        <v>3.54</v>
      </c>
      <c r="G5"/>
    </row>
    <row r="6" spans="1:8" ht="15.95">
      <c r="A6" s="6" t="s">
        <v>24</v>
      </c>
      <c r="B6" s="7" t="s">
        <v>119</v>
      </c>
      <c r="C6" s="7" t="s">
        <v>119</v>
      </c>
      <c r="D6" s="7" t="s">
        <v>98</v>
      </c>
      <c r="E6" s="6" t="s">
        <v>99</v>
      </c>
      <c r="F6" s="7">
        <v>4.21</v>
      </c>
      <c r="G6"/>
    </row>
    <row r="7" spans="1:8" ht="15.95">
      <c r="A7" s="6" t="s">
        <v>25</v>
      </c>
      <c r="B7" s="7" t="s">
        <v>119</v>
      </c>
      <c r="C7" s="7" t="s">
        <v>119</v>
      </c>
      <c r="D7" s="7" t="s">
        <v>98</v>
      </c>
      <c r="E7" s="6" t="s">
        <v>99</v>
      </c>
      <c r="F7" s="7">
        <v>3.08</v>
      </c>
      <c r="G7"/>
    </row>
    <row r="8" spans="1:8" ht="15.95">
      <c r="A8" s="6" t="s">
        <v>26</v>
      </c>
      <c r="B8" s="7" t="s">
        <v>119</v>
      </c>
      <c r="C8" s="7" t="s">
        <v>119</v>
      </c>
      <c r="D8" s="7" t="s">
        <v>98</v>
      </c>
      <c r="E8" s="6" t="s">
        <v>99</v>
      </c>
      <c r="F8" s="7">
        <v>6.28</v>
      </c>
      <c r="G8"/>
    </row>
    <row r="9" spans="1:8" ht="32.1">
      <c r="A9" s="6" t="s">
        <v>120</v>
      </c>
      <c r="B9" s="7" t="s">
        <v>119</v>
      </c>
      <c r="C9" s="7" t="s">
        <v>119</v>
      </c>
      <c r="D9" s="7" t="s">
        <v>98</v>
      </c>
      <c r="E9" s="6" t="s">
        <v>99</v>
      </c>
      <c r="F9" s="7">
        <v>5.72</v>
      </c>
      <c r="G9"/>
    </row>
    <row r="10" spans="1:8" ht="15.95">
      <c r="A10" s="6" t="s">
        <v>28</v>
      </c>
      <c r="B10" s="7" t="s">
        <v>119</v>
      </c>
      <c r="C10" s="7" t="s">
        <v>119</v>
      </c>
      <c r="D10" s="7" t="s">
        <v>98</v>
      </c>
      <c r="E10" s="6" t="s">
        <v>99</v>
      </c>
      <c r="F10" s="7">
        <v>0.42</v>
      </c>
      <c r="G10"/>
    </row>
    <row r="11" spans="1:8" ht="32.1">
      <c r="A11" s="6" t="s">
        <v>121</v>
      </c>
      <c r="B11" s="7" t="s">
        <v>119</v>
      </c>
      <c r="C11" s="7" t="s">
        <v>119</v>
      </c>
      <c r="D11" s="7" t="s">
        <v>98</v>
      </c>
      <c r="E11" s="6" t="s">
        <v>99</v>
      </c>
      <c r="F11" s="7">
        <v>0.4</v>
      </c>
      <c r="G11" s="12"/>
    </row>
    <row r="12" spans="1:8" ht="32.1">
      <c r="A12" s="6" t="s">
        <v>122</v>
      </c>
      <c r="B12" s="7" t="s">
        <v>119</v>
      </c>
      <c r="C12" s="7" t="s">
        <v>119</v>
      </c>
      <c r="D12" s="7" t="s">
        <v>98</v>
      </c>
      <c r="E12" s="6" t="s">
        <v>99</v>
      </c>
      <c r="F12" s="7">
        <v>0.82</v>
      </c>
      <c r="G12" s="11"/>
    </row>
    <row r="13" spans="1:8" ht="15.95">
      <c r="A13" s="6" t="s">
        <v>31</v>
      </c>
      <c r="B13" s="7" t="s">
        <v>119</v>
      </c>
      <c r="C13" s="7" t="s">
        <v>119</v>
      </c>
      <c r="D13" s="7" t="s">
        <v>98</v>
      </c>
      <c r="E13" s="6" t="s">
        <v>99</v>
      </c>
      <c r="F13" s="7">
        <v>2.57</v>
      </c>
      <c r="G13"/>
    </row>
    <row r="14" spans="1:8" ht="15.95">
      <c r="A14" s="6" t="s">
        <v>32</v>
      </c>
      <c r="B14" s="7" t="s">
        <v>119</v>
      </c>
      <c r="C14" s="7" t="s">
        <v>119</v>
      </c>
      <c r="D14" s="7" t="s">
        <v>98</v>
      </c>
      <c r="E14" s="6" t="s">
        <v>99</v>
      </c>
      <c r="F14" s="7">
        <v>0.72</v>
      </c>
      <c r="G14"/>
    </row>
    <row r="20" spans="1:2" ht="63.95">
      <c r="A20"/>
      <c r="B20" s="46" t="s">
        <v>123</v>
      </c>
    </row>
    <row r="21" spans="1:2">
      <c r="A21" s="58" t="s">
        <v>124</v>
      </c>
      <c r="B21" s="7">
        <v>80</v>
      </c>
    </row>
    <row r="22" spans="1:2">
      <c r="A22" s="58" t="s">
        <v>28</v>
      </c>
      <c r="B22" s="7">
        <v>72</v>
      </c>
    </row>
    <row r="23" spans="1:2">
      <c r="A23" s="58" t="s">
        <v>31</v>
      </c>
      <c r="B23" s="7">
        <v>45</v>
      </c>
    </row>
    <row r="24" spans="1:2">
      <c r="A24" s="58" t="s">
        <v>32</v>
      </c>
      <c r="B24" s="7">
        <v>46</v>
      </c>
    </row>
    <row r="25" spans="1:2">
      <c r="A25" s="58" t="s">
        <v>23</v>
      </c>
      <c r="B25" s="7">
        <v>34</v>
      </c>
    </row>
    <row r="26" spans="1:2">
      <c r="A26" s="58" t="s">
        <v>22</v>
      </c>
      <c r="B26" s="7">
        <v>22</v>
      </c>
    </row>
    <row r="27" spans="1:2">
      <c r="A27" s="58" t="s">
        <v>25</v>
      </c>
      <c r="B27" s="7">
        <v>22</v>
      </c>
    </row>
    <row r="28" spans="1:2">
      <c r="A28" s="58" t="s">
        <v>125</v>
      </c>
      <c r="B28" s="7">
        <v>16</v>
      </c>
    </row>
    <row r="29" spans="1:2">
      <c r="A29" s="58" t="s">
        <v>26</v>
      </c>
      <c r="B29" s="7">
        <v>15</v>
      </c>
    </row>
    <row r="30" spans="1:2">
      <c r="A30" s="58" t="s">
        <v>27</v>
      </c>
      <c r="B30" s="7">
        <v>6</v>
      </c>
    </row>
    <row r="31" spans="1:2">
      <c r="A31" s="58" t="s">
        <v>20</v>
      </c>
      <c r="B31" s="7">
        <v>3</v>
      </c>
    </row>
    <row r="32" spans="1:2">
      <c r="A32" s="58" t="s">
        <v>24</v>
      </c>
      <c r="B32" s="7">
        <v>2</v>
      </c>
    </row>
    <row r="33" spans="1:2">
      <c r="A33" s="58" t="s">
        <v>21</v>
      </c>
      <c r="B33" s="7">
        <v>2</v>
      </c>
    </row>
    <row r="34" spans="1:2">
      <c r="A34"/>
      <c r="B3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75E49-B0EA-45E8-825F-2331FA3072BD}">
  <dimension ref="A1:F17"/>
  <sheetViews>
    <sheetView zoomScale="85" zoomScaleNormal="85" workbookViewId="0">
      <selection activeCell="C19" sqref="C19"/>
    </sheetView>
  </sheetViews>
  <sheetFormatPr defaultColWidth="8.85546875" defaultRowHeight="15"/>
  <cols>
    <col min="1" max="1" width="30.28515625" style="4" bestFit="1" customWidth="1"/>
    <col min="2" max="2" width="40" style="4" customWidth="1"/>
    <col min="3" max="3" width="40" customWidth="1"/>
  </cols>
  <sheetData>
    <row r="1" spans="1:6" ht="32.1">
      <c r="B1" s="46" t="s">
        <v>123</v>
      </c>
      <c r="C1" s="45" t="s">
        <v>126</v>
      </c>
      <c r="F1" s="1"/>
    </row>
    <row r="2" spans="1:6">
      <c r="A2" s="58" t="s">
        <v>124</v>
      </c>
      <c r="B2" s="7">
        <v>80</v>
      </c>
      <c r="C2" s="13">
        <f>B2/$B$15</f>
        <v>0.21917808219178081</v>
      </c>
    </row>
    <row r="3" spans="1:6">
      <c r="A3" s="58" t="s">
        <v>28</v>
      </c>
      <c r="B3" s="7">
        <v>72</v>
      </c>
      <c r="C3" s="13">
        <f t="shared" ref="C3:C14" si="0">B3/$B$15</f>
        <v>0.19726027397260273</v>
      </c>
    </row>
    <row r="4" spans="1:6">
      <c r="A4" s="58" t="s">
        <v>31</v>
      </c>
      <c r="B4" s="7">
        <v>45</v>
      </c>
      <c r="C4" s="13">
        <f t="shared" si="0"/>
        <v>0.12328767123287671</v>
      </c>
    </row>
    <row r="5" spans="1:6">
      <c r="A5" s="58" t="s">
        <v>32</v>
      </c>
      <c r="B5" s="7">
        <v>46</v>
      </c>
      <c r="C5" s="13">
        <f t="shared" si="0"/>
        <v>0.12602739726027398</v>
      </c>
    </row>
    <row r="6" spans="1:6">
      <c r="A6" s="58" t="s">
        <v>23</v>
      </c>
      <c r="B6" s="7">
        <v>34</v>
      </c>
      <c r="C6" s="13">
        <f t="shared" si="0"/>
        <v>9.3150684931506855E-2</v>
      </c>
    </row>
    <row r="7" spans="1:6">
      <c r="A7" s="58" t="s">
        <v>22</v>
      </c>
      <c r="B7" s="7">
        <v>22</v>
      </c>
      <c r="C7" s="13">
        <f t="shared" si="0"/>
        <v>6.0273972602739728E-2</v>
      </c>
    </row>
    <row r="8" spans="1:6">
      <c r="A8" s="58" t="s">
        <v>25</v>
      </c>
      <c r="B8" s="7">
        <v>22</v>
      </c>
      <c r="C8" s="13">
        <f t="shared" si="0"/>
        <v>6.0273972602739728E-2</v>
      </c>
    </row>
    <row r="9" spans="1:6">
      <c r="A9" s="58" t="s">
        <v>125</v>
      </c>
      <c r="B9" s="7">
        <v>16</v>
      </c>
      <c r="C9" s="13">
        <f t="shared" si="0"/>
        <v>4.3835616438356165E-2</v>
      </c>
    </row>
    <row r="10" spans="1:6">
      <c r="A10" s="58" t="s">
        <v>26</v>
      </c>
      <c r="B10" s="7">
        <v>15</v>
      </c>
      <c r="C10" s="13">
        <f t="shared" si="0"/>
        <v>4.1095890410958902E-2</v>
      </c>
    </row>
    <row r="11" spans="1:6">
      <c r="A11" s="58" t="s">
        <v>27</v>
      </c>
      <c r="B11" s="7">
        <v>6</v>
      </c>
      <c r="C11" s="13">
        <f t="shared" si="0"/>
        <v>1.643835616438356E-2</v>
      </c>
    </row>
    <row r="12" spans="1:6">
      <c r="A12" s="58" t="s">
        <v>20</v>
      </c>
      <c r="B12" s="7">
        <v>3</v>
      </c>
      <c r="C12" s="13">
        <f t="shared" si="0"/>
        <v>8.21917808219178E-3</v>
      </c>
    </row>
    <row r="13" spans="1:6">
      <c r="A13" s="58" t="s">
        <v>24</v>
      </c>
      <c r="B13" s="7">
        <v>2</v>
      </c>
      <c r="C13" s="13">
        <f t="shared" si="0"/>
        <v>5.4794520547945206E-3</v>
      </c>
    </row>
    <row r="14" spans="1:6">
      <c r="A14" s="58" t="s">
        <v>21</v>
      </c>
      <c r="B14" s="7">
        <v>2</v>
      </c>
      <c r="C14" s="13">
        <f t="shared" si="0"/>
        <v>5.4794520547945206E-3</v>
      </c>
    </row>
    <row r="15" spans="1:6" ht="32.1">
      <c r="A15" s="44" t="s">
        <v>127</v>
      </c>
      <c r="B15" s="10">
        <f>SUM(B2:B14)</f>
        <v>365</v>
      </c>
    </row>
    <row r="16" spans="1:6">
      <c r="A16" s="40"/>
      <c r="B16" s="41"/>
    </row>
    <row r="17" spans="1:2">
      <c r="A17" s="42"/>
      <c r="B17" s="4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4A80E-4508-4C6E-91CB-4C867F077DD5}">
  <dimension ref="B1:L91"/>
  <sheetViews>
    <sheetView zoomScale="85" zoomScaleNormal="85" workbookViewId="0">
      <selection activeCell="D3" sqref="D3"/>
    </sheetView>
  </sheetViews>
  <sheetFormatPr defaultColWidth="8.7109375" defaultRowHeight="14.1"/>
  <cols>
    <col min="1" max="1" width="2.28515625" style="5" customWidth="1"/>
    <col min="2" max="2" width="28.85546875" style="5" customWidth="1"/>
    <col min="3" max="3" width="27.7109375" style="5" bestFit="1" customWidth="1"/>
    <col min="4" max="4" width="21" style="5" bestFit="1" customWidth="1"/>
    <col min="5" max="5" width="39" style="5" customWidth="1"/>
    <col min="6" max="6" width="30.7109375" style="5" customWidth="1"/>
    <col min="7" max="10" width="21.7109375" style="5" bestFit="1" customWidth="1"/>
    <col min="11" max="11" width="25.85546875" style="5" bestFit="1" customWidth="1"/>
    <col min="12" max="12" width="11" style="5" bestFit="1" customWidth="1"/>
    <col min="13" max="16384" width="8.7109375" style="5"/>
  </cols>
  <sheetData>
    <row r="1" spans="2:7">
      <c r="B1" s="22" t="s">
        <v>0</v>
      </c>
    </row>
    <row r="2" spans="2:7">
      <c r="B2" s="22"/>
      <c r="C2" s="5" t="s">
        <v>128</v>
      </c>
      <c r="D2" s="5" t="s">
        <v>129</v>
      </c>
    </row>
    <row r="3" spans="2:7" ht="30">
      <c r="B3" s="33" t="s">
        <v>1</v>
      </c>
      <c r="C3" s="130">
        <f>SUM(F28:F40)</f>
        <v>929.41751284347959</v>
      </c>
      <c r="D3" s="150">
        <v>929.41751284347959</v>
      </c>
    </row>
    <row r="4" spans="2:7" ht="15">
      <c r="B4" s="142" t="s">
        <v>130</v>
      </c>
      <c r="C4" s="130">
        <f>SUM(F28:F40)-SUM(F28:F35)*D22-F28*D21-SUM(F28:F35)*D20+SUM(C28:C35)*D20*SUM(D28:D35)*K89+C28*D21*D28*K90+SUM(C28:C35)*D22*SUM(D28:D35)*K91</f>
        <v>929.41751284347959</v>
      </c>
    </row>
    <row r="6" spans="2:7">
      <c r="B6" s="22" t="s">
        <v>3</v>
      </c>
      <c r="E6" s="31"/>
      <c r="F6" s="34"/>
      <c r="G6" s="28"/>
    </row>
    <row r="7" spans="2:7">
      <c r="B7" s="22"/>
      <c r="E7" s="31"/>
      <c r="F7" s="34"/>
      <c r="G7" s="28"/>
    </row>
    <row r="8" spans="2:7" ht="15">
      <c r="B8" s="33" t="s">
        <v>2</v>
      </c>
      <c r="C8" s="129">
        <v>365</v>
      </c>
      <c r="D8" s="32"/>
    </row>
    <row r="9" spans="2:7">
      <c r="B9" s="22"/>
      <c r="E9" s="31"/>
      <c r="F9" s="34"/>
      <c r="G9" s="28"/>
    </row>
    <row r="10" spans="2:7">
      <c r="B10" s="16" t="s">
        <v>4</v>
      </c>
      <c r="D10" s="133" t="s">
        <v>131</v>
      </c>
      <c r="E10" s="31"/>
      <c r="F10" s="34"/>
      <c r="G10" s="28"/>
    </row>
    <row r="11" spans="2:7">
      <c r="B11" s="23" t="s">
        <v>6</v>
      </c>
      <c r="C11" s="30">
        <f>SUM(C28:C35)</f>
        <v>0.29041095890410956</v>
      </c>
      <c r="D11" s="131">
        <v>0.25</v>
      </c>
      <c r="E11" s="31"/>
      <c r="F11" s="34"/>
      <c r="G11" s="28"/>
    </row>
    <row r="12" spans="2:7">
      <c r="B12" s="23" t="s">
        <v>7</v>
      </c>
      <c r="C12" s="30">
        <f>SUM(C39:C40)</f>
        <v>0.24931506849315069</v>
      </c>
      <c r="D12" s="131">
        <v>0.25</v>
      </c>
      <c r="E12" s="31"/>
      <c r="F12" s="34"/>
      <c r="G12" s="28"/>
    </row>
    <row r="13" spans="2:7">
      <c r="B13" s="23" t="s">
        <v>8</v>
      </c>
      <c r="C13" s="30">
        <f>SUM(C36:C38)</f>
        <v>0.46027397260273972</v>
      </c>
      <c r="D13" s="131">
        <v>0.5</v>
      </c>
      <c r="E13" s="31"/>
      <c r="F13" s="34"/>
      <c r="G13" s="28"/>
    </row>
    <row r="14" spans="2:7">
      <c r="E14" s="31"/>
      <c r="F14" s="34"/>
      <c r="G14" s="28"/>
    </row>
    <row r="15" spans="2:7">
      <c r="B15" s="16" t="s">
        <v>132</v>
      </c>
      <c r="D15" s="133" t="s">
        <v>131</v>
      </c>
      <c r="E15" s="31"/>
      <c r="F15" s="34"/>
      <c r="G15" s="28"/>
    </row>
    <row r="16" spans="2:7">
      <c r="B16" s="18" t="s">
        <v>133</v>
      </c>
      <c r="C16" s="87">
        <f>((F66*D33)+(F77*D38)+(F84*D37)+(F86*D34)+(F88*D35))/C8</f>
        <v>2.610958904109589E-2</v>
      </c>
      <c r="D16" s="132">
        <v>0.3</v>
      </c>
      <c r="E16" s="31"/>
      <c r="F16" s="34"/>
      <c r="G16" s="86"/>
    </row>
    <row r="17" spans="2:12">
      <c r="B17" s="18" t="s">
        <v>134</v>
      </c>
      <c r="C17" s="87">
        <f>(SUM(F45:F47)*D31+SUM(F48:F49)*D32+SUM(F50:F51)*D29+SUM(F52:F58)*D30+SUM(F59:F64)*D28+SUM(F65)*D33+SUM(F67:F75)*D36+SUM(F76)*D38+SUM(F78:F79)*D40+SUM(F80:F82)*D39+SUM(F83)*D37+SUM(F85)*D34+SUM(F87)*D35)/C8</f>
        <v>0.97389041095890405</v>
      </c>
      <c r="D17" s="132">
        <v>0.7</v>
      </c>
      <c r="E17" s="31"/>
      <c r="F17" s="34"/>
      <c r="G17" s="28"/>
    </row>
    <row r="18" spans="2:12">
      <c r="B18" s="39"/>
      <c r="C18" s="137"/>
      <c r="D18" s="138"/>
      <c r="E18" s="31"/>
      <c r="F18" s="34"/>
      <c r="G18" s="28"/>
    </row>
    <row r="19" spans="2:12">
      <c r="B19" s="22"/>
      <c r="C19" s="17" t="s">
        <v>135</v>
      </c>
      <c r="D19" s="17" t="s">
        <v>136</v>
      </c>
      <c r="E19" s="31"/>
      <c r="F19" s="34"/>
      <c r="G19" s="28"/>
    </row>
    <row r="20" spans="2:12">
      <c r="B20" s="141" t="s">
        <v>137</v>
      </c>
      <c r="C20" s="19">
        <v>0.6</v>
      </c>
      <c r="D20" s="132">
        <v>0</v>
      </c>
      <c r="E20" s="31"/>
      <c r="F20" s="34"/>
      <c r="G20" s="28"/>
    </row>
    <row r="21" spans="2:12" ht="30">
      <c r="B21" s="143" t="s">
        <v>138</v>
      </c>
      <c r="C21" s="19">
        <v>0.55000000000000004</v>
      </c>
      <c r="D21" s="132">
        <v>0</v>
      </c>
      <c r="E21" s="31" t="s">
        <v>139</v>
      </c>
      <c r="F21" s="34"/>
      <c r="G21" s="28"/>
    </row>
    <row r="22" spans="2:12" ht="30">
      <c r="B22" s="141" t="s">
        <v>140</v>
      </c>
      <c r="C22" s="19">
        <v>0.99</v>
      </c>
      <c r="D22" s="132">
        <v>0</v>
      </c>
      <c r="E22" s="31" t="s">
        <v>141</v>
      </c>
      <c r="F22" s="34"/>
      <c r="G22" s="28"/>
    </row>
    <row r="23" spans="2:12">
      <c r="B23" s="39"/>
      <c r="C23" s="137"/>
      <c r="D23" s="138"/>
      <c r="E23" s="31"/>
      <c r="F23" s="34"/>
      <c r="G23" s="28"/>
    </row>
    <row r="24" spans="2:12">
      <c r="B24" s="22" t="s">
        <v>13</v>
      </c>
      <c r="C24" s="37"/>
      <c r="G24" s="38"/>
      <c r="H24" s="22" t="s">
        <v>142</v>
      </c>
    </row>
    <row r="25" spans="2:12">
      <c r="B25" s="36"/>
      <c r="C25" s="37"/>
      <c r="G25" s="38"/>
    </row>
    <row r="26" spans="2:12">
      <c r="B26" s="39" t="s">
        <v>14</v>
      </c>
      <c r="H26" s="39" t="s">
        <v>14</v>
      </c>
    </row>
    <row r="27" spans="2:12" ht="45">
      <c r="B27" s="21" t="s">
        <v>15</v>
      </c>
      <c r="C27" s="26" t="s">
        <v>16</v>
      </c>
      <c r="D27" s="26" t="s">
        <v>17</v>
      </c>
      <c r="E27" s="26" t="s">
        <v>18</v>
      </c>
      <c r="F27" s="26" t="s">
        <v>19</v>
      </c>
      <c r="H27" s="21" t="s">
        <v>15</v>
      </c>
      <c r="I27" s="26" t="s">
        <v>143</v>
      </c>
      <c r="J27" s="26" t="s">
        <v>144</v>
      </c>
      <c r="K27" s="26" t="s">
        <v>145</v>
      </c>
      <c r="L27" s="26" t="s">
        <v>146</v>
      </c>
    </row>
    <row r="28" spans="2:12" ht="15">
      <c r="B28" s="20" t="s">
        <v>20</v>
      </c>
      <c r="C28" s="27">
        <v>8.21917808219178E-3</v>
      </c>
      <c r="D28" s="24">
        <f t="shared" ref="D28:D40" si="0">C28*$C$8</f>
        <v>2.9999999999999996</v>
      </c>
      <c r="E28" s="49">
        <f>SUM(K59:K64)</f>
        <v>24.291314857142858</v>
      </c>
      <c r="F28" s="49">
        <f t="shared" ref="F28:F40" si="1">D28*E28</f>
        <v>72.873944571428567</v>
      </c>
      <c r="H28" s="20" t="s">
        <v>20</v>
      </c>
      <c r="I28" s="27">
        <f>0.821917808219178%*(1-K28)</f>
        <v>6.5753424657534242E-3</v>
      </c>
      <c r="J28" s="97">
        <f>SUM(F59:F64)</f>
        <v>1</v>
      </c>
      <c r="K28" s="149">
        <v>0.2</v>
      </c>
      <c r="L28" s="19">
        <v>0.01</v>
      </c>
    </row>
    <row r="29" spans="2:12" ht="15">
      <c r="B29" s="20" t="s">
        <v>21</v>
      </c>
      <c r="C29" s="27">
        <v>5.4794520547945206E-3</v>
      </c>
      <c r="D29" s="24">
        <f t="shared" si="0"/>
        <v>2</v>
      </c>
      <c r="E29" s="49">
        <f>SUM(K50:K51)</f>
        <v>16.406103899999998</v>
      </c>
      <c r="F29" s="49">
        <f t="shared" si="1"/>
        <v>32.812207799999996</v>
      </c>
      <c r="H29" s="20" t="s">
        <v>21</v>
      </c>
      <c r="I29" s="27">
        <f>0.547945205479452%*(1-K29)</f>
        <v>4.383561643835617E-3</v>
      </c>
      <c r="J29" s="97">
        <f>SUM(F50:F51)</f>
        <v>1</v>
      </c>
      <c r="K29" s="149">
        <v>0.2</v>
      </c>
    </row>
    <row r="30" spans="2:12" ht="15">
      <c r="B30" s="20" t="s">
        <v>22</v>
      </c>
      <c r="C30" s="27">
        <v>6.0273972602739728E-2</v>
      </c>
      <c r="D30" s="24">
        <f t="shared" si="0"/>
        <v>22</v>
      </c>
      <c r="E30" s="49">
        <f>SUM(K52:K58)</f>
        <v>11.945393876296295</v>
      </c>
      <c r="F30" s="49">
        <f t="shared" si="1"/>
        <v>262.79866527851851</v>
      </c>
      <c r="H30" s="20" t="s">
        <v>22</v>
      </c>
      <c r="I30" s="27">
        <f>6.02739726027397%*(1-K30)</f>
        <v>4.8219178082191762E-2</v>
      </c>
      <c r="J30" s="97">
        <f>SUM(F52:F58)</f>
        <v>0.99999999999999989</v>
      </c>
      <c r="K30" s="149">
        <v>0.2</v>
      </c>
    </row>
    <row r="31" spans="2:12" ht="15">
      <c r="B31" s="20" t="s">
        <v>23</v>
      </c>
      <c r="C31" s="27">
        <v>9.3150684931506855E-2</v>
      </c>
      <c r="D31" s="24">
        <f t="shared" si="0"/>
        <v>34</v>
      </c>
      <c r="E31" s="49">
        <f>SUM(K45:K47)</f>
        <v>3.5247584216867471</v>
      </c>
      <c r="F31" s="49">
        <f t="shared" si="1"/>
        <v>119.8417863373494</v>
      </c>
      <c r="H31" s="20" t="s">
        <v>23</v>
      </c>
      <c r="I31" s="27">
        <f>9.31506849315068%*(1-K31)</f>
        <v>7.4520547945205448E-2</v>
      </c>
      <c r="J31" s="97">
        <f>SUM(F45:F47)</f>
        <v>1</v>
      </c>
      <c r="K31" s="149">
        <v>0.2</v>
      </c>
    </row>
    <row r="32" spans="2:12" ht="15">
      <c r="B32" s="20" t="s">
        <v>24</v>
      </c>
      <c r="C32" s="27">
        <v>5.4794520547945206E-3</v>
      </c>
      <c r="D32" s="24">
        <f t="shared" si="0"/>
        <v>2</v>
      </c>
      <c r="E32" s="49">
        <f>SUM(K48:K49)</f>
        <v>4.2112411489361712</v>
      </c>
      <c r="F32" s="49">
        <f t="shared" si="1"/>
        <v>8.4224822978723424</v>
      </c>
      <c r="H32" s="20" t="s">
        <v>24</v>
      </c>
      <c r="I32" s="27">
        <f>0.547945205479452%*(1-K32)</f>
        <v>4.383561643835617E-3</v>
      </c>
      <c r="J32" s="97">
        <f>SUM(F48:F49)</f>
        <v>1</v>
      </c>
      <c r="K32" s="149">
        <v>0.2</v>
      </c>
    </row>
    <row r="33" spans="2:11" ht="15">
      <c r="B33" s="20" t="s">
        <v>25</v>
      </c>
      <c r="C33" s="27">
        <v>6.0273972602739728E-2</v>
      </c>
      <c r="D33" s="24">
        <f t="shared" si="0"/>
        <v>22</v>
      </c>
      <c r="E33" s="49">
        <f>SUM(K65:K66)</f>
        <v>3.0794528699999999</v>
      </c>
      <c r="F33" s="49">
        <f t="shared" si="1"/>
        <v>67.747963139999996</v>
      </c>
      <c r="H33" s="20" t="s">
        <v>25</v>
      </c>
      <c r="I33" s="27">
        <f>6.02739726027397%*(1-K33)</f>
        <v>4.8219178082191762E-2</v>
      </c>
      <c r="J33" s="97">
        <f>SUM(F65:F66)</f>
        <v>1</v>
      </c>
      <c r="K33" s="149">
        <v>0.2</v>
      </c>
    </row>
    <row r="34" spans="2:11" ht="15">
      <c r="B34" s="20" t="s">
        <v>26</v>
      </c>
      <c r="C34" s="27">
        <v>4.1095890410958902E-2</v>
      </c>
      <c r="D34" s="24">
        <f t="shared" si="0"/>
        <v>15</v>
      </c>
      <c r="E34" s="49">
        <f>SUM(K85:K86)</f>
        <v>5.5226759035714279</v>
      </c>
      <c r="F34" s="49">
        <f t="shared" si="1"/>
        <v>82.840138553571421</v>
      </c>
      <c r="H34" s="20" t="s">
        <v>26</v>
      </c>
      <c r="I34" s="27">
        <f>4.10958904109589%*(1-K34)</f>
        <v>3.287671232876712E-2</v>
      </c>
      <c r="J34" s="97">
        <f>SUM(F85:F86)</f>
        <v>1</v>
      </c>
      <c r="K34" s="149">
        <v>0.2</v>
      </c>
    </row>
    <row r="35" spans="2:11" ht="15">
      <c r="B35" s="20" t="s">
        <v>27</v>
      </c>
      <c r="C35" s="27">
        <v>1.643835616438356E-2</v>
      </c>
      <c r="D35" s="24">
        <f t="shared" si="0"/>
        <v>5.9999999999999991</v>
      </c>
      <c r="E35" s="49">
        <f>SUM(K87:K88)</f>
        <v>5.2610641187624996</v>
      </c>
      <c r="F35" s="49">
        <f t="shared" si="1"/>
        <v>31.566384712574994</v>
      </c>
      <c r="H35" s="20" t="s">
        <v>27</v>
      </c>
      <c r="I35" s="27">
        <f>1.64383561643836%*(1-K35)</f>
        <v>1.3150684931506881E-2</v>
      </c>
      <c r="J35" s="97">
        <f>SUM(F87:F88)</f>
        <v>1</v>
      </c>
      <c r="K35" s="149">
        <v>0.2</v>
      </c>
    </row>
    <row r="36" spans="2:11" ht="15">
      <c r="B36" s="20" t="s">
        <v>28</v>
      </c>
      <c r="C36" s="27">
        <v>0.19726027397260273</v>
      </c>
      <c r="D36" s="24">
        <f t="shared" si="0"/>
        <v>72</v>
      </c>
      <c r="E36" s="49">
        <f>SUM(K67:K75)</f>
        <v>0.4049254074889867</v>
      </c>
      <c r="F36" s="49">
        <f t="shared" si="1"/>
        <v>29.154629339207041</v>
      </c>
      <c r="H36" s="20" t="s">
        <v>28</v>
      </c>
      <c r="I36" s="27">
        <f>19.7260273972603%*(1-K36)</f>
        <v>0.15780821917808241</v>
      </c>
      <c r="J36" s="97">
        <f>SUM(F67:F75)</f>
        <v>1</v>
      </c>
      <c r="K36" s="149">
        <v>0.2</v>
      </c>
    </row>
    <row r="37" spans="2:11" ht="15">
      <c r="B37" s="20" t="s">
        <v>29</v>
      </c>
      <c r="C37" s="27">
        <v>4.3835616438356165E-2</v>
      </c>
      <c r="D37" s="24">
        <f t="shared" si="0"/>
        <v>16</v>
      </c>
      <c r="E37" s="49">
        <f>SUM(K83:K84)</f>
        <v>0.42478675000000005</v>
      </c>
      <c r="F37" s="49">
        <f t="shared" si="1"/>
        <v>6.7965880000000007</v>
      </c>
      <c r="H37" s="20" t="s">
        <v>29</v>
      </c>
      <c r="I37" s="27">
        <f>4.38356164383562%*(1-K37)</f>
        <v>3.5068493150684964E-2</v>
      </c>
      <c r="J37" s="97">
        <f>SUM(F83:F84)</f>
        <v>1</v>
      </c>
      <c r="K37" s="149">
        <v>0.2</v>
      </c>
    </row>
    <row r="38" spans="2:11" ht="15">
      <c r="B38" s="20" t="s">
        <v>30</v>
      </c>
      <c r="C38" s="27">
        <v>0.21917808219178081</v>
      </c>
      <c r="D38" s="24">
        <f t="shared" si="0"/>
        <v>80</v>
      </c>
      <c r="E38" s="49">
        <f>SUM(K76:K77)</f>
        <v>0.81906525133333319</v>
      </c>
      <c r="F38" s="49">
        <f t="shared" si="1"/>
        <v>65.525220106666652</v>
      </c>
      <c r="H38" s="20" t="s">
        <v>30</v>
      </c>
      <c r="I38" s="27">
        <f>21.9178082191781%*(1-K38)</f>
        <v>0.1753424657534248</v>
      </c>
      <c r="J38" s="97">
        <f>SUM(F76:F77)</f>
        <v>1</v>
      </c>
      <c r="K38" s="149">
        <v>0.2</v>
      </c>
    </row>
    <row r="39" spans="2:11" ht="15">
      <c r="B39" s="20" t="s">
        <v>31</v>
      </c>
      <c r="C39" s="27">
        <v>0.12328767123287671</v>
      </c>
      <c r="D39" s="24">
        <f t="shared" si="0"/>
        <v>45</v>
      </c>
      <c r="E39" s="49">
        <f>SUM(K80:K82)</f>
        <v>2.5732208043478266</v>
      </c>
      <c r="F39" s="49">
        <f t="shared" si="1"/>
        <v>115.7949361956522</v>
      </c>
      <c r="H39" s="20" t="s">
        <v>31</v>
      </c>
      <c r="I39" s="27">
        <f>12.3287671232877%*(1-K39)</f>
        <v>9.8630136986301603E-2</v>
      </c>
      <c r="J39" s="97">
        <f>SUM(F80:F82)</f>
        <v>1</v>
      </c>
      <c r="K39" s="149">
        <v>0.2</v>
      </c>
    </row>
    <row r="40" spans="2:11" ht="15">
      <c r="B40" s="20" t="s">
        <v>32</v>
      </c>
      <c r="C40" s="27">
        <v>0.12602739726027398</v>
      </c>
      <c r="D40" s="24">
        <f t="shared" si="0"/>
        <v>46</v>
      </c>
      <c r="E40" s="49">
        <f>SUM(K78:K79)</f>
        <v>0.72266448936170213</v>
      </c>
      <c r="F40" s="49">
        <f t="shared" si="1"/>
        <v>33.242566510638298</v>
      </c>
      <c r="H40" s="20" t="s">
        <v>32</v>
      </c>
      <c r="I40" s="27">
        <f>12.6027397260274%*(1-K40)</f>
        <v>0.10082191780821921</v>
      </c>
      <c r="J40" s="97">
        <f>SUM(F78:F79)</f>
        <v>1</v>
      </c>
      <c r="K40" s="149">
        <v>0.2</v>
      </c>
    </row>
    <row r="41" spans="2:11" s="14" customFormat="1"/>
    <row r="42" spans="2:11">
      <c r="C42" s="77"/>
      <c r="D42" s="25"/>
    </row>
    <row r="43" spans="2:11">
      <c r="B43" s="22" t="s">
        <v>147</v>
      </c>
      <c r="G43" s="25"/>
    </row>
    <row r="44" spans="2:11" ht="30">
      <c r="B44" s="68" t="s">
        <v>33</v>
      </c>
      <c r="C44" s="68" t="s">
        <v>15</v>
      </c>
      <c r="D44" s="68" t="s">
        <v>34</v>
      </c>
      <c r="E44" s="68" t="s">
        <v>35</v>
      </c>
      <c r="F44" s="67" t="s">
        <v>148</v>
      </c>
      <c r="G44" s="67" t="s">
        <v>149</v>
      </c>
      <c r="H44" s="67" t="s">
        <v>150</v>
      </c>
      <c r="I44" s="67" t="s">
        <v>151</v>
      </c>
      <c r="J44" s="67" t="s">
        <v>152</v>
      </c>
      <c r="K44" s="67" t="s">
        <v>153</v>
      </c>
    </row>
    <row r="45" spans="2:11" ht="15">
      <c r="B45" s="70">
        <v>1</v>
      </c>
      <c r="C45" s="69" t="s">
        <v>23</v>
      </c>
      <c r="D45" s="70" t="s">
        <v>40</v>
      </c>
      <c r="E45" s="69" t="s">
        <v>41</v>
      </c>
      <c r="F45" s="71">
        <v>0.4337349397590361</v>
      </c>
      <c r="G45" s="88">
        <v>2.995031</v>
      </c>
      <c r="H45" s="88">
        <v>0.38144</v>
      </c>
      <c r="I45" s="88">
        <v>3.8969999999999999E-3</v>
      </c>
      <c r="J45" s="88">
        <f>SUM(G45:I45)</f>
        <v>3.3803679999999998</v>
      </c>
      <c r="K45" s="93">
        <f t="shared" ref="K45:K91" si="2">F45*J45</f>
        <v>1.4661837108433733</v>
      </c>
    </row>
    <row r="46" spans="2:11" ht="15">
      <c r="B46" s="70">
        <v>2</v>
      </c>
      <c r="C46" s="69" t="s">
        <v>23</v>
      </c>
      <c r="D46" s="70" t="s">
        <v>42</v>
      </c>
      <c r="E46" s="70" t="s">
        <v>41</v>
      </c>
      <c r="F46" s="72">
        <v>1.2048192771084336E-2</v>
      </c>
      <c r="G46" s="88">
        <v>2.9989279999999998</v>
      </c>
      <c r="H46" s="88">
        <v>0.76137900000000003</v>
      </c>
      <c r="I46" s="88">
        <v>2.7139999999999998E-3</v>
      </c>
      <c r="J46" s="88">
        <f t="shared" ref="J46:J91" si="3">SUM(G46:I46)</f>
        <v>3.7630210000000002</v>
      </c>
      <c r="K46" s="93">
        <f t="shared" si="2"/>
        <v>4.533760240963855E-2</v>
      </c>
    </row>
    <row r="47" spans="2:11" ht="15">
      <c r="B47" s="70">
        <v>3</v>
      </c>
      <c r="C47" s="69" t="s">
        <v>23</v>
      </c>
      <c r="D47" s="70" t="s">
        <v>42</v>
      </c>
      <c r="E47" s="70" t="s">
        <v>43</v>
      </c>
      <c r="F47" s="72">
        <v>0.55421686746987953</v>
      </c>
      <c r="G47" s="88">
        <v>2.5277020000000001</v>
      </c>
      <c r="H47" s="88">
        <v>0.68049199999999999</v>
      </c>
      <c r="I47" s="88">
        <v>0.42438599999999999</v>
      </c>
      <c r="J47" s="88">
        <f t="shared" si="3"/>
        <v>3.6325800000000004</v>
      </c>
      <c r="K47" s="93">
        <f t="shared" si="2"/>
        <v>2.013237108433735</v>
      </c>
    </row>
    <row r="48" spans="2:11" ht="15">
      <c r="B48" s="74">
        <v>4</v>
      </c>
      <c r="C48" s="73" t="s">
        <v>24</v>
      </c>
      <c r="D48" s="74" t="s">
        <v>40</v>
      </c>
      <c r="E48" s="73" t="s">
        <v>41</v>
      </c>
      <c r="F48" s="75">
        <v>0.36170212765957449</v>
      </c>
      <c r="G48" s="89">
        <v>3.812459</v>
      </c>
      <c r="H48" s="89">
        <v>0.32567699999999999</v>
      </c>
      <c r="I48" s="89">
        <v>4.0559999999999997E-3</v>
      </c>
      <c r="J48" s="89">
        <f t="shared" si="3"/>
        <v>4.1421920000000005</v>
      </c>
      <c r="K48" s="94">
        <f t="shared" si="2"/>
        <v>1.4982396595744685</v>
      </c>
    </row>
    <row r="49" spans="2:11" ht="15">
      <c r="B49" s="74">
        <v>5</v>
      </c>
      <c r="C49" s="73" t="s">
        <v>24</v>
      </c>
      <c r="D49" s="74" t="s">
        <v>42</v>
      </c>
      <c r="E49" s="73" t="s">
        <v>41</v>
      </c>
      <c r="F49" s="75">
        <v>0.63829787234042556</v>
      </c>
      <c r="G49" s="89">
        <v>3.812459</v>
      </c>
      <c r="H49" s="89">
        <v>0.43385400000000002</v>
      </c>
      <c r="I49" s="89">
        <v>4.0559999999999997E-3</v>
      </c>
      <c r="J49" s="89">
        <f t="shared" si="3"/>
        <v>4.2503690000000001</v>
      </c>
      <c r="K49" s="94">
        <f t="shared" si="2"/>
        <v>2.7130014893617025</v>
      </c>
    </row>
    <row r="50" spans="2:11" ht="15">
      <c r="B50" s="70">
        <v>6</v>
      </c>
      <c r="C50" s="69" t="s">
        <v>21</v>
      </c>
      <c r="D50" s="70" t="s">
        <v>44</v>
      </c>
      <c r="E50" s="70" t="s">
        <v>45</v>
      </c>
      <c r="F50" s="72">
        <v>0.3</v>
      </c>
      <c r="G50" s="88">
        <v>13.19894</v>
      </c>
      <c r="H50" s="88">
        <v>0.90092099999999997</v>
      </c>
      <c r="I50" s="88">
        <v>7.1202430000000003</v>
      </c>
      <c r="J50" s="88">
        <f t="shared" si="3"/>
        <v>21.220103999999999</v>
      </c>
      <c r="K50" s="93">
        <f t="shared" si="2"/>
        <v>6.3660311999999992</v>
      </c>
    </row>
    <row r="51" spans="2:11" ht="15">
      <c r="B51" s="70">
        <v>7</v>
      </c>
      <c r="C51" s="69" t="s">
        <v>21</v>
      </c>
      <c r="D51" s="70" t="s">
        <v>42</v>
      </c>
      <c r="E51" s="70" t="s">
        <v>45</v>
      </c>
      <c r="F51" s="72">
        <v>0.7</v>
      </c>
      <c r="G51" s="88">
        <v>13.19894</v>
      </c>
      <c r="H51" s="88">
        <v>0.96768900000000002</v>
      </c>
      <c r="I51" s="88">
        <v>0.17633199999999999</v>
      </c>
      <c r="J51" s="88">
        <f t="shared" si="3"/>
        <v>14.342961000000001</v>
      </c>
      <c r="K51" s="93">
        <f t="shared" si="2"/>
        <v>10.0400727</v>
      </c>
    </row>
    <row r="52" spans="2:11" ht="15">
      <c r="B52" s="74">
        <v>8</v>
      </c>
      <c r="C52" s="73" t="s">
        <v>22</v>
      </c>
      <c r="D52" s="74" t="s">
        <v>40</v>
      </c>
      <c r="E52" s="73" t="s">
        <v>46</v>
      </c>
      <c r="F52" s="75">
        <v>0.20987654320987653</v>
      </c>
      <c r="G52" s="89">
        <v>7.22039819</v>
      </c>
      <c r="H52" s="89">
        <v>1.7484542000000001</v>
      </c>
      <c r="I52" s="89">
        <v>4.0494910000000002E-2</v>
      </c>
      <c r="J52" s="89">
        <f t="shared" si="3"/>
        <v>9.0093472999999999</v>
      </c>
      <c r="K52" s="94">
        <f t="shared" si="2"/>
        <v>1.8908506679012345</v>
      </c>
    </row>
    <row r="53" spans="2:11" ht="15">
      <c r="B53" s="74">
        <v>9</v>
      </c>
      <c r="C53" s="73" t="s">
        <v>22</v>
      </c>
      <c r="D53" s="74" t="s">
        <v>44</v>
      </c>
      <c r="E53" s="74" t="s">
        <v>43</v>
      </c>
      <c r="F53" s="76">
        <v>0.12345679012345678</v>
      </c>
      <c r="G53" s="89">
        <v>7.2956225999999997</v>
      </c>
      <c r="H53" s="89">
        <v>0.81951735000000003</v>
      </c>
      <c r="I53" s="89">
        <v>18.8588928</v>
      </c>
      <c r="J53" s="89">
        <f t="shared" si="3"/>
        <v>26.974032749999999</v>
      </c>
      <c r="K53" s="94">
        <f t="shared" si="2"/>
        <v>3.3301274999999997</v>
      </c>
    </row>
    <row r="54" spans="2:11" ht="15">
      <c r="B54" s="74">
        <v>10</v>
      </c>
      <c r="C54" s="73" t="s">
        <v>22</v>
      </c>
      <c r="D54" s="74" t="s">
        <v>44</v>
      </c>
      <c r="E54" s="74" t="s">
        <v>45</v>
      </c>
      <c r="F54" s="76">
        <v>4.9382716049382713E-2</v>
      </c>
      <c r="G54" s="89">
        <v>7.1395445799999999</v>
      </c>
      <c r="H54" s="89">
        <v>4.0700936900000002</v>
      </c>
      <c r="I54" s="89">
        <v>7.1202434300000004</v>
      </c>
      <c r="J54" s="89">
        <f t="shared" si="3"/>
        <v>18.329881700000001</v>
      </c>
      <c r="K54" s="94">
        <f t="shared" si="2"/>
        <v>0.90517934320987659</v>
      </c>
    </row>
    <row r="55" spans="2:11" ht="15">
      <c r="B55" s="74">
        <v>11</v>
      </c>
      <c r="C55" s="73" t="s">
        <v>22</v>
      </c>
      <c r="D55" s="74" t="s">
        <v>42</v>
      </c>
      <c r="E55" s="74" t="s">
        <v>43</v>
      </c>
      <c r="F55" s="76">
        <v>0.29629629629629628</v>
      </c>
      <c r="G55" s="89">
        <v>7.2956225999999997</v>
      </c>
      <c r="H55" s="89">
        <v>0.84836555000000002</v>
      </c>
      <c r="I55" s="89">
        <v>0.42201559999999999</v>
      </c>
      <c r="J55" s="89">
        <f t="shared" si="3"/>
        <v>8.5660037500000001</v>
      </c>
      <c r="K55" s="94">
        <f t="shared" si="2"/>
        <v>2.538075185185185</v>
      </c>
    </row>
    <row r="56" spans="2:11" ht="15">
      <c r="B56" s="74">
        <v>12</v>
      </c>
      <c r="C56" s="73" t="s">
        <v>22</v>
      </c>
      <c r="D56" s="74" t="s">
        <v>42</v>
      </c>
      <c r="E56" s="74" t="s">
        <v>45</v>
      </c>
      <c r="F56" s="76">
        <v>9.8765432098765427E-2</v>
      </c>
      <c r="G56" s="89">
        <v>7.1395445799999999</v>
      </c>
      <c r="H56" s="89">
        <v>4.1668280099999997</v>
      </c>
      <c r="I56" s="89">
        <v>0.17633204</v>
      </c>
      <c r="J56" s="89">
        <f t="shared" si="3"/>
        <v>11.482704629999999</v>
      </c>
      <c r="K56" s="94">
        <f t="shared" si="2"/>
        <v>1.1340942844444444</v>
      </c>
    </row>
    <row r="57" spans="2:11" ht="15">
      <c r="B57" s="74">
        <v>13</v>
      </c>
      <c r="C57" s="73" t="s">
        <v>22</v>
      </c>
      <c r="D57" s="74" t="s">
        <v>42</v>
      </c>
      <c r="E57" s="74" t="s">
        <v>47</v>
      </c>
      <c r="F57" s="76">
        <v>0.14814814814814814</v>
      </c>
      <c r="G57" s="89">
        <v>7.0857764300000001</v>
      </c>
      <c r="H57" s="89">
        <v>2.3632220799999999</v>
      </c>
      <c r="I57" s="89">
        <v>0.36202464000000001</v>
      </c>
      <c r="J57" s="89">
        <f t="shared" si="3"/>
        <v>9.8110231499999987</v>
      </c>
      <c r="K57" s="94">
        <f t="shared" si="2"/>
        <v>1.4534849111111108</v>
      </c>
    </row>
    <row r="58" spans="2:11" ht="15">
      <c r="B58" s="74">
        <v>14</v>
      </c>
      <c r="C58" s="73" t="s">
        <v>22</v>
      </c>
      <c r="D58" s="74" t="s">
        <v>42</v>
      </c>
      <c r="E58" s="74" t="s">
        <v>48</v>
      </c>
      <c r="F58" s="76">
        <v>7.407407407407407E-2</v>
      </c>
      <c r="G58" s="89">
        <v>7.2956225999999997</v>
      </c>
      <c r="H58" s="89">
        <v>1.77765705</v>
      </c>
      <c r="I58" s="89">
        <v>0.29007714000000001</v>
      </c>
      <c r="J58" s="89">
        <f t="shared" si="3"/>
        <v>9.3633567899999992</v>
      </c>
      <c r="K58" s="94">
        <f t="shared" si="2"/>
        <v>0.6935819844444443</v>
      </c>
    </row>
    <row r="59" spans="2:11" ht="15">
      <c r="B59" s="70">
        <v>15</v>
      </c>
      <c r="C59" s="69" t="s">
        <v>20</v>
      </c>
      <c r="D59" s="70" t="s">
        <v>44</v>
      </c>
      <c r="E59" s="70" t="s">
        <v>43</v>
      </c>
      <c r="F59" s="72">
        <v>0.17582417582417581</v>
      </c>
      <c r="G59" s="88">
        <v>18.833870000000001</v>
      </c>
      <c r="H59" s="88">
        <v>0.69446600000000003</v>
      </c>
      <c r="I59" s="88">
        <v>18.858889999999999</v>
      </c>
      <c r="J59" s="88">
        <f t="shared" si="3"/>
        <v>38.387225999999998</v>
      </c>
      <c r="K59" s="93">
        <f t="shared" si="2"/>
        <v>6.7494023736263724</v>
      </c>
    </row>
    <row r="60" spans="2:11" ht="15">
      <c r="B60" s="70">
        <v>16</v>
      </c>
      <c r="C60" s="69" t="s">
        <v>20</v>
      </c>
      <c r="D60" s="70" t="s">
        <v>44</v>
      </c>
      <c r="E60" s="70" t="s">
        <v>45</v>
      </c>
      <c r="F60" s="72">
        <v>8.7912087912087905E-2</v>
      </c>
      <c r="G60" s="88">
        <v>18.857240000000001</v>
      </c>
      <c r="H60" s="88">
        <v>1.5193319999999999</v>
      </c>
      <c r="I60" s="88">
        <v>7.1202430000000003</v>
      </c>
      <c r="J60" s="88">
        <f t="shared" si="3"/>
        <v>27.496814999999998</v>
      </c>
      <c r="K60" s="93">
        <f t="shared" si="2"/>
        <v>2.4173024175824174</v>
      </c>
    </row>
    <row r="61" spans="2:11" ht="15">
      <c r="B61" s="70">
        <v>17</v>
      </c>
      <c r="C61" s="69" t="s">
        <v>20</v>
      </c>
      <c r="D61" s="70" t="s">
        <v>44</v>
      </c>
      <c r="E61" s="70" t="s">
        <v>49</v>
      </c>
      <c r="F61" s="72">
        <v>3.2967032967032968E-2</v>
      </c>
      <c r="G61" s="88">
        <v>18.760680000000001</v>
      </c>
      <c r="H61" s="88">
        <v>0.63292700000000002</v>
      </c>
      <c r="I61" s="88">
        <v>9.8971769999999992</v>
      </c>
      <c r="J61" s="88">
        <f t="shared" si="3"/>
        <v>29.290783999999999</v>
      </c>
      <c r="K61" s="93">
        <f t="shared" si="2"/>
        <v>0.96563024175824175</v>
      </c>
    </row>
    <row r="62" spans="2:11" ht="15">
      <c r="B62" s="70">
        <v>18</v>
      </c>
      <c r="C62" s="69" t="s">
        <v>20</v>
      </c>
      <c r="D62" s="70" t="s">
        <v>42</v>
      </c>
      <c r="E62" s="70" t="s">
        <v>43</v>
      </c>
      <c r="F62" s="72">
        <v>0.39560439560439559</v>
      </c>
      <c r="G62" s="88">
        <v>18.833870000000001</v>
      </c>
      <c r="H62" s="88">
        <v>0.714009</v>
      </c>
      <c r="I62" s="88">
        <v>0.422016</v>
      </c>
      <c r="J62" s="88">
        <f t="shared" si="3"/>
        <v>19.969895000000001</v>
      </c>
      <c r="K62" s="93">
        <f t="shared" si="2"/>
        <v>7.9001782417582422</v>
      </c>
    </row>
    <row r="63" spans="2:11" ht="15">
      <c r="B63" s="70">
        <v>19</v>
      </c>
      <c r="C63" s="69" t="s">
        <v>20</v>
      </c>
      <c r="D63" s="70" t="s">
        <v>42</v>
      </c>
      <c r="E63" s="70" t="s">
        <v>45</v>
      </c>
      <c r="F63" s="72">
        <v>0.21978021978021978</v>
      </c>
      <c r="G63" s="88">
        <v>18.857240000000001</v>
      </c>
      <c r="H63" s="88">
        <v>1.5861000000000001</v>
      </c>
      <c r="I63" s="88">
        <v>0.17633199999999999</v>
      </c>
      <c r="J63" s="88">
        <f t="shared" si="3"/>
        <v>20.619671999999998</v>
      </c>
      <c r="K63" s="93">
        <f t="shared" si="2"/>
        <v>4.5317960439560432</v>
      </c>
    </row>
    <row r="64" spans="2:11" ht="15">
      <c r="B64" s="70">
        <v>20</v>
      </c>
      <c r="C64" s="69" t="s">
        <v>20</v>
      </c>
      <c r="D64" s="70" t="s">
        <v>42</v>
      </c>
      <c r="E64" s="70" t="s">
        <v>49</v>
      </c>
      <c r="F64" s="72">
        <v>8.7912087912087905E-2</v>
      </c>
      <c r="G64" s="88">
        <v>18.760680000000001</v>
      </c>
      <c r="H64" s="88">
        <v>0.64853400000000005</v>
      </c>
      <c r="I64" s="88">
        <v>0.23547399999999999</v>
      </c>
      <c r="J64" s="88">
        <f t="shared" si="3"/>
        <v>19.644688000000002</v>
      </c>
      <c r="K64" s="93">
        <f t="shared" si="2"/>
        <v>1.7270055384615386</v>
      </c>
    </row>
    <row r="65" spans="2:11" ht="15">
      <c r="B65" s="74">
        <v>21</v>
      </c>
      <c r="C65" s="73" t="s">
        <v>25</v>
      </c>
      <c r="D65" s="74" t="s">
        <v>40</v>
      </c>
      <c r="E65" s="74" t="s">
        <v>41</v>
      </c>
      <c r="F65" s="76">
        <v>0.81</v>
      </c>
      <c r="G65" s="89">
        <v>3.0457689999999999</v>
      </c>
      <c r="H65" s="89">
        <v>5.5363000000000002E-2</v>
      </c>
      <c r="I65" s="89">
        <v>7.358E-3</v>
      </c>
      <c r="J65" s="89">
        <f t="shared" si="3"/>
        <v>3.1084899999999998</v>
      </c>
      <c r="K65" s="94">
        <f t="shared" si="2"/>
        <v>2.5178769000000001</v>
      </c>
    </row>
    <row r="66" spans="2:11" s="81" customFormat="1" ht="15">
      <c r="B66" s="78">
        <v>22</v>
      </c>
      <c r="C66" s="79" t="s">
        <v>25</v>
      </c>
      <c r="D66" s="78" t="s">
        <v>40</v>
      </c>
      <c r="E66" s="78" t="s">
        <v>50</v>
      </c>
      <c r="F66" s="80">
        <v>0.19</v>
      </c>
      <c r="G66" s="90">
        <v>2.924229</v>
      </c>
      <c r="H66" s="90">
        <v>3.1273000000000002E-2</v>
      </c>
      <c r="I66" s="90">
        <v>1.6100000000000001E-4</v>
      </c>
      <c r="J66" s="90">
        <f t="shared" si="3"/>
        <v>2.9556629999999999</v>
      </c>
      <c r="K66" s="95">
        <f t="shared" si="2"/>
        <v>0.56157597000000004</v>
      </c>
    </row>
    <row r="67" spans="2:11" ht="15">
      <c r="B67" s="70">
        <v>23</v>
      </c>
      <c r="C67" s="69" t="s">
        <v>28</v>
      </c>
      <c r="D67" s="70" t="s">
        <v>51</v>
      </c>
      <c r="E67" s="70" t="s">
        <v>41</v>
      </c>
      <c r="F67" s="72">
        <v>9.0308370044052858E-2</v>
      </c>
      <c r="G67" s="88">
        <v>0.19164700000000001</v>
      </c>
      <c r="H67" s="88">
        <v>0.10198699999999999</v>
      </c>
      <c r="I67" s="88">
        <v>8.8981000000000005E-2</v>
      </c>
      <c r="J67" s="88">
        <f t="shared" si="3"/>
        <v>0.38261500000000004</v>
      </c>
      <c r="K67" s="93">
        <f t="shared" si="2"/>
        <v>3.4553337004405285E-2</v>
      </c>
    </row>
    <row r="68" spans="2:11" ht="15">
      <c r="B68" s="70">
        <v>24</v>
      </c>
      <c r="C68" s="69" t="s">
        <v>28</v>
      </c>
      <c r="D68" s="70" t="s">
        <v>51</v>
      </c>
      <c r="E68" s="70" t="s">
        <v>52</v>
      </c>
      <c r="F68" s="72">
        <v>9.2511013215859028E-2</v>
      </c>
      <c r="G68" s="88">
        <v>0.199766</v>
      </c>
      <c r="H68" s="88">
        <v>0.10198699999999999</v>
      </c>
      <c r="I68" s="88">
        <v>8.9165999999999995E-2</v>
      </c>
      <c r="J68" s="88">
        <f t="shared" si="3"/>
        <v>0.39091900000000002</v>
      </c>
      <c r="K68" s="93">
        <f t="shared" si="2"/>
        <v>3.6164312775330394E-2</v>
      </c>
    </row>
    <row r="69" spans="2:11" ht="15">
      <c r="B69" s="70">
        <v>25</v>
      </c>
      <c r="C69" s="69" t="s">
        <v>28</v>
      </c>
      <c r="D69" s="70" t="s">
        <v>53</v>
      </c>
      <c r="E69" s="70" t="s">
        <v>41</v>
      </c>
      <c r="F69" s="72">
        <v>0.21806167400881057</v>
      </c>
      <c r="G69" s="88">
        <v>0.127414</v>
      </c>
      <c r="H69" s="88">
        <v>0.10198699999999999</v>
      </c>
      <c r="I69" s="88">
        <v>8.8981000000000005E-2</v>
      </c>
      <c r="J69" s="88">
        <f t="shared" si="3"/>
        <v>0.318382</v>
      </c>
      <c r="K69" s="93">
        <f t="shared" si="2"/>
        <v>6.9426911894273122E-2</v>
      </c>
    </row>
    <row r="70" spans="2:11" ht="15">
      <c r="B70" s="70">
        <v>26</v>
      </c>
      <c r="C70" s="69" t="s">
        <v>28</v>
      </c>
      <c r="D70" s="70" t="s">
        <v>54</v>
      </c>
      <c r="E70" s="70" t="s">
        <v>41</v>
      </c>
      <c r="F70" s="72">
        <v>0.21365638766519823</v>
      </c>
      <c r="G70" s="88">
        <v>0.14409</v>
      </c>
      <c r="H70" s="88">
        <v>0.10198699999999999</v>
      </c>
      <c r="I70" s="88">
        <v>8.8981000000000005E-2</v>
      </c>
      <c r="J70" s="88">
        <f t="shared" si="3"/>
        <v>0.33505799999999997</v>
      </c>
      <c r="K70" s="93">
        <f t="shared" si="2"/>
        <v>7.1587281938325989E-2</v>
      </c>
    </row>
    <row r="71" spans="2:11" ht="15">
      <c r="B71" s="70">
        <v>27</v>
      </c>
      <c r="C71" s="69" t="s">
        <v>28</v>
      </c>
      <c r="D71" s="70" t="s">
        <v>55</v>
      </c>
      <c r="E71" s="70" t="s">
        <v>41</v>
      </c>
      <c r="F71" s="72">
        <v>0.18502202643171806</v>
      </c>
      <c r="G71" s="88">
        <v>9.3112E-2</v>
      </c>
      <c r="H71" s="88">
        <v>0.10198699999999999</v>
      </c>
      <c r="I71" s="88">
        <v>8.8981000000000005E-2</v>
      </c>
      <c r="J71" s="88">
        <f t="shared" si="3"/>
        <v>0.28408</v>
      </c>
      <c r="K71" s="93">
        <f t="shared" si="2"/>
        <v>5.2561057268722462E-2</v>
      </c>
    </row>
    <row r="72" spans="2:11" ht="15">
      <c r="B72" s="70">
        <v>28</v>
      </c>
      <c r="C72" s="69" t="s">
        <v>28</v>
      </c>
      <c r="D72" s="70" t="s">
        <v>56</v>
      </c>
      <c r="E72" s="70" t="s">
        <v>45</v>
      </c>
      <c r="F72" s="72">
        <v>5.2863436123348012E-2</v>
      </c>
      <c r="G72" s="88">
        <v>0.19825000000000001</v>
      </c>
      <c r="H72" s="88">
        <v>9.6673999999999996E-2</v>
      </c>
      <c r="I72" s="88">
        <v>0.20535600000000001</v>
      </c>
      <c r="J72" s="88">
        <f t="shared" si="3"/>
        <v>0.50028000000000006</v>
      </c>
      <c r="K72" s="93">
        <f t="shared" si="2"/>
        <v>2.6446519823788546E-2</v>
      </c>
    </row>
    <row r="73" spans="2:11" ht="15">
      <c r="B73" s="70">
        <v>29</v>
      </c>
      <c r="C73" s="69" t="s">
        <v>28</v>
      </c>
      <c r="D73" s="70" t="s">
        <v>56</v>
      </c>
      <c r="E73" s="70" t="s">
        <v>57</v>
      </c>
      <c r="F73" s="72">
        <v>6.8281938325991193E-2</v>
      </c>
      <c r="G73" s="88">
        <v>0.156613</v>
      </c>
      <c r="H73" s="88">
        <v>9.6673999999999996E-2</v>
      </c>
      <c r="I73" s="88">
        <v>0.74357899999999999</v>
      </c>
      <c r="J73" s="88">
        <f t="shared" si="3"/>
        <v>0.99686600000000003</v>
      </c>
      <c r="K73" s="93">
        <f t="shared" si="2"/>
        <v>6.8067942731277545E-2</v>
      </c>
    </row>
    <row r="74" spans="2:11" ht="15">
      <c r="B74" s="70">
        <v>30</v>
      </c>
      <c r="C74" s="69" t="s">
        <v>28</v>
      </c>
      <c r="D74" s="70" t="s">
        <v>56</v>
      </c>
      <c r="E74" s="70" t="s">
        <v>58</v>
      </c>
      <c r="F74" s="72">
        <v>4.405286343612335E-2</v>
      </c>
      <c r="G74" s="88">
        <v>0.196074</v>
      </c>
      <c r="H74" s="88">
        <v>0.10198699999999999</v>
      </c>
      <c r="I74" s="88">
        <v>0.29580099999999998</v>
      </c>
      <c r="J74" s="88">
        <f t="shared" si="3"/>
        <v>0.593862</v>
      </c>
      <c r="K74" s="93">
        <f t="shared" si="2"/>
        <v>2.6161321585903084E-2</v>
      </c>
    </row>
    <row r="75" spans="2:11" ht="15">
      <c r="B75" s="70">
        <v>31</v>
      </c>
      <c r="C75" s="69" t="s">
        <v>28</v>
      </c>
      <c r="D75" s="70" t="s">
        <v>56</v>
      </c>
      <c r="E75" s="70" t="s">
        <v>59</v>
      </c>
      <c r="F75" s="72">
        <v>3.5242290748898682E-2</v>
      </c>
      <c r="G75" s="88">
        <v>0.18069099999999999</v>
      </c>
      <c r="H75" s="88">
        <v>0.10312</v>
      </c>
      <c r="I75" s="88">
        <v>0.28246100000000002</v>
      </c>
      <c r="J75" s="88">
        <f t="shared" si="3"/>
        <v>0.566272</v>
      </c>
      <c r="K75" s="93">
        <f t="shared" si="2"/>
        <v>1.9956722466960355E-2</v>
      </c>
    </row>
    <row r="76" spans="2:11" ht="15">
      <c r="B76" s="74">
        <v>32</v>
      </c>
      <c r="C76" s="73" t="s">
        <v>30</v>
      </c>
      <c r="D76" s="74" t="s">
        <v>119</v>
      </c>
      <c r="E76" s="74" t="s">
        <v>154</v>
      </c>
      <c r="F76" s="76">
        <v>0.97</v>
      </c>
      <c r="G76" s="89">
        <v>0.50836139999999996</v>
      </c>
      <c r="H76" s="89">
        <v>0.1616524</v>
      </c>
      <c r="I76" s="89">
        <v>0.16678393333333333</v>
      </c>
      <c r="J76" s="89">
        <f t="shared" si="3"/>
        <v>0.83679773333333329</v>
      </c>
      <c r="K76" s="94">
        <f t="shared" si="2"/>
        <v>0.81169380133333324</v>
      </c>
    </row>
    <row r="77" spans="2:11" ht="15">
      <c r="B77" s="78">
        <v>33</v>
      </c>
      <c r="C77" s="79" t="s">
        <v>30</v>
      </c>
      <c r="D77" s="78" t="s">
        <v>119</v>
      </c>
      <c r="E77" s="78" t="s">
        <v>50</v>
      </c>
      <c r="F77" s="80">
        <v>0.03</v>
      </c>
      <c r="G77" s="90">
        <v>4.8299000000000002E-2</v>
      </c>
      <c r="H77" s="90">
        <v>0.18532499999999999</v>
      </c>
      <c r="I77" s="90">
        <v>1.2090999999999999E-2</v>
      </c>
      <c r="J77" s="90">
        <f t="shared" si="3"/>
        <v>0.24571499999999999</v>
      </c>
      <c r="K77" s="95">
        <f t="shared" si="2"/>
        <v>7.371449999999999E-3</v>
      </c>
    </row>
    <row r="78" spans="2:11" ht="15">
      <c r="B78" s="70">
        <v>48</v>
      </c>
      <c r="C78" s="69" t="s">
        <v>32</v>
      </c>
      <c r="D78" s="70" t="s">
        <v>32</v>
      </c>
      <c r="E78" s="70" t="s">
        <v>45</v>
      </c>
      <c r="F78" s="72">
        <v>0.63829787234042556</v>
      </c>
      <c r="G78" s="88">
        <v>0.44561099999999998</v>
      </c>
      <c r="H78" s="88">
        <v>3.3017999999999999E-2</v>
      </c>
      <c r="I78" s="88">
        <v>0.130414</v>
      </c>
      <c r="J78" s="88">
        <f t="shared" si="3"/>
        <v>0.609043</v>
      </c>
      <c r="K78" s="93">
        <f t="shared" si="2"/>
        <v>0.38875085106382978</v>
      </c>
    </row>
    <row r="79" spans="2:11" ht="15">
      <c r="B79" s="70">
        <v>49</v>
      </c>
      <c r="C79" s="69" t="s">
        <v>32</v>
      </c>
      <c r="D79" s="70" t="s">
        <v>32</v>
      </c>
      <c r="E79" s="70" t="s">
        <v>57</v>
      </c>
      <c r="F79" s="72">
        <v>0.36170212765957449</v>
      </c>
      <c r="G79" s="88">
        <v>0.49074200000000001</v>
      </c>
      <c r="H79" s="88">
        <v>3.2978E-2</v>
      </c>
      <c r="I79" s="88">
        <v>0.399453</v>
      </c>
      <c r="J79" s="88">
        <f t="shared" si="3"/>
        <v>0.92317300000000002</v>
      </c>
      <c r="K79" s="93">
        <f t="shared" si="2"/>
        <v>0.33391363829787235</v>
      </c>
    </row>
    <row r="80" spans="2:11" ht="15">
      <c r="B80" s="74">
        <v>50</v>
      </c>
      <c r="C80" s="73" t="s">
        <v>31</v>
      </c>
      <c r="D80" s="74" t="s">
        <v>31</v>
      </c>
      <c r="E80" s="74" t="s">
        <v>70</v>
      </c>
      <c r="F80" s="76">
        <v>0.43478260869565222</v>
      </c>
      <c r="G80" s="89">
        <v>2.6889720000000001</v>
      </c>
      <c r="H80" s="89">
        <v>-0.18823500000000001</v>
      </c>
      <c r="I80" s="89">
        <v>3.2605000000000002E-2</v>
      </c>
      <c r="J80" s="89">
        <f t="shared" si="3"/>
        <v>2.5333420000000002</v>
      </c>
      <c r="K80" s="94">
        <f t="shared" si="2"/>
        <v>1.101453043478261</v>
      </c>
    </row>
    <row r="81" spans="2:11" ht="15">
      <c r="B81" s="74">
        <v>51</v>
      </c>
      <c r="C81" s="73" t="s">
        <v>31</v>
      </c>
      <c r="D81" s="74" t="s">
        <v>31</v>
      </c>
      <c r="E81" s="74" t="s">
        <v>66</v>
      </c>
      <c r="F81" s="76">
        <v>0.31521739130434784</v>
      </c>
      <c r="G81" s="89">
        <v>2.9543300000000001</v>
      </c>
      <c r="H81" s="89">
        <v>-0.33082</v>
      </c>
      <c r="I81" s="89">
        <v>4.8127999999999997E-2</v>
      </c>
      <c r="J81" s="89">
        <f t="shared" si="3"/>
        <v>2.6716380000000002</v>
      </c>
      <c r="K81" s="94">
        <f t="shared" si="2"/>
        <v>0.8421467608695653</v>
      </c>
    </row>
    <row r="82" spans="2:11" ht="15">
      <c r="B82" s="74">
        <v>52</v>
      </c>
      <c r="C82" s="73" t="s">
        <v>31</v>
      </c>
      <c r="D82" s="74" t="s">
        <v>31</v>
      </c>
      <c r="E82" s="74" t="s">
        <v>71</v>
      </c>
      <c r="F82" s="76">
        <v>0.25000000000000006</v>
      </c>
      <c r="G82" s="89">
        <v>2.6889720000000001</v>
      </c>
      <c r="H82" s="89">
        <v>-0.221641</v>
      </c>
      <c r="I82" s="89">
        <v>5.1152999999999997E-2</v>
      </c>
      <c r="J82" s="89">
        <f t="shared" si="3"/>
        <v>2.5184839999999999</v>
      </c>
      <c r="K82" s="94">
        <f t="shared" si="2"/>
        <v>0.6296210000000001</v>
      </c>
    </row>
    <row r="83" spans="2:11" ht="15">
      <c r="B83" s="70">
        <v>53</v>
      </c>
      <c r="C83" s="69" t="s">
        <v>125</v>
      </c>
      <c r="D83" s="70" t="s">
        <v>119</v>
      </c>
      <c r="E83" s="70" t="s">
        <v>154</v>
      </c>
      <c r="F83" s="72">
        <v>0.87</v>
      </c>
      <c r="G83" s="88">
        <v>0.23339199999999999</v>
      </c>
      <c r="H83" s="88">
        <v>0.10185740000000001</v>
      </c>
      <c r="I83" s="91">
        <v>7.4941599999999997E-2</v>
      </c>
      <c r="J83" s="88">
        <f t="shared" si="3"/>
        <v>0.41019100000000003</v>
      </c>
      <c r="K83" s="93">
        <f t="shared" si="2"/>
        <v>0.35686617000000004</v>
      </c>
    </row>
    <row r="84" spans="2:11" s="81" customFormat="1" ht="15">
      <c r="B84" s="82">
        <v>55</v>
      </c>
      <c r="C84" s="83" t="s">
        <v>125</v>
      </c>
      <c r="D84" s="82" t="s">
        <v>119</v>
      </c>
      <c r="E84" s="82" t="s">
        <v>50</v>
      </c>
      <c r="F84" s="84">
        <v>0.13</v>
      </c>
      <c r="G84" s="92">
        <v>0.41837200000000002</v>
      </c>
      <c r="H84" s="92">
        <v>0.10102999999999999</v>
      </c>
      <c r="I84" s="92">
        <v>3.0640000000000003E-3</v>
      </c>
      <c r="J84" s="92">
        <f t="shared" si="3"/>
        <v>0.52246599999999999</v>
      </c>
      <c r="K84" s="96">
        <f t="shared" si="2"/>
        <v>6.7920579999999994E-2</v>
      </c>
    </row>
    <row r="85" spans="2:11" ht="15">
      <c r="B85" s="74">
        <v>64</v>
      </c>
      <c r="C85" s="73" t="s">
        <v>26</v>
      </c>
      <c r="D85" s="74" t="s">
        <v>119</v>
      </c>
      <c r="E85" s="74" t="s">
        <v>154</v>
      </c>
      <c r="F85" s="76">
        <v>0.95</v>
      </c>
      <c r="G85" s="89">
        <v>3.0364174285714287</v>
      </c>
      <c r="H85" s="89">
        <v>0.69458014285714287</v>
      </c>
      <c r="I85" s="89">
        <v>1.8720051428571429</v>
      </c>
      <c r="J85" s="89">
        <f t="shared" si="3"/>
        <v>5.6030027142857142</v>
      </c>
      <c r="K85" s="94">
        <f t="shared" si="2"/>
        <v>5.3228525785714282</v>
      </c>
    </row>
    <row r="86" spans="2:11" s="81" customFormat="1" ht="15">
      <c r="B86" s="78">
        <v>72</v>
      </c>
      <c r="C86" s="79" t="s">
        <v>26</v>
      </c>
      <c r="D86" s="78" t="s">
        <v>119</v>
      </c>
      <c r="E86" s="78" t="s">
        <v>50</v>
      </c>
      <c r="F86" s="80">
        <v>0.05</v>
      </c>
      <c r="G86" s="90">
        <v>3.1400224999999997</v>
      </c>
      <c r="H86" s="90">
        <v>0.84133849999999999</v>
      </c>
      <c r="I86" s="90">
        <v>1.5105500000000001E-2</v>
      </c>
      <c r="J86" s="90">
        <f t="shared" si="3"/>
        <v>3.9964664999999999</v>
      </c>
      <c r="K86" s="95">
        <f t="shared" si="2"/>
        <v>0.199823325</v>
      </c>
    </row>
    <row r="87" spans="2:11" ht="15">
      <c r="B87" s="70">
        <v>73</v>
      </c>
      <c r="C87" s="69" t="s">
        <v>27</v>
      </c>
      <c r="D87" s="70" t="s">
        <v>119</v>
      </c>
      <c r="E87" s="70" t="s">
        <v>154</v>
      </c>
      <c r="F87" s="72">
        <v>0.98</v>
      </c>
      <c r="G87" s="88">
        <v>4.2625649156249992</v>
      </c>
      <c r="H87" s="88">
        <v>0.84579806062499996</v>
      </c>
      <c r="I87" s="88">
        <v>0.15519991187499996</v>
      </c>
      <c r="J87" s="88">
        <f t="shared" si="3"/>
        <v>5.2635628881249996</v>
      </c>
      <c r="K87" s="93">
        <f t="shared" si="2"/>
        <v>5.1582916303624993</v>
      </c>
    </row>
    <row r="88" spans="2:11" s="81" customFormat="1" ht="15">
      <c r="B88" s="82">
        <v>77</v>
      </c>
      <c r="C88" s="83" t="s">
        <v>27</v>
      </c>
      <c r="D88" s="82" t="s">
        <v>119</v>
      </c>
      <c r="E88" s="82" t="s">
        <v>50</v>
      </c>
      <c r="F88" s="84">
        <v>0.02</v>
      </c>
      <c r="G88" s="92">
        <v>4.5079172600000001</v>
      </c>
      <c r="H88" s="92">
        <v>0.61092601000000002</v>
      </c>
      <c r="I88" s="92">
        <v>1.9781150000000001E-2</v>
      </c>
      <c r="J88" s="92">
        <f t="shared" si="3"/>
        <v>5.1386244200000002</v>
      </c>
      <c r="K88" s="96">
        <f t="shared" si="2"/>
        <v>0.1027724884</v>
      </c>
    </row>
    <row r="89" spans="2:11">
      <c r="B89" s="146">
        <v>78</v>
      </c>
      <c r="C89" s="146" t="s">
        <v>155</v>
      </c>
      <c r="D89" s="146" t="s">
        <v>119</v>
      </c>
      <c r="E89" s="146" t="s">
        <v>50</v>
      </c>
      <c r="F89" s="147">
        <v>1</v>
      </c>
      <c r="G89" s="146">
        <v>1.9</v>
      </c>
      <c r="H89" s="146">
        <v>1.6</v>
      </c>
      <c r="I89" s="146">
        <v>0.02</v>
      </c>
      <c r="J89" s="90">
        <f t="shared" si="3"/>
        <v>3.52</v>
      </c>
      <c r="K89" s="95">
        <f t="shared" si="2"/>
        <v>3.52</v>
      </c>
    </row>
    <row r="90" spans="2:11">
      <c r="B90" s="144">
        <v>79</v>
      </c>
      <c r="C90" s="144" t="s">
        <v>156</v>
      </c>
      <c r="D90" s="144" t="s">
        <v>119</v>
      </c>
      <c r="E90" s="144" t="s">
        <v>50</v>
      </c>
      <c r="F90" s="145">
        <v>1</v>
      </c>
      <c r="G90" s="144">
        <v>7.5</v>
      </c>
      <c r="H90" s="144">
        <v>1.6</v>
      </c>
      <c r="I90" s="144">
        <v>0.02</v>
      </c>
      <c r="J90" s="92">
        <f t="shared" si="3"/>
        <v>9.1199999999999992</v>
      </c>
      <c r="K90" s="96">
        <f t="shared" si="2"/>
        <v>9.1199999999999992</v>
      </c>
    </row>
    <row r="91" spans="2:11">
      <c r="B91" s="146">
        <v>80</v>
      </c>
      <c r="C91" s="146" t="s">
        <v>157</v>
      </c>
      <c r="D91" s="146" t="s">
        <v>119</v>
      </c>
      <c r="E91" s="146" t="s">
        <v>50</v>
      </c>
      <c r="F91" s="147">
        <v>1</v>
      </c>
      <c r="G91" s="146">
        <v>7.0000000000000007E-2</v>
      </c>
      <c r="H91" s="146">
        <v>1.6</v>
      </c>
      <c r="I91" s="146">
        <v>3.0000000000000001E-3</v>
      </c>
      <c r="J91" s="90">
        <f t="shared" si="3"/>
        <v>1.673</v>
      </c>
      <c r="K91" s="95">
        <f t="shared" si="2"/>
        <v>1.673</v>
      </c>
    </row>
  </sheetData>
  <pageMargins left="0.7" right="0.7" top="0.75" bottom="0.75" header="0.3" footer="0.3"/>
  <pageSetup paperSize="9"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242AB-6F0E-4DFD-A49A-882B0264D835}">
  <dimension ref="A1:G15"/>
  <sheetViews>
    <sheetView showGridLines="0" workbookViewId="0"/>
  </sheetViews>
  <sheetFormatPr defaultColWidth="8.85546875" defaultRowHeight="15" outlineLevelRow="1"/>
  <cols>
    <col min="1" max="1" width="2.140625" customWidth="1"/>
    <col min="2" max="2" width="6.28515625" bestFit="1" customWidth="1"/>
    <col min="3" max="3" width="30.28515625" bestFit="1" customWidth="1"/>
    <col min="4" max="4" width="8.7109375" bestFit="1" customWidth="1"/>
    <col min="5" max="5" width="11.85546875" bestFit="1" customWidth="1"/>
    <col min="6" max="6" width="7.28515625" bestFit="1" customWidth="1"/>
    <col min="7" max="7" width="12.28515625" bestFit="1" customWidth="1"/>
  </cols>
  <sheetData>
    <row r="1" spans="1:7">
      <c r="A1" s="1" t="s">
        <v>158</v>
      </c>
    </row>
    <row r="2" spans="1:7">
      <c r="A2" s="1" t="s">
        <v>159</v>
      </c>
    </row>
    <row r="3" spans="1:7">
      <c r="A3" s="1" t="s">
        <v>160</v>
      </c>
    </row>
    <row r="6" spans="1:7" ht="15.95" thickBot="1">
      <c r="A6" t="s">
        <v>161</v>
      </c>
    </row>
    <row r="7" spans="1:7" ht="15.95" thickBot="1">
      <c r="B7" s="161" t="s">
        <v>162</v>
      </c>
      <c r="C7" s="161" t="s">
        <v>163</v>
      </c>
      <c r="D7" s="161" t="s">
        <v>164</v>
      </c>
      <c r="E7" s="161" t="s">
        <v>165</v>
      </c>
      <c r="F7" s="161" t="s">
        <v>166</v>
      </c>
      <c r="G7" s="161" t="s">
        <v>167</v>
      </c>
    </row>
    <row r="8" spans="1:7">
      <c r="B8" t="s">
        <v>168</v>
      </c>
      <c r="C8" t="s">
        <v>169</v>
      </c>
      <c r="D8" s="66">
        <v>0.29041095890410956</v>
      </c>
      <c r="E8" t="s">
        <v>170</v>
      </c>
      <c r="F8" t="s">
        <v>171</v>
      </c>
      <c r="G8">
        <v>-4.0410958904109562E-2</v>
      </c>
    </row>
    <row r="9" spans="1:7">
      <c r="B9" t="s">
        <v>172</v>
      </c>
      <c r="C9" t="s">
        <v>173</v>
      </c>
      <c r="D9" s="65">
        <v>0.30000099999999996</v>
      </c>
      <c r="E9" t="s">
        <v>174</v>
      </c>
      <c r="F9" t="s">
        <v>175</v>
      </c>
      <c r="G9">
        <v>0</v>
      </c>
    </row>
    <row r="10" spans="1:7" ht="32.1">
      <c r="B10" t="s">
        <v>176</v>
      </c>
      <c r="C10" s="162" t="s">
        <v>177</v>
      </c>
      <c r="D10" s="163">
        <v>1</v>
      </c>
      <c r="E10" t="s">
        <v>178</v>
      </c>
      <c r="F10" t="s">
        <v>175</v>
      </c>
      <c r="G10">
        <v>0</v>
      </c>
    </row>
    <row r="11" spans="1:7">
      <c r="B11" s="164" t="s">
        <v>179</v>
      </c>
      <c r="C11" s="162"/>
      <c r="D11" s="163"/>
    </row>
    <row r="12" spans="1:7" ht="32.1" hidden="1" outlineLevel="1">
      <c r="B12" t="s">
        <v>180</v>
      </c>
      <c r="C12" s="162" t="s">
        <v>181</v>
      </c>
      <c r="D12" s="163">
        <v>0.99999999999999989</v>
      </c>
      <c r="E12" t="s">
        <v>182</v>
      </c>
      <c r="F12" t="s">
        <v>175</v>
      </c>
      <c r="G12">
        <v>0</v>
      </c>
    </row>
    <row r="13" spans="1:7" ht="32.1" hidden="1" outlineLevel="1">
      <c r="B13" t="s">
        <v>183</v>
      </c>
      <c r="C13" s="162" t="s">
        <v>184</v>
      </c>
      <c r="D13" s="163">
        <v>1</v>
      </c>
      <c r="E13" t="s">
        <v>185</v>
      </c>
      <c r="F13" t="s">
        <v>175</v>
      </c>
      <c r="G13">
        <v>0</v>
      </c>
    </row>
    <row r="14" spans="1:7" ht="32.1" hidden="1" outlineLevel="1">
      <c r="B14" t="s">
        <v>186</v>
      </c>
      <c r="C14" s="162" t="s">
        <v>187</v>
      </c>
      <c r="D14" s="163">
        <v>1</v>
      </c>
      <c r="E14" t="s">
        <v>188</v>
      </c>
      <c r="F14" t="s">
        <v>175</v>
      </c>
      <c r="G14">
        <v>0</v>
      </c>
    </row>
    <row r="15" spans="1:7" collapsed="1">
      <c r="C15" s="162"/>
      <c r="D15" s="16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CA824-D8D1-4F50-AB7A-99D661199E44}">
  <dimension ref="A1:G15"/>
  <sheetViews>
    <sheetView showGridLines="0" workbookViewId="0"/>
  </sheetViews>
  <sheetFormatPr defaultColWidth="8.85546875" defaultRowHeight="15" outlineLevelRow="1"/>
  <cols>
    <col min="1" max="1" width="2.140625" customWidth="1"/>
    <col min="2" max="2" width="6.28515625" bestFit="1" customWidth="1"/>
    <col min="3" max="3" width="30.28515625" bestFit="1" customWidth="1"/>
    <col min="4" max="4" width="8.7109375" bestFit="1" customWidth="1"/>
    <col min="5" max="5" width="11.85546875" bestFit="1" customWidth="1"/>
    <col min="6" max="6" width="7.28515625" bestFit="1" customWidth="1"/>
    <col min="7" max="7" width="12.28515625" bestFit="1" customWidth="1"/>
  </cols>
  <sheetData>
    <row r="1" spans="1:7">
      <c r="A1" s="1" t="s">
        <v>158</v>
      </c>
    </row>
    <row r="2" spans="1:7">
      <c r="A2" s="1" t="s">
        <v>159</v>
      </c>
    </row>
    <row r="3" spans="1:7">
      <c r="A3" s="1" t="s">
        <v>189</v>
      </c>
    </row>
    <row r="6" spans="1:7" ht="15.95" thickBot="1">
      <c r="A6" t="s">
        <v>190</v>
      </c>
    </row>
    <row r="7" spans="1:7" ht="15.95" thickBot="1">
      <c r="B7" s="161" t="s">
        <v>162</v>
      </c>
      <c r="C7" s="161" t="s">
        <v>163</v>
      </c>
      <c r="D7" s="161" t="s">
        <v>164</v>
      </c>
      <c r="E7" s="161" t="s">
        <v>165</v>
      </c>
      <c r="F7" s="161" t="s">
        <v>166</v>
      </c>
      <c r="G7" s="161" t="s">
        <v>167</v>
      </c>
    </row>
    <row r="8" spans="1:7">
      <c r="B8" t="s">
        <v>168</v>
      </c>
      <c r="C8" t="s">
        <v>169</v>
      </c>
      <c r="D8" s="66">
        <v>0.29041095890410956</v>
      </c>
      <c r="E8" t="s">
        <v>170</v>
      </c>
      <c r="F8" t="s">
        <v>171</v>
      </c>
      <c r="G8">
        <v>-4.0410958904109562E-2</v>
      </c>
    </row>
    <row r="9" spans="1:7">
      <c r="B9" t="s">
        <v>172</v>
      </c>
      <c r="C9" t="s">
        <v>173</v>
      </c>
      <c r="D9" s="65">
        <v>0.30000099999999996</v>
      </c>
      <c r="E9" t="s">
        <v>174</v>
      </c>
      <c r="F9" t="s">
        <v>175</v>
      </c>
      <c r="G9">
        <v>0</v>
      </c>
    </row>
    <row r="10" spans="1:7" ht="32.1">
      <c r="B10" t="s">
        <v>176</v>
      </c>
      <c r="C10" s="162" t="s">
        <v>177</v>
      </c>
      <c r="D10" s="163">
        <v>1</v>
      </c>
      <c r="E10" t="s">
        <v>178</v>
      </c>
      <c r="F10" t="s">
        <v>175</v>
      </c>
      <c r="G10">
        <v>0</v>
      </c>
    </row>
    <row r="11" spans="1:7">
      <c r="B11" s="164" t="s">
        <v>179</v>
      </c>
      <c r="C11" s="162"/>
      <c r="D11" s="163"/>
    </row>
    <row r="12" spans="1:7" ht="32.1" hidden="1" outlineLevel="1">
      <c r="B12" t="s">
        <v>180</v>
      </c>
      <c r="C12" s="162" t="s">
        <v>181</v>
      </c>
      <c r="D12" s="163">
        <v>0.99999999999999989</v>
      </c>
      <c r="E12" t="s">
        <v>182</v>
      </c>
      <c r="F12" t="s">
        <v>175</v>
      </c>
      <c r="G12">
        <v>0</v>
      </c>
    </row>
    <row r="13" spans="1:7" ht="32.1" hidden="1" outlineLevel="1">
      <c r="B13" t="s">
        <v>183</v>
      </c>
      <c r="C13" s="162" t="s">
        <v>184</v>
      </c>
      <c r="D13" s="163">
        <v>1</v>
      </c>
      <c r="E13" t="s">
        <v>185</v>
      </c>
      <c r="F13" t="s">
        <v>175</v>
      </c>
      <c r="G13">
        <v>0</v>
      </c>
    </row>
    <row r="14" spans="1:7" ht="32.1" hidden="1" outlineLevel="1">
      <c r="B14" t="s">
        <v>186</v>
      </c>
      <c r="C14" s="162" t="s">
        <v>187</v>
      </c>
      <c r="D14" s="163">
        <v>1</v>
      </c>
      <c r="E14" t="s">
        <v>188</v>
      </c>
      <c r="F14" t="s">
        <v>175</v>
      </c>
      <c r="G14">
        <v>0</v>
      </c>
    </row>
    <row r="15" spans="1:7" collapsed="1">
      <c r="C15" s="162"/>
      <c r="D15" s="16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F5E0B515972444A956F384051891B77" ma:contentTypeVersion="11" ma:contentTypeDescription="Create a new document." ma:contentTypeScope="" ma:versionID="0e226f9468eb9c7ff8d538ae5f9efe52">
  <xsd:schema xmlns:xsd="http://www.w3.org/2001/XMLSchema" xmlns:xs="http://www.w3.org/2001/XMLSchema" xmlns:p="http://schemas.microsoft.com/office/2006/metadata/properties" xmlns:ns2="1083238f-a5ee-4568-a42f-97b52089eb1c" xmlns:ns3="3457a6cd-c97f-4f82-aec5-566b3b247afa" targetNamespace="http://schemas.microsoft.com/office/2006/metadata/properties" ma:root="true" ma:fieldsID="98fd101ad58de752fe77e257927cce2d" ns2:_="" ns3:_="">
    <xsd:import namespace="1083238f-a5ee-4568-a42f-97b52089eb1c"/>
    <xsd:import namespace="3457a6cd-c97f-4f82-aec5-566b3b247af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83238f-a5ee-4568-a42f-97b52089eb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eec61d7-21c4-46ea-8069-5c692c33a4c8"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457a6cd-c97f-4f82-aec5-566b3b247afa"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22d57a86-bdac-4359-9325-73acd8641b82}" ma:internalName="TaxCatchAll" ma:showField="CatchAllData" ma:web="3457a6cd-c97f-4f82-aec5-566b3b247afa">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457a6cd-c97f-4f82-aec5-566b3b247afa" xsi:nil="true"/>
    <lcf76f155ced4ddcb4097134ff3c332f xmlns="1083238f-a5ee-4568-a42f-97b52089eb1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CC6D2D8-8480-4D0C-85A3-84818A57F8C7}"/>
</file>

<file path=customXml/itemProps2.xml><?xml version="1.0" encoding="utf-8"?>
<ds:datastoreItem xmlns:ds="http://schemas.openxmlformats.org/officeDocument/2006/customXml" ds:itemID="{5BF2FF43-DFEA-4E8F-B5BF-C91F3586FB15}"/>
</file>

<file path=customXml/itemProps3.xml><?xml version="1.0" encoding="utf-8"?>
<ds:datastoreItem xmlns:ds="http://schemas.openxmlformats.org/officeDocument/2006/customXml" ds:itemID="{DA31F5B0-404C-49A0-AC93-129877D531B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Hui Wen Tan</dc:creator>
  <cp:keywords/>
  <dc:description/>
  <cp:lastModifiedBy>Anne LIM Ming Jie</cp:lastModifiedBy>
  <cp:revision/>
  <dcterms:created xsi:type="dcterms:W3CDTF">2022-10-04T13:07:50Z</dcterms:created>
  <dcterms:modified xsi:type="dcterms:W3CDTF">2022-10-27T15:02:21Z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0x0101002F5E0B515972444A956F384051891B77</vt:lpwstr>
  </property>
  <property fmtid="{D5CDD505-2E9C-101B-9397-08002B2CF9AE}" pid="3" name="MediaServiceImageTags">
    <vt:lpwstr/>
  </property>
</Properties>
</file>