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Documentation\"/>
    </mc:Choice>
  </mc:AlternateContent>
  <xr:revisionPtr revIDLastSave="0" documentId="13_ncr:1_{4DA1EE1B-D341-4BC0-8965-7BAF81CAB89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uil1" sheetId="1" r:id="rId1"/>
    <sheet name="TAMA DIDACTIQUE" sheetId="2" r:id="rId2"/>
    <sheet name="TAMA Auto 03092115" sheetId="5" r:id="rId3"/>
    <sheet name="Feuil5" sheetId="10" r:id="rId4"/>
    <sheet name="Feuil2" sheetId="6" r:id="rId5"/>
    <sheet name="Feuil4" sheetId="7" r:id="rId6"/>
    <sheet name="Feuil3" sheetId="3" r:id="rId7"/>
    <sheet name="PROJECTION" sheetId="4" r:id="rId8"/>
    <sheet name="TAMA PROVINCE" sheetId="8" r:id="rId9"/>
    <sheet name="Feuil6" sheetId="9" r:id="rId10"/>
  </sheets>
  <definedNames>
    <definedName name="_Toc33700785" localSheetId="4">Feuil2!$B$39</definedName>
    <definedName name="_Toc78590188" localSheetId="4">Feuil2!$B$1</definedName>
    <definedName name="Coefficient">'TAMA DIDACTIQUE'!$B$7</definedName>
    <definedName name="n">'TAMA Auto 03092115'!$D$4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I12" i="10" l="1"/>
  <c r="J12" i="10"/>
  <c r="K12" i="10"/>
  <c r="L12" i="10"/>
  <c r="M12" i="10"/>
  <c r="N12" i="10"/>
  <c r="I13" i="10"/>
  <c r="J13" i="10"/>
  <c r="K13" i="10"/>
  <c r="L13" i="10"/>
  <c r="M13" i="10"/>
  <c r="N13" i="10"/>
  <c r="I14" i="10"/>
  <c r="J14" i="10"/>
  <c r="K14" i="10"/>
  <c r="L14" i="10"/>
  <c r="M14" i="10"/>
  <c r="N14" i="10"/>
  <c r="J11" i="10"/>
  <c r="K11" i="10"/>
  <c r="L11" i="10"/>
  <c r="M11" i="10"/>
  <c r="N11" i="10"/>
  <c r="I11" i="10"/>
  <c r="I5" i="10" l="1"/>
  <c r="J5" i="10"/>
  <c r="K5" i="10"/>
  <c r="L5" i="10"/>
  <c r="M5" i="10"/>
  <c r="N5" i="10"/>
  <c r="O5" i="10"/>
  <c r="I6" i="10"/>
  <c r="J6" i="10"/>
  <c r="K6" i="10"/>
  <c r="L6" i="10"/>
  <c r="M6" i="10"/>
  <c r="N6" i="10"/>
  <c r="O6" i="10"/>
  <c r="I7" i="10"/>
  <c r="J7" i="10"/>
  <c r="K7" i="10"/>
  <c r="L7" i="10"/>
  <c r="M7" i="10"/>
  <c r="N7" i="10"/>
  <c r="O7" i="10"/>
  <c r="J4" i="10"/>
  <c r="K4" i="10"/>
  <c r="L4" i="10"/>
  <c r="M4" i="10"/>
  <c r="N4" i="10"/>
  <c r="O4" i="10"/>
  <c r="I4" i="10"/>
  <c r="E3" i="5"/>
  <c r="AL8" i="5"/>
  <c r="AL9" i="5"/>
  <c r="AL10" i="5"/>
  <c r="AL11" i="5"/>
  <c r="AL12" i="5"/>
  <c r="AL13" i="5"/>
  <c r="AL14" i="5"/>
  <c r="AL15" i="5"/>
  <c r="AL16" i="5"/>
  <c r="AL17" i="5"/>
  <c r="AL7" i="5"/>
  <c r="J6" i="8" l="1"/>
  <c r="M6" i="8" s="1"/>
  <c r="P6" i="8" s="1"/>
  <c r="S6" i="8" s="1"/>
  <c r="V6" i="8" s="1"/>
  <c r="Y6" i="8" s="1"/>
  <c r="AB6" i="8" s="1"/>
  <c r="AE6" i="8" s="1"/>
  <c r="AH6" i="8" s="1"/>
  <c r="H6" i="8"/>
  <c r="K6" i="8" s="1"/>
  <c r="N6" i="8" s="1"/>
  <c r="Q6" i="8" s="1"/>
  <c r="T6" i="8" s="1"/>
  <c r="W6" i="8" s="1"/>
  <c r="Z6" i="8" s="1"/>
  <c r="AC6" i="8" s="1"/>
  <c r="AF6" i="8" s="1"/>
  <c r="E6" i="8"/>
  <c r="D6" i="8"/>
  <c r="E3" i="8"/>
  <c r="E2" i="8"/>
  <c r="D4" i="8" l="1"/>
  <c r="J6" i="5"/>
  <c r="M6" i="5" s="1"/>
  <c r="P6" i="5" s="1"/>
  <c r="S6" i="5" s="1"/>
  <c r="V6" i="5" s="1"/>
  <c r="Y6" i="5" s="1"/>
  <c r="AB6" i="5" s="1"/>
  <c r="AE6" i="5" s="1"/>
  <c r="AH6" i="5" s="1"/>
  <c r="H6" i="5"/>
  <c r="K6" i="5" s="1"/>
  <c r="N6" i="5" s="1"/>
  <c r="Q6" i="5" s="1"/>
  <c r="T6" i="5" s="1"/>
  <c r="W6" i="5" s="1"/>
  <c r="Z6" i="5" s="1"/>
  <c r="AC6" i="5" s="1"/>
  <c r="AF6" i="5" s="1"/>
  <c r="E6" i="5"/>
  <c r="D6" i="5"/>
  <c r="E2" i="5"/>
  <c r="E4" i="5" s="1"/>
  <c r="F10" i="2"/>
  <c r="I13" i="2"/>
  <c r="F11" i="2"/>
  <c r="F12" i="2"/>
  <c r="F13" i="2"/>
  <c r="F14" i="2"/>
  <c r="F15" i="2"/>
  <c r="F16" i="2"/>
  <c r="F17" i="2"/>
  <c r="F18" i="2"/>
  <c r="F19" i="2"/>
  <c r="F20" i="2"/>
  <c r="F21" i="2"/>
  <c r="E11" i="2"/>
  <c r="I11" i="2" s="1"/>
  <c r="E12" i="2"/>
  <c r="I12" i="2" s="1"/>
  <c r="E13" i="2"/>
  <c r="E14" i="2"/>
  <c r="I14" i="2" s="1"/>
  <c r="E15" i="2"/>
  <c r="I15" i="2" s="1"/>
  <c r="E16" i="2"/>
  <c r="E17" i="2"/>
  <c r="I17" i="2" s="1"/>
  <c r="E18" i="2"/>
  <c r="I18" i="2" s="1"/>
  <c r="E19" i="2"/>
  <c r="I19" i="2" s="1"/>
  <c r="E20" i="2"/>
  <c r="I20" i="2" s="1"/>
  <c r="E21" i="2"/>
  <c r="I21" i="2" s="1"/>
  <c r="E10" i="2"/>
  <c r="I10" i="2" s="1"/>
  <c r="C23" i="3"/>
  <c r="D23" i="3"/>
  <c r="E21" i="3"/>
  <c r="F21" i="3" s="1"/>
  <c r="G21" i="3" s="1"/>
  <c r="E20" i="3"/>
  <c r="E19" i="3"/>
  <c r="F19" i="3" s="1"/>
  <c r="E18" i="3"/>
  <c r="F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E17" i="3"/>
  <c r="F17" i="3" s="1"/>
  <c r="G17" i="3" s="1"/>
  <c r="E16" i="3"/>
  <c r="F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E15" i="3"/>
  <c r="F15" i="3" s="1"/>
  <c r="E14" i="3"/>
  <c r="F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E13" i="3"/>
  <c r="F13" i="3" s="1"/>
  <c r="G13" i="3" s="1"/>
  <c r="E12" i="3"/>
  <c r="F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E11" i="3"/>
  <c r="F11" i="3" s="1"/>
  <c r="E10" i="3"/>
  <c r="F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B41" i="1"/>
  <c r="B42" i="1" s="1"/>
  <c r="F35" i="1"/>
  <c r="G12" i="3" l="1"/>
  <c r="G16" i="3"/>
  <c r="J14" i="2"/>
  <c r="J12" i="2"/>
  <c r="J13" i="2"/>
  <c r="J11" i="2"/>
  <c r="I16" i="2"/>
  <c r="J16" i="2" s="1"/>
  <c r="J18" i="2"/>
  <c r="G20" i="2"/>
  <c r="H20" i="2" s="1"/>
  <c r="G19" i="2"/>
  <c r="H19" i="2" s="1"/>
  <c r="J20" i="2"/>
  <c r="J19" i="2"/>
  <c r="G18" i="2"/>
  <c r="H18" i="2" s="1"/>
  <c r="G16" i="2"/>
  <c r="H16" i="2" s="1"/>
  <c r="G15" i="2"/>
  <c r="H15" i="2" s="1"/>
  <c r="G10" i="2"/>
  <c r="G14" i="2"/>
  <c r="H14" i="2" s="1"/>
  <c r="G17" i="2"/>
  <c r="H17" i="2" s="1"/>
  <c r="G21" i="2"/>
  <c r="H21" i="2" s="1"/>
  <c r="G13" i="2"/>
  <c r="H13" i="2" s="1"/>
  <c r="G12" i="2"/>
  <c r="H12" i="2" s="1"/>
  <c r="G11" i="2"/>
  <c r="H11" i="2" s="1"/>
  <c r="J17" i="2"/>
  <c r="J15" i="2"/>
  <c r="J21" i="2"/>
  <c r="J10" i="2"/>
  <c r="K10" i="2" s="1"/>
  <c r="G11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G15" i="3"/>
  <c r="H15" i="3"/>
  <c r="I15" i="3" s="1"/>
  <c r="J15" i="3" s="1"/>
  <c r="K15" i="3" s="1"/>
  <c r="L15" i="3" s="1"/>
  <c r="M15" i="3" s="1"/>
  <c r="N15" i="3" s="1"/>
  <c r="O15" i="3" s="1"/>
  <c r="P15" i="3" s="1"/>
  <c r="Q15" i="3" s="1"/>
  <c r="G19" i="3"/>
  <c r="F20" i="3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H19" i="3"/>
  <c r="I19" i="3" s="1"/>
  <c r="J19" i="3" s="1"/>
  <c r="K19" i="3" s="1"/>
  <c r="L19" i="3" s="1"/>
  <c r="M19" i="3" s="1"/>
  <c r="N19" i="3" s="1"/>
  <c r="O19" i="3" s="1"/>
  <c r="P19" i="3" s="1"/>
  <c r="Q19" i="3" s="1"/>
  <c r="G10" i="3"/>
  <c r="H13" i="3"/>
  <c r="I13" i="3" s="1"/>
  <c r="J13" i="3" s="1"/>
  <c r="K13" i="3" s="1"/>
  <c r="L13" i="3" s="1"/>
  <c r="M13" i="3" s="1"/>
  <c r="N13" i="3" s="1"/>
  <c r="O13" i="3" s="1"/>
  <c r="P13" i="3" s="1"/>
  <c r="Q13" i="3" s="1"/>
  <c r="G14" i="3"/>
  <c r="H17" i="3"/>
  <c r="G18" i="3"/>
  <c r="H21" i="3"/>
  <c r="I21" i="3" s="1"/>
  <c r="J21" i="3" s="1"/>
  <c r="K21" i="3" s="1"/>
  <c r="L21" i="3" s="1"/>
  <c r="M21" i="3" s="1"/>
  <c r="N21" i="3" s="1"/>
  <c r="O21" i="3" s="1"/>
  <c r="P21" i="3" s="1"/>
  <c r="Q21" i="3" s="1"/>
  <c r="H10" i="2" l="1"/>
  <c r="G7" i="2"/>
  <c r="G20" i="3"/>
  <c r="K12" i="2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K16" i="2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K19" i="2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K21" i="2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K14" i="2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K18" i="2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K15" i="2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K20" i="2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F33" i="8"/>
  <c r="G33" i="8" s="1"/>
  <c r="H33" i="8" s="1"/>
  <c r="F32" i="8"/>
  <c r="G32" i="8" s="1"/>
  <c r="H32" i="8" s="1"/>
  <c r="F31" i="8"/>
  <c r="G31" i="8" s="1"/>
  <c r="H31" i="8" s="1"/>
  <c r="F30" i="8"/>
  <c r="G30" i="8" s="1"/>
  <c r="H30" i="8" s="1"/>
  <c r="F22" i="8"/>
  <c r="G22" i="8" s="1"/>
  <c r="H22" i="8" s="1"/>
  <c r="F14" i="8"/>
  <c r="G14" i="8" s="1"/>
  <c r="H14" i="8" s="1"/>
  <c r="K14" i="8" s="1"/>
  <c r="N14" i="8" s="1"/>
  <c r="Q14" i="8" s="1"/>
  <c r="T14" i="8" s="1"/>
  <c r="W14" i="8" s="1"/>
  <c r="Z14" i="8" s="1"/>
  <c r="AC14" i="8" s="1"/>
  <c r="AF14" i="8" s="1"/>
  <c r="F29" i="8"/>
  <c r="G29" i="8" s="1"/>
  <c r="H29" i="8" s="1"/>
  <c r="F21" i="8"/>
  <c r="G21" i="8" s="1"/>
  <c r="H21" i="8" s="1"/>
  <c r="F13" i="8"/>
  <c r="G13" i="8" s="1"/>
  <c r="H13" i="8" s="1"/>
  <c r="K13" i="8" s="1"/>
  <c r="N13" i="8" s="1"/>
  <c r="Q13" i="8" s="1"/>
  <c r="T13" i="8" s="1"/>
  <c r="W13" i="8" s="1"/>
  <c r="Z13" i="8" s="1"/>
  <c r="AC13" i="8" s="1"/>
  <c r="AF13" i="8" s="1"/>
  <c r="F8" i="8"/>
  <c r="G8" i="8" s="1"/>
  <c r="H8" i="8" s="1"/>
  <c r="K8" i="8" s="1"/>
  <c r="N8" i="8" s="1"/>
  <c r="Q8" i="8" s="1"/>
  <c r="T8" i="8" s="1"/>
  <c r="W8" i="8" s="1"/>
  <c r="Z8" i="8" s="1"/>
  <c r="AC8" i="8" s="1"/>
  <c r="AF8" i="8" s="1"/>
  <c r="F28" i="8"/>
  <c r="G28" i="8" s="1"/>
  <c r="H28" i="8" s="1"/>
  <c r="F20" i="8"/>
  <c r="G20" i="8" s="1"/>
  <c r="H20" i="8" s="1"/>
  <c r="F12" i="8"/>
  <c r="G12" i="8" s="1"/>
  <c r="H12" i="8" s="1"/>
  <c r="K12" i="8" s="1"/>
  <c r="N12" i="8" s="1"/>
  <c r="Q12" i="8" s="1"/>
  <c r="T12" i="8" s="1"/>
  <c r="W12" i="8" s="1"/>
  <c r="Z12" i="8" s="1"/>
  <c r="AC12" i="8" s="1"/>
  <c r="AF12" i="8" s="1"/>
  <c r="F9" i="8"/>
  <c r="G9" i="8" s="1"/>
  <c r="H9" i="8" s="1"/>
  <c r="K9" i="8" s="1"/>
  <c r="N9" i="8" s="1"/>
  <c r="Q9" i="8" s="1"/>
  <c r="T9" i="8" s="1"/>
  <c r="W9" i="8" s="1"/>
  <c r="Z9" i="8" s="1"/>
  <c r="AC9" i="8" s="1"/>
  <c r="AF9" i="8" s="1"/>
  <c r="F23" i="8"/>
  <c r="G23" i="8" s="1"/>
  <c r="H23" i="8" s="1"/>
  <c r="K23" i="8" s="1"/>
  <c r="N23" i="8" s="1"/>
  <c r="Q23" i="8" s="1"/>
  <c r="T23" i="8" s="1"/>
  <c r="W23" i="8" s="1"/>
  <c r="Z23" i="8" s="1"/>
  <c r="AC23" i="8" s="1"/>
  <c r="AF23" i="8" s="1"/>
  <c r="F27" i="8"/>
  <c r="G27" i="8" s="1"/>
  <c r="H27" i="8" s="1"/>
  <c r="F19" i="8"/>
  <c r="G19" i="8" s="1"/>
  <c r="H19" i="8" s="1"/>
  <c r="F11" i="8"/>
  <c r="G11" i="8" s="1"/>
  <c r="H11" i="8" s="1"/>
  <c r="K11" i="8" s="1"/>
  <c r="N11" i="8" s="1"/>
  <c r="Q11" i="8" s="1"/>
  <c r="T11" i="8" s="1"/>
  <c r="W11" i="8" s="1"/>
  <c r="Z11" i="8" s="1"/>
  <c r="AC11" i="8" s="1"/>
  <c r="AF11" i="8" s="1"/>
  <c r="F17" i="8"/>
  <c r="G17" i="8" s="1"/>
  <c r="H17" i="8" s="1"/>
  <c r="K17" i="8" s="1"/>
  <c r="N17" i="8" s="1"/>
  <c r="Q17" i="8" s="1"/>
  <c r="T17" i="8" s="1"/>
  <c r="W17" i="8" s="1"/>
  <c r="Z17" i="8" s="1"/>
  <c r="AC17" i="8" s="1"/>
  <c r="AF17" i="8" s="1"/>
  <c r="F16" i="8"/>
  <c r="G16" i="8" s="1"/>
  <c r="H16" i="8" s="1"/>
  <c r="K16" i="8" s="1"/>
  <c r="N16" i="8" s="1"/>
  <c r="Q16" i="8" s="1"/>
  <c r="T16" i="8" s="1"/>
  <c r="W16" i="8" s="1"/>
  <c r="Z16" i="8" s="1"/>
  <c r="AC16" i="8" s="1"/>
  <c r="AF16" i="8" s="1"/>
  <c r="F7" i="8"/>
  <c r="G7" i="8" s="1"/>
  <c r="H7" i="8" s="1"/>
  <c r="K7" i="8" s="1"/>
  <c r="N7" i="8" s="1"/>
  <c r="Q7" i="8" s="1"/>
  <c r="T7" i="8" s="1"/>
  <c r="W7" i="8" s="1"/>
  <c r="Z7" i="8" s="1"/>
  <c r="AC7" i="8" s="1"/>
  <c r="AF7" i="8" s="1"/>
  <c r="F26" i="8"/>
  <c r="G26" i="8" s="1"/>
  <c r="H26" i="8" s="1"/>
  <c r="F18" i="8"/>
  <c r="G18" i="8" s="1"/>
  <c r="H18" i="8" s="1"/>
  <c r="K18" i="8" s="1"/>
  <c r="N18" i="8" s="1"/>
  <c r="Q18" i="8" s="1"/>
  <c r="T18" i="8" s="1"/>
  <c r="W18" i="8" s="1"/>
  <c r="Z18" i="8" s="1"/>
  <c r="AC18" i="8" s="1"/>
  <c r="AF18" i="8" s="1"/>
  <c r="F10" i="8"/>
  <c r="G10" i="8" s="1"/>
  <c r="H10" i="8" s="1"/>
  <c r="K10" i="8" s="1"/>
  <c r="N10" i="8" s="1"/>
  <c r="Q10" i="8" s="1"/>
  <c r="T10" i="8" s="1"/>
  <c r="W10" i="8" s="1"/>
  <c r="Z10" i="8" s="1"/>
  <c r="AC10" i="8" s="1"/>
  <c r="AF10" i="8" s="1"/>
  <c r="F25" i="8"/>
  <c r="G25" i="8" s="1"/>
  <c r="H25" i="8" s="1"/>
  <c r="F24" i="8"/>
  <c r="G24" i="8" s="1"/>
  <c r="H24" i="8" s="1"/>
  <c r="F15" i="8"/>
  <c r="G15" i="8" s="1"/>
  <c r="H15" i="8" s="1"/>
  <c r="K15" i="8" s="1"/>
  <c r="N15" i="8" s="1"/>
  <c r="Q15" i="8" s="1"/>
  <c r="T15" i="8" s="1"/>
  <c r="W15" i="8" s="1"/>
  <c r="Z15" i="8" s="1"/>
  <c r="AC15" i="8" s="1"/>
  <c r="AF15" i="8" s="1"/>
  <c r="F15" i="5"/>
  <c r="G15" i="5" s="1"/>
  <c r="H15" i="5" s="1"/>
  <c r="K15" i="5" s="1"/>
  <c r="N15" i="5" s="1"/>
  <c r="Q15" i="5" s="1"/>
  <c r="T15" i="5" s="1"/>
  <c r="W15" i="5" s="1"/>
  <c r="Z15" i="5" s="1"/>
  <c r="AC15" i="5" s="1"/>
  <c r="AF15" i="5" s="1"/>
  <c r="F8" i="5"/>
  <c r="G8" i="5" s="1"/>
  <c r="H8" i="5" s="1"/>
  <c r="K8" i="5" s="1"/>
  <c r="N8" i="5" s="1"/>
  <c r="Q8" i="5" s="1"/>
  <c r="T8" i="5" s="1"/>
  <c r="W8" i="5" s="1"/>
  <c r="Z8" i="5" s="1"/>
  <c r="AC8" i="5" s="1"/>
  <c r="AF8" i="5" s="1"/>
  <c r="F16" i="5"/>
  <c r="G16" i="5" s="1"/>
  <c r="H16" i="5" s="1"/>
  <c r="K16" i="5" s="1"/>
  <c r="N16" i="5" s="1"/>
  <c r="Q16" i="5" s="1"/>
  <c r="T16" i="5" s="1"/>
  <c r="W16" i="5" s="1"/>
  <c r="Z16" i="5" s="1"/>
  <c r="AC16" i="5" s="1"/>
  <c r="AF16" i="5" s="1"/>
  <c r="F9" i="5"/>
  <c r="G9" i="5" s="1"/>
  <c r="H9" i="5" s="1"/>
  <c r="K9" i="5" s="1"/>
  <c r="N9" i="5" s="1"/>
  <c r="Q9" i="5" s="1"/>
  <c r="T9" i="5" s="1"/>
  <c r="W9" i="5" s="1"/>
  <c r="Z9" i="5" s="1"/>
  <c r="AC9" i="5" s="1"/>
  <c r="AF9" i="5" s="1"/>
  <c r="F17" i="5"/>
  <c r="G17" i="5" s="1"/>
  <c r="H17" i="5" s="1"/>
  <c r="K17" i="5" s="1"/>
  <c r="N17" i="5" s="1"/>
  <c r="Q17" i="5" s="1"/>
  <c r="T17" i="5" s="1"/>
  <c r="W17" i="5" s="1"/>
  <c r="Z17" i="5" s="1"/>
  <c r="AC17" i="5" s="1"/>
  <c r="AF17" i="5" s="1"/>
  <c r="F10" i="5"/>
  <c r="G10" i="5" s="1"/>
  <c r="H10" i="5" s="1"/>
  <c r="K10" i="5" s="1"/>
  <c r="N10" i="5" s="1"/>
  <c r="Q10" i="5" s="1"/>
  <c r="T10" i="5" s="1"/>
  <c r="W10" i="5" s="1"/>
  <c r="Z10" i="5" s="1"/>
  <c r="AC10" i="5" s="1"/>
  <c r="AF10" i="5" s="1"/>
  <c r="F18" i="5"/>
  <c r="G18" i="5" s="1"/>
  <c r="H18" i="5" s="1"/>
  <c r="K18" i="5" s="1"/>
  <c r="N18" i="5" s="1"/>
  <c r="Q18" i="5" s="1"/>
  <c r="T18" i="5" s="1"/>
  <c r="W18" i="5" s="1"/>
  <c r="Z18" i="5" s="1"/>
  <c r="AC18" i="5" s="1"/>
  <c r="AF18" i="5" s="1"/>
  <c r="F11" i="5"/>
  <c r="G11" i="5" s="1"/>
  <c r="H11" i="5" s="1"/>
  <c r="K11" i="5" s="1"/>
  <c r="N11" i="5" s="1"/>
  <c r="Q11" i="5" s="1"/>
  <c r="T11" i="5" s="1"/>
  <c r="W11" i="5" s="1"/>
  <c r="Z11" i="5" s="1"/>
  <c r="AC11" i="5" s="1"/>
  <c r="AF11" i="5" s="1"/>
  <c r="G7" i="5"/>
  <c r="H7" i="5" s="1"/>
  <c r="K7" i="5" s="1"/>
  <c r="N7" i="5" s="1"/>
  <c r="Q7" i="5" s="1"/>
  <c r="T7" i="5" s="1"/>
  <c r="W7" i="5" s="1"/>
  <c r="Z7" i="5" s="1"/>
  <c r="AC7" i="5" s="1"/>
  <c r="AF7" i="5" s="1"/>
  <c r="F12" i="5"/>
  <c r="G12" i="5" s="1"/>
  <c r="H12" i="5" s="1"/>
  <c r="K12" i="5" s="1"/>
  <c r="N12" i="5" s="1"/>
  <c r="Q12" i="5" s="1"/>
  <c r="T12" i="5" s="1"/>
  <c r="W12" i="5" s="1"/>
  <c r="Z12" i="5" s="1"/>
  <c r="AC12" i="5" s="1"/>
  <c r="AF12" i="5" s="1"/>
  <c r="F13" i="5"/>
  <c r="G13" i="5" s="1"/>
  <c r="H13" i="5" s="1"/>
  <c r="K13" i="5" s="1"/>
  <c r="N13" i="5" s="1"/>
  <c r="Q13" i="5" s="1"/>
  <c r="T13" i="5" s="1"/>
  <c r="W13" i="5" s="1"/>
  <c r="Z13" i="5" s="1"/>
  <c r="AC13" i="5" s="1"/>
  <c r="AF13" i="5" s="1"/>
  <c r="F14" i="5"/>
  <c r="G14" i="5" s="1"/>
  <c r="H14" i="5" s="1"/>
  <c r="K14" i="5" s="1"/>
  <c r="N14" i="5" s="1"/>
  <c r="Q14" i="5" s="1"/>
  <c r="T14" i="5" s="1"/>
  <c r="W14" i="5" s="1"/>
  <c r="Z14" i="5" s="1"/>
  <c r="AC14" i="5" s="1"/>
  <c r="AF14" i="5" s="1"/>
  <c r="I17" i="3"/>
  <c r="H23" i="3"/>
  <c r="K25" i="8" l="1"/>
  <c r="N25" i="8" s="1"/>
  <c r="Q25" i="8" s="1"/>
  <c r="T25" i="8" s="1"/>
  <c r="W25" i="8" s="1"/>
  <c r="Z25" i="8" s="1"/>
  <c r="AC25" i="8" s="1"/>
  <c r="AF25" i="8" s="1"/>
  <c r="K33" i="8"/>
  <c r="N33" i="8" s="1"/>
  <c r="Q33" i="8" s="1"/>
  <c r="T33" i="8" s="1"/>
  <c r="W33" i="8" s="1"/>
  <c r="Z33" i="8" s="1"/>
  <c r="AC33" i="8" s="1"/>
  <c r="AF33" i="8" s="1"/>
  <c r="K28" i="8"/>
  <c r="N28" i="8" s="1"/>
  <c r="Q28" i="8" s="1"/>
  <c r="T28" i="8" s="1"/>
  <c r="W28" i="8" s="1"/>
  <c r="Z28" i="8" s="1"/>
  <c r="AC28" i="8" s="1"/>
  <c r="AF28" i="8" s="1"/>
  <c r="K31" i="8"/>
  <c r="N31" i="8" s="1"/>
  <c r="Q31" i="8" s="1"/>
  <c r="T31" i="8" s="1"/>
  <c r="W31" i="8" s="1"/>
  <c r="Z31" i="8" s="1"/>
  <c r="AC31" i="8" s="1"/>
  <c r="AF31" i="8" s="1"/>
  <c r="K19" i="8"/>
  <c r="N19" i="8" s="1"/>
  <c r="Q19" i="8" s="1"/>
  <c r="T19" i="8" s="1"/>
  <c r="W19" i="8" s="1"/>
  <c r="Z19" i="8" s="1"/>
  <c r="AC19" i="8" s="1"/>
  <c r="AF19" i="8" s="1"/>
  <c r="K26" i="8"/>
  <c r="N26" i="8" s="1"/>
  <c r="Q26" i="8" s="1"/>
  <c r="T26" i="8" s="1"/>
  <c r="W26" i="8" s="1"/>
  <c r="Z26" i="8" s="1"/>
  <c r="AC26" i="8" s="1"/>
  <c r="AF26" i="8" s="1"/>
  <c r="K24" i="8"/>
  <c r="N24" i="8" s="1"/>
  <c r="Q24" i="8" s="1"/>
  <c r="T24" i="8" s="1"/>
  <c r="W24" i="8" s="1"/>
  <c r="Z24" i="8" s="1"/>
  <c r="AC24" i="8" s="1"/>
  <c r="AF24" i="8" s="1"/>
  <c r="K27" i="8"/>
  <c r="N27" i="8" s="1"/>
  <c r="Q27" i="8" s="1"/>
  <c r="T27" i="8" s="1"/>
  <c r="W27" i="8" s="1"/>
  <c r="Z27" i="8" s="1"/>
  <c r="AC27" i="8" s="1"/>
  <c r="AF27" i="8" s="1"/>
  <c r="K21" i="8"/>
  <c r="N21" i="8" s="1"/>
  <c r="Q21" i="8" s="1"/>
  <c r="T21" i="8" s="1"/>
  <c r="W21" i="8" s="1"/>
  <c r="Z21" i="8" s="1"/>
  <c r="AC21" i="8" s="1"/>
  <c r="AF21" i="8" s="1"/>
  <c r="K29" i="8"/>
  <c r="N29" i="8" s="1"/>
  <c r="Q29" i="8" s="1"/>
  <c r="T29" i="8" s="1"/>
  <c r="W29" i="8" s="1"/>
  <c r="Z29" i="8" s="1"/>
  <c r="AC29" i="8" s="1"/>
  <c r="AF29" i="8" s="1"/>
  <c r="K22" i="8"/>
  <c r="N22" i="8" s="1"/>
  <c r="Q22" i="8" s="1"/>
  <c r="T22" i="8" s="1"/>
  <c r="W22" i="8" s="1"/>
  <c r="Z22" i="8" s="1"/>
  <c r="AC22" i="8" s="1"/>
  <c r="AF22" i="8" s="1"/>
  <c r="K20" i="8"/>
  <c r="N20" i="8" s="1"/>
  <c r="Q20" i="8" s="1"/>
  <c r="T20" i="8" s="1"/>
  <c r="W20" i="8" s="1"/>
  <c r="Z20" i="8" s="1"/>
  <c r="AC20" i="8" s="1"/>
  <c r="AF20" i="8" s="1"/>
  <c r="K30" i="8"/>
  <c r="N30" i="8" s="1"/>
  <c r="Q30" i="8" s="1"/>
  <c r="T30" i="8" s="1"/>
  <c r="W30" i="8" s="1"/>
  <c r="Z30" i="8" s="1"/>
  <c r="AC30" i="8" s="1"/>
  <c r="AF30" i="8" s="1"/>
  <c r="K32" i="8"/>
  <c r="N32" i="8" s="1"/>
  <c r="Q32" i="8" s="1"/>
  <c r="T32" i="8" s="1"/>
  <c r="W32" i="8" s="1"/>
  <c r="Z32" i="8" s="1"/>
  <c r="AC32" i="8" s="1"/>
  <c r="AF32" i="8" s="1"/>
  <c r="L10" i="2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J17" i="3"/>
  <c r="I23" i="3"/>
  <c r="K17" i="3" l="1"/>
  <c r="J23" i="3"/>
  <c r="L17" i="3" l="1"/>
  <c r="K23" i="3"/>
  <c r="M17" i="3" l="1"/>
  <c r="L23" i="3"/>
  <c r="N17" i="3" l="1"/>
  <c r="M23" i="3"/>
  <c r="O17" i="3" l="1"/>
  <c r="N23" i="3"/>
  <c r="P17" i="3" l="1"/>
  <c r="O23" i="3"/>
  <c r="Q17" i="3" l="1"/>
  <c r="Q23" i="3" s="1"/>
  <c r="P23" i="3"/>
</calcChain>
</file>

<file path=xl/sharedStrings.xml><?xml version="1.0" encoding="utf-8"?>
<sst xmlns="http://schemas.openxmlformats.org/spreadsheetml/2006/main" count="695" uniqueCount="245">
  <si>
    <r>
      <t xml:space="preserve">PROJECTION DES DONNEES STATISTIQUES DE 2014 A 2030 PAR LA METHODE DE TAMA </t>
    </r>
    <r>
      <rPr>
        <b/>
        <sz val="8"/>
        <color rgb="FF000000"/>
        <rFont val="Arial Narrow"/>
        <family val="2"/>
      </rPr>
      <t>(</t>
    </r>
    <r>
      <rPr>
        <b/>
        <u/>
        <sz val="11"/>
        <color theme="1"/>
        <rFont val="Calibri"/>
        <family val="2"/>
        <scheme val="minor"/>
      </rPr>
      <t>taux d’accroissement annuel moyen)</t>
    </r>
  </si>
  <si>
    <t>(2017/2018)-(2014/2014)=n</t>
  </si>
  <si>
    <t>n=2018-2014=2017-2014</t>
  </si>
  <si>
    <t>Ecoles</t>
  </si>
  <si>
    <t>Classes</t>
  </si>
  <si>
    <t>Elèves</t>
  </si>
  <si>
    <t>Enseignants</t>
  </si>
  <si>
    <t>1/n=</t>
  </si>
  <si>
    <t>1/n=1/3</t>
  </si>
  <si>
    <t>Pré-primaire</t>
  </si>
  <si>
    <t>Primaire</t>
  </si>
  <si>
    <t>Secondaire</t>
  </si>
  <si>
    <t>Valeur d'arrivée</t>
  </si>
  <si>
    <t>Pt+1=Valeur d'arrivée</t>
  </si>
  <si>
    <t>Valeur de départ</t>
  </si>
  <si>
    <t>Pt=Valeur de départ</t>
  </si>
  <si>
    <t>A l'aide de la Calculettre Scientifique</t>
  </si>
  <si>
    <t>(Valeur d'arrivée)/(Valeur de départ)=</t>
  </si>
  <si>
    <t>(Pt+1)/Pt=</t>
  </si>
  <si>
    <t>W0,961733347</t>
  </si>
  <si>
    <t xml:space="preserve"> (Pt+1)/Pt l'exposant 1/n</t>
  </si>
  <si>
    <t>si en % alors X100</t>
  </si>
  <si>
    <t>TAMA=</t>
  </si>
  <si>
    <t xml:space="preserve"> TAMA + 1 =</t>
  </si>
  <si>
    <t>la 1ère année de projection</t>
  </si>
  <si>
    <t>Pt X (TAMA + 1) =</t>
  </si>
  <si>
    <t>Données Réelles</t>
  </si>
  <si>
    <t>ANNUAIRE 2014-2015</t>
  </si>
  <si>
    <t>13.545</t>
  </si>
  <si>
    <t>388.197</t>
  </si>
  <si>
    <t>223.547</t>
  </si>
  <si>
    <t>338.668</t>
  </si>
  <si>
    <t>14.301.438</t>
  </si>
  <si>
    <t>4.576.311</t>
  </si>
  <si>
    <t>14.543</t>
  </si>
  <si>
    <t>414.580</t>
  </si>
  <si>
    <t>324.324</t>
  </si>
  <si>
    <t>1ère année de Projection</t>
  </si>
  <si>
    <t>Projection</t>
  </si>
  <si>
    <t>2015-2016</t>
  </si>
  <si>
    <t>2016-2017</t>
  </si>
  <si>
    <t>ANNUAIRE 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</si>
  <si>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</si>
  <si>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</si>
  <si>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</si>
  <si>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</si>
  <si>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</si>
  <si>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</si>
  <si>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</si>
  <si>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</si>
  <si>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</si>
  <si>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</si>
  <si>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</si>
  <si>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</si>
  <si>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</si>
  <si>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2020-2034</t>
  </si>
  <si>
    <t>2020-2035</t>
  </si>
  <si>
    <t>n=(année d'arrivée)-(année de départ):</t>
  </si>
  <si>
    <t>1/n=1 sur indice</t>
  </si>
  <si>
    <t>n=2</t>
  </si>
  <si>
    <t>PT+1</t>
  </si>
  <si>
    <t>PT</t>
  </si>
  <si>
    <t>ENTRE 2017-2018 ET 2019-2020</t>
  </si>
  <si>
    <t>Formule = (Py/Px)(1/n)-1</t>
  </si>
  <si>
    <t>Py= effectifs 2019-2020</t>
  </si>
  <si>
    <t>Px = effectifs 2017-2018</t>
  </si>
  <si>
    <t>n=2, soit 2020-2018</t>
  </si>
  <si>
    <t>2017-2018</t>
  </si>
  <si>
    <t>TAMA</t>
  </si>
  <si>
    <t>ECOLES</t>
  </si>
  <si>
    <t>PRE-PRIMAIRE</t>
  </si>
  <si>
    <t>PRIMAIRE</t>
  </si>
  <si>
    <t>SECONDAIRE</t>
  </si>
  <si>
    <t>CLASSES</t>
  </si>
  <si>
    <t>ELEVES</t>
  </si>
  <si>
    <t>ENSEIGNANTS</t>
  </si>
  <si>
    <t>Coefiscient projection</t>
  </si>
  <si>
    <t>TAMA=Coefiscient proj moins 1</t>
  </si>
  <si>
    <t>PROJECTION DES DONNEES STATISTIQUES DE 2014-2015 A 2025-2026 PAR LA METHODE DE TAMA 
(TAMA= Taux d’Accroissement Annuel Moyen)</t>
  </si>
  <si>
    <t>ANNUAIRE 2019-2020</t>
  </si>
  <si>
    <t>PROJECTION</t>
  </si>
  <si>
    <t>NIVEAU</t>
  </si>
  <si>
    <t>PARAMETRES</t>
  </si>
  <si>
    <t>PROJECTION DES DONNEES STATISTIQUES DE 2019-2020 A 2024-2025 PAR LA METHODE DE TAMA 
(TAMA= Taux d’Accroissement Annuel Moyen)</t>
  </si>
  <si>
    <t>(PT1+1)/PT</t>
  </si>
  <si>
    <t>2014-2015</t>
  </si>
  <si>
    <t>PT (Année de départ)</t>
  </si>
  <si>
    <t>PT+1 (Année d'arrivé)</t>
  </si>
  <si>
    <t>n = coefficient d'accroissement</t>
  </si>
  <si>
    <t>n = (PT+1)-PT = 3</t>
  </si>
  <si>
    <t>1/n = 1/3</t>
  </si>
  <si>
    <t>n=</t>
  </si>
  <si>
    <t>[(PT1+1)/PT]^1/n</t>
  </si>
  <si>
    <t>[(PT1+1)/PT]^1/n-1</t>
  </si>
  <si>
    <t>ENTRE 2014-2015 ET 2017-2018</t>
  </si>
  <si>
    <t>n=3</t>
  </si>
  <si>
    <t xml:space="preserve">Formule = </t>
  </si>
  <si>
    <t xml:space="preserve">PT= Valeur de l'année de départ Exemple :nombre d'école de 2014-2015=4648 </t>
  </si>
  <si>
    <t>PT+1= Valeur de l'année de d'arriver: Exemple :nombre d'école de 2017-2018= 5945</t>
  </si>
  <si>
    <t>TAMA=Taux Annuel Moyen d'Accroissement</t>
  </si>
  <si>
    <t xml:space="preserve">NB: </t>
  </si>
  <si>
    <t>Pour calculer la 1ère année de projection  (2015-2016),  On  mulipliera  Pt x (TAMA + 1).</t>
  </si>
  <si>
    <t>Pour la suite, on prendra la valeur de l'année precedent (2015-2016)  x (TAMA + 1).</t>
  </si>
  <si>
    <t>Année de départ (PT)</t>
  </si>
  <si>
    <t>Année d'arrivée (PT+1)</t>
  </si>
  <si>
    <t>n</t>
  </si>
  <si>
    <t>Coéf de prj</t>
  </si>
  <si>
    <t>-</t>
  </si>
  <si>
    <t>Projection automatique du Taux d'Accroissemen Annuel Moyen (TAMA)</t>
  </si>
  <si>
    <t>Ecriture modèle 2010-2011</t>
  </si>
  <si>
    <t>ANNEE</t>
  </si>
  <si>
    <t>PARAMETRE</t>
  </si>
  <si>
    <t>NIVEAU D'ENSEIGNEMENT</t>
  </si>
  <si>
    <t>Paramètres</t>
  </si>
  <si>
    <t>Niveau</t>
  </si>
  <si>
    <t>Sexe</t>
  </si>
  <si>
    <t xml:space="preserve">REGIME DE GESTION </t>
  </si>
  <si>
    <t>Total Public</t>
  </si>
  <si>
    <t>Privé</t>
  </si>
  <si>
    <t>Total général</t>
  </si>
  <si>
    <t>ENC</t>
  </si>
  <si>
    <t>ECC</t>
  </si>
  <si>
    <t>ECP</t>
  </si>
  <si>
    <t>ECK</t>
  </si>
  <si>
    <t>ECI</t>
  </si>
  <si>
    <t>ECS</t>
  </si>
  <si>
    <t>ECF</t>
  </si>
  <si>
    <t>Autres</t>
  </si>
  <si>
    <t>Pré-Primaire</t>
  </si>
  <si>
    <t xml:space="preserve">Total </t>
  </si>
  <si>
    <t>Groupe pédagogique</t>
  </si>
  <si>
    <t>Total</t>
  </si>
  <si>
    <t>Elèves Inscrits</t>
  </si>
  <si>
    <t>GARCONS</t>
  </si>
  <si>
    <t>FILLES</t>
  </si>
  <si>
    <t>TOTAL</t>
  </si>
  <si>
    <t>Total GARCONS</t>
  </si>
  <si>
    <t>Total FILLES</t>
  </si>
  <si>
    <t>Personneles Enseignants</t>
  </si>
  <si>
    <t>HOMMES</t>
  </si>
  <si>
    <t>FEMMES</t>
  </si>
  <si>
    <t>Total HOMMES</t>
  </si>
  <si>
    <t>Total FEMMES</t>
  </si>
  <si>
    <t>Tableau 2.1.2 : Tableau synoptique des données collectées en 2019/2020</t>
  </si>
  <si>
    <t>Tableau 5 : Tableau synoptique des données collectées en 2017/2018</t>
  </si>
  <si>
    <t>Paramètre</t>
  </si>
  <si>
    <t>REGIME DE GESTION (RG)</t>
  </si>
  <si>
    <t>TOT. PUBL</t>
  </si>
  <si>
    <t>TOTAL NIVEAU</t>
  </si>
  <si>
    <t>%</t>
  </si>
  <si>
    <t>Total par paramètre</t>
  </si>
  <si>
    <t>Maternel</t>
  </si>
  <si>
    <t>87656     Ecoles</t>
  </si>
  <si>
    <t>Total Par RG</t>
  </si>
  <si>
    <t>% Par RG</t>
  </si>
  <si>
    <t>640912 Classes</t>
  </si>
  <si>
    <t>23276585 Elèves</t>
  </si>
  <si>
    <t>940535 Enseignants</t>
  </si>
  <si>
    <r>
      <t>Légende </t>
    </r>
    <r>
      <rPr>
        <b/>
        <sz val="11"/>
        <color theme="1"/>
        <rFont val="Arial Narrow"/>
        <family val="2"/>
      </rPr>
      <t>:</t>
    </r>
  </si>
  <si>
    <t>ENC : Ecoles non Conventionnées (Officielles)</t>
  </si>
  <si>
    <t>ECC : Ecoles Conventionnées Catholiques</t>
  </si>
  <si>
    <t>ECP : Ecoles Conventionnées Protestantes</t>
  </si>
  <si>
    <t>ECK : Ecoles Conventionnées Kimbanguistes</t>
  </si>
  <si>
    <t>ECI : Ecoles Conventionnées Islamiques</t>
  </si>
  <si>
    <t>ECS : Ecoles Conventionnées Salutistes</t>
  </si>
  <si>
    <t>ECF : Ecoles Conventionnées de la Fraternité</t>
  </si>
  <si>
    <t>EPR : Ecoles Privées</t>
  </si>
  <si>
    <t>RG   : Regime de Gestion</t>
  </si>
  <si>
    <t>PROVINCES</t>
  </si>
  <si>
    <t xml:space="preserve">PROVINCE </t>
  </si>
  <si>
    <t>CHEF-LIEU</t>
  </si>
  <si>
    <t>Kinshasa</t>
  </si>
  <si>
    <t>Matadi</t>
  </si>
  <si>
    <t>Kenge</t>
  </si>
  <si>
    <t>Kikwit</t>
  </si>
  <si>
    <t>Inongo</t>
  </si>
  <si>
    <t>Mbandaka</t>
  </si>
  <si>
    <t>Boende</t>
  </si>
  <si>
    <t>Lisala</t>
  </si>
  <si>
    <t>Gemena</t>
  </si>
  <si>
    <t>Gbadolite</t>
  </si>
  <si>
    <t>Kisangani</t>
  </si>
  <si>
    <t>Bunia</t>
  </si>
  <si>
    <t>Isiro</t>
  </si>
  <si>
    <t>Buta</t>
  </si>
  <si>
    <t>Goma</t>
  </si>
  <si>
    <t>Bukavu</t>
  </si>
  <si>
    <t>Kindu</t>
  </si>
  <si>
    <t>Kananga</t>
  </si>
  <si>
    <t>Tshikapa</t>
  </si>
  <si>
    <t>Mbuji-Mayi</t>
  </si>
  <si>
    <t>Lusambo</t>
  </si>
  <si>
    <t>Kabinda</t>
  </si>
  <si>
    <t>Lubumbashi</t>
  </si>
  <si>
    <t>Kolwezi</t>
  </si>
  <si>
    <t>Kalemie</t>
  </si>
  <si>
    <t>Kamina</t>
  </si>
  <si>
    <t>TOTAL NATIONAL</t>
  </si>
  <si>
    <t>KINSHASA</t>
  </si>
  <si>
    <t>KONGO-CENTRAL</t>
  </si>
  <si>
    <t>KWANGO</t>
  </si>
  <si>
    <t>KWILU</t>
  </si>
  <si>
    <t>MAÏ-NDOMBE</t>
  </si>
  <si>
    <t>EQUATEUR</t>
  </si>
  <si>
    <t>TSHUAPA</t>
  </si>
  <si>
    <t>MONGALA</t>
  </si>
  <si>
    <t>SUD-UBANGI</t>
  </si>
  <si>
    <t>NORD-UBANGI</t>
  </si>
  <si>
    <t>TSHOPO</t>
  </si>
  <si>
    <t>ITURI</t>
  </si>
  <si>
    <t>HAUT-UELE</t>
  </si>
  <si>
    <t>BAS-UELE</t>
  </si>
  <si>
    <t>NORD-KIVU</t>
  </si>
  <si>
    <t>SUD-KIVU</t>
  </si>
  <si>
    <t>MANIEMA</t>
  </si>
  <si>
    <t>KASAÏ-CENTRAL</t>
  </si>
  <si>
    <t>KASAÏ</t>
  </si>
  <si>
    <t>KASAÏ-ORIENTAL</t>
  </si>
  <si>
    <t>SANKURU</t>
  </si>
  <si>
    <t>LOMAMI</t>
  </si>
  <si>
    <t>HAUT-KATANGA</t>
  </si>
  <si>
    <t>LUALABA</t>
  </si>
  <si>
    <t>TANGANIKA</t>
  </si>
  <si>
    <t>HAUT-LOMAMI</t>
  </si>
  <si>
    <t>5. SYNTHESE DU PARAMETRE ECOLES  PAR SECTEUR D’ENSEIGNEMENT SELON LES PROVINCES DE 2017 à 2021</t>
  </si>
  <si>
    <t>N°</t>
  </si>
  <si>
    <t>PROVINCE</t>
  </si>
  <si>
    <t>Chef-lieu</t>
  </si>
  <si>
    <t xml:space="preserve">ECOLES PRIMAIRE </t>
  </si>
  <si>
    <t>Total Général</t>
  </si>
  <si>
    <t>Bandundu</t>
  </si>
  <si>
    <t>Lodja</t>
  </si>
  <si>
    <t>Lubumbash</t>
  </si>
  <si>
    <t>EFFECTIF ELEVES</t>
  </si>
  <si>
    <t>EFFECTIF ENSEIGNANTS</t>
  </si>
  <si>
    <t>NOMBRE D’ECOLES</t>
  </si>
  <si>
    <t>NOMBRE DE CLASSE</t>
  </si>
  <si>
    <t>2000-2001</t>
  </si>
  <si>
    <t>2001-2002</t>
  </si>
  <si>
    <t>2002-2003</t>
  </si>
  <si>
    <t>2003-2004</t>
  </si>
  <si>
    <t>2004-2005</t>
  </si>
  <si>
    <t>2005-2006</t>
  </si>
  <si>
    <t>1999-2000</t>
  </si>
  <si>
    <t xml:space="preserve">Cependant,  la valeur de 1/n  est  obtenue au moyen d’une calculette scientifique.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</si>
</sst>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3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8"/>
      <color rgb="FF000000"/>
      <name val="Arial Narrow"/>
      <family val="2"/>
    </font>
    <font>
      <b/>
      <u/>
      <sz val="11"/>
      <color theme="1"/>
      <name val="Calibri"/>
      <family val="2"/>
      <scheme val="minor"/>
    </font>
    <font>
      <b/>
      <i/>
      <sz val="9"/>
      <color rgb="FF000000"/>
      <name val="Arial Narrow"/>
      <family val="2"/>
    </font>
    <font>
      <b/>
      <sz val="9"/>
      <color rgb="FF000000"/>
      <name val="Calibri"/>
      <family val="2"/>
      <scheme val="minor"/>
    </font>
    <font>
      <b/>
      <sz val="9"/>
      <color rgb="FF000000"/>
      <name val="Arial Narrow"/>
      <family val="2"/>
    </font>
    <font>
      <b/>
      <sz val="7"/>
      <color rgb="FF000000"/>
      <name val="Arial Narrow"/>
      <family val="2"/>
    </font>
    <font>
      <b/>
      <sz val="9"/>
      <color rgb="FFFF0000"/>
      <name val="Arial Narrow"/>
      <family val="2"/>
    </font>
    <font>
      <b/>
      <i/>
      <sz val="8"/>
      <color rgb="FF00000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Arial Narrow"/>
      <family val="2"/>
    </font>
    <font>
      <b/>
      <i/>
      <sz val="10"/>
      <color theme="1"/>
      <name val="Arial Narrow"/>
      <family val="2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b/>
      <u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sz val="8"/>
      <color rgb="FFFF0000"/>
      <name val="Arial Black"/>
      <family val="2"/>
    </font>
    <font>
      <sz val="11"/>
      <name val="Calibri"/>
      <family val="2"/>
      <scheme val="minor"/>
    </font>
    <font>
      <sz val="12"/>
      <color rgb="FFFF0000"/>
      <name val="Arial Narrow"/>
      <family val="2"/>
    </font>
    <font>
      <b/>
      <sz val="11"/>
      <color rgb="FFFF0000"/>
      <name val="Calibri"/>
      <family val="2"/>
      <scheme val="minor"/>
    </font>
    <font>
      <sz val="12"/>
      <color rgb="FF0070C0"/>
      <name val="Arial Narrow"/>
      <family val="2"/>
    </font>
    <font>
      <sz val="9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7"/>
      <color theme="1"/>
      <name val="Calibri"/>
      <family val="2"/>
    </font>
    <font>
      <sz val="14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4472C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4472C4"/>
      </bottom>
      <diagonal/>
    </border>
    <border>
      <left/>
      <right style="medium">
        <color indexed="64"/>
      </right>
      <top style="medium">
        <color indexed="64"/>
      </top>
      <bottom style="medium">
        <color rgb="FF4472C4"/>
      </bottom>
      <diagonal/>
    </border>
    <border>
      <left/>
      <right style="medium">
        <color indexed="64"/>
      </right>
      <top/>
      <bottom style="medium">
        <color rgb="FF4472C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4472C4"/>
      </top>
      <bottom/>
      <diagonal/>
    </border>
    <border>
      <left style="medium">
        <color indexed="64"/>
      </left>
      <right/>
      <top style="medium">
        <color rgb="FF4472C4"/>
      </top>
      <bottom style="medium">
        <color indexed="64"/>
      </bottom>
      <diagonal/>
    </border>
    <border>
      <left/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6" borderId="11" xfId="0" applyFont="1" applyFill="1" applyBorder="1" applyAlignment="1">
      <alignment horizontal="right" vertical="center" wrapText="1"/>
    </xf>
    <xf numFmtId="3" fontId="6" fillId="6" borderId="12" xfId="0" applyNumberFormat="1" applyFont="1" applyFill="1" applyBorder="1" applyAlignment="1">
      <alignment horizontal="right" vertical="center" wrapText="1"/>
    </xf>
    <xf numFmtId="0" fontId="6" fillId="6" borderId="12" xfId="0" applyFont="1" applyFill="1" applyBorder="1" applyAlignment="1">
      <alignment horizontal="right" vertical="center" wrapText="1"/>
    </xf>
    <xf numFmtId="0" fontId="6" fillId="6" borderId="14" xfId="0" applyFont="1" applyFill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0" fontId="6" fillId="4" borderId="15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8" fillId="0" borderId="6" xfId="0" applyFont="1" applyBorder="1" applyAlignment="1">
      <alignment horizontal="right" vertical="center" wrapText="1"/>
    </xf>
    <xf numFmtId="0" fontId="6" fillId="0" borderId="21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10" fillId="0" borderId="22" xfId="0" applyFont="1" applyBorder="1" applyAlignment="1">
      <alignment horizontal="right" vertical="center" wrapText="1"/>
    </xf>
    <xf numFmtId="0" fontId="5" fillId="4" borderId="20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 wrapText="1"/>
    </xf>
    <xf numFmtId="0" fontId="6" fillId="4" borderId="23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6" borderId="21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vertical="center" wrapText="1"/>
    </xf>
    <xf numFmtId="0" fontId="6" fillId="6" borderId="21" xfId="0" applyFont="1" applyFill="1" applyBorder="1" applyAlignment="1">
      <alignment horizontal="right" vertical="center" wrapText="1"/>
    </xf>
    <xf numFmtId="3" fontId="6" fillId="6" borderId="24" xfId="0" applyNumberFormat="1" applyFont="1" applyFill="1" applyBorder="1" applyAlignment="1">
      <alignment horizontal="right" vertical="center" wrapText="1"/>
    </xf>
    <xf numFmtId="0" fontId="6" fillId="6" borderId="24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6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19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4" fillId="0" borderId="4" xfId="0" applyFont="1" applyBorder="1" applyAlignment="1">
      <alignment vertical="center"/>
    </xf>
    <xf numFmtId="0" fontId="0" fillId="0" borderId="10" xfId="0" applyBorder="1"/>
    <xf numFmtId="0" fontId="0" fillId="0" borderId="5" xfId="0" applyBorder="1"/>
    <xf numFmtId="0" fontId="16" fillId="0" borderId="0" xfId="0" applyFont="1"/>
    <xf numFmtId="0" fontId="17" fillId="0" borderId="12" xfId="0" applyFont="1" applyBorder="1" applyAlignment="1">
      <alignment horizontal="right" vertical="center" wrapText="1"/>
    </xf>
    <xf numFmtId="3" fontId="17" fillId="0" borderId="12" xfId="0" applyNumberFormat="1" applyFont="1" applyBorder="1" applyAlignment="1">
      <alignment horizontal="right" vertical="center" wrapText="1"/>
    </xf>
    <xf numFmtId="0" fontId="17" fillId="0" borderId="14" xfId="0" applyFont="1" applyBorder="1" applyAlignment="1">
      <alignment horizontal="right" vertical="center" wrapText="1"/>
    </xf>
    <xf numFmtId="3" fontId="17" fillId="0" borderId="11" xfId="0" applyNumberFormat="1" applyFont="1" applyBorder="1" applyAlignment="1">
      <alignment horizontal="right" vertical="center" wrapText="1"/>
    </xf>
    <xf numFmtId="3" fontId="17" fillId="0" borderId="14" xfId="0" applyNumberFormat="1" applyFont="1" applyBorder="1" applyAlignment="1">
      <alignment horizontal="right" vertical="center" wrapText="1"/>
    </xf>
    <xf numFmtId="164" fontId="17" fillId="0" borderId="12" xfId="0" applyNumberFormat="1" applyFont="1" applyBorder="1" applyAlignment="1">
      <alignment horizontal="right" vertical="center" wrapText="1"/>
    </xf>
    <xf numFmtId="1" fontId="16" fillId="0" borderId="0" xfId="0" applyNumberFormat="1" applyFont="1"/>
    <xf numFmtId="3" fontId="16" fillId="0" borderId="0" xfId="0" applyNumberFormat="1" applyFont="1"/>
    <xf numFmtId="3" fontId="16" fillId="5" borderId="0" xfId="0" applyNumberFormat="1" applyFont="1" applyFill="1"/>
    <xf numFmtId="0" fontId="16" fillId="5" borderId="0" xfId="0" applyFont="1" applyFill="1"/>
    <xf numFmtId="3" fontId="17" fillId="5" borderId="12" xfId="0" applyNumberFormat="1" applyFont="1" applyFill="1" applyBorder="1" applyAlignment="1">
      <alignment horizontal="right" vertical="center" wrapText="1"/>
    </xf>
    <xf numFmtId="3" fontId="17" fillId="5" borderId="11" xfId="0" applyNumberFormat="1" applyFont="1" applyFill="1" applyBorder="1" applyAlignment="1">
      <alignment horizontal="right" vertical="center" wrapText="1"/>
    </xf>
    <xf numFmtId="164" fontId="17" fillId="5" borderId="12" xfId="0" applyNumberFormat="1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12" xfId="0" applyFont="1" applyBorder="1" applyAlignment="1">
      <alignment horizontal="right" vertical="center" wrapText="1"/>
    </xf>
    <xf numFmtId="3" fontId="19" fillId="0" borderId="12" xfId="0" applyNumberFormat="1" applyFont="1" applyBorder="1" applyAlignment="1">
      <alignment horizontal="right" vertical="center" wrapText="1"/>
    </xf>
    <xf numFmtId="0" fontId="18" fillId="0" borderId="27" xfId="0" applyFont="1" applyBorder="1"/>
    <xf numFmtId="3" fontId="19" fillId="0" borderId="27" xfId="0" applyNumberFormat="1" applyFont="1" applyBorder="1" applyAlignment="1">
      <alignment horizontal="right" vertical="center" wrapText="1"/>
    </xf>
    <xf numFmtId="3" fontId="18" fillId="0" borderId="27" xfId="0" applyNumberFormat="1" applyFont="1" applyBorder="1"/>
    <xf numFmtId="3" fontId="18" fillId="0" borderId="29" xfId="0" applyNumberFormat="1" applyFont="1" applyBorder="1"/>
    <xf numFmtId="0" fontId="18" fillId="5" borderId="0" xfId="0" applyFont="1" applyFill="1"/>
    <xf numFmtId="0" fontId="18" fillId="0" borderId="30" xfId="0" applyFont="1" applyBorder="1"/>
    <xf numFmtId="3" fontId="19" fillId="0" borderId="30" xfId="0" applyNumberFormat="1" applyFont="1" applyBorder="1" applyAlignment="1">
      <alignment horizontal="right" vertical="center" wrapText="1"/>
    </xf>
    <xf numFmtId="3" fontId="18" fillId="0" borderId="30" xfId="0" applyNumberFormat="1" applyFont="1" applyBorder="1"/>
    <xf numFmtId="3" fontId="18" fillId="0" borderId="31" xfId="0" applyNumberFormat="1" applyFont="1" applyBorder="1"/>
    <xf numFmtId="0" fontId="18" fillId="0" borderId="28" xfId="0" applyFont="1" applyBorder="1"/>
    <xf numFmtId="3" fontId="19" fillId="0" borderId="28" xfId="0" applyNumberFormat="1" applyFont="1" applyBorder="1" applyAlignment="1">
      <alignment horizontal="right" vertical="center" wrapText="1"/>
    </xf>
    <xf numFmtId="3" fontId="18" fillId="0" borderId="28" xfId="0" applyNumberFormat="1" applyFont="1" applyBorder="1"/>
    <xf numFmtId="3" fontId="18" fillId="0" borderId="32" xfId="0" applyNumberFormat="1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0" xfId="0" applyFont="1" applyAlignment="1">
      <alignment wrapText="1"/>
    </xf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0" fillId="0" borderId="0" xfId="0" applyAlignment="1">
      <alignment vertical="center"/>
    </xf>
    <xf numFmtId="0" fontId="0" fillId="7" borderId="27" xfId="0" applyFill="1" applyBorder="1" applyAlignment="1">
      <alignment vertical="center"/>
    </xf>
    <xf numFmtId="0" fontId="0" fillId="7" borderId="27" xfId="0" applyFill="1" applyBorder="1"/>
    <xf numFmtId="0" fontId="22" fillId="8" borderId="27" xfId="0" applyFont="1" applyFill="1" applyBorder="1"/>
    <xf numFmtId="0" fontId="0" fillId="0" borderId="27" xfId="0" applyBorder="1" applyAlignment="1">
      <alignment vertical="center"/>
    </xf>
    <xf numFmtId="0" fontId="25" fillId="0" borderId="27" xfId="0" applyFont="1" applyBorder="1" applyAlignment="1">
      <alignment vertical="center" wrapText="1"/>
    </xf>
    <xf numFmtId="0" fontId="24" fillId="0" borderId="27" xfId="0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16" fillId="7" borderId="27" xfId="0" applyFont="1" applyFill="1" applyBorder="1"/>
    <xf numFmtId="3" fontId="17" fillId="7" borderId="27" xfId="0" applyNumberFormat="1" applyFont="1" applyFill="1" applyBorder="1" applyAlignment="1">
      <alignment horizontal="right" vertical="center" wrapText="1"/>
    </xf>
    <xf numFmtId="0" fontId="0" fillId="0" borderId="27" xfId="0" applyBorder="1"/>
    <xf numFmtId="0" fontId="0" fillId="9" borderId="27" xfId="0" applyFill="1" applyBorder="1"/>
    <xf numFmtId="164" fontId="17" fillId="0" borderId="24" xfId="0" applyNumberFormat="1" applyFont="1" applyBorder="1" applyAlignment="1">
      <alignment horizontal="right" vertical="center" wrapText="1"/>
    </xf>
    <xf numFmtId="3" fontId="17" fillId="0" borderId="24" xfId="0" applyNumberFormat="1" applyFont="1" applyBorder="1" applyAlignment="1">
      <alignment horizontal="right" vertical="center" wrapText="1"/>
    </xf>
    <xf numFmtId="0" fontId="16" fillId="9" borderId="27" xfId="0" applyFont="1" applyFill="1" applyBorder="1"/>
    <xf numFmtId="0" fontId="16" fillId="0" borderId="27" xfId="0" applyFont="1" applyBorder="1"/>
    <xf numFmtId="0" fontId="16" fillId="5" borderId="27" xfId="0" applyFont="1" applyFill="1" applyBorder="1"/>
    <xf numFmtId="0" fontId="28" fillId="5" borderId="27" xfId="0" applyFont="1" applyFill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29" fillId="0" borderId="0" xfId="0" applyFont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30" fillId="0" borderId="5" xfId="0" applyFont="1" applyBorder="1" applyAlignment="1">
      <alignment horizontal="right" vertical="center"/>
    </xf>
    <xf numFmtId="3" fontId="30" fillId="0" borderId="5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vertical="center"/>
    </xf>
    <xf numFmtId="3" fontId="30" fillId="0" borderId="50" xfId="0" applyNumberFormat="1" applyFont="1" applyBorder="1" applyAlignment="1">
      <alignment horizontal="right" vertical="center"/>
    </xf>
    <xf numFmtId="0" fontId="30" fillId="0" borderId="50" xfId="0" applyFont="1" applyBorder="1" applyAlignment="1">
      <alignment horizontal="right" vertical="center"/>
    </xf>
    <xf numFmtId="3" fontId="30" fillId="12" borderId="50" xfId="0" applyNumberFormat="1" applyFont="1" applyFill="1" applyBorder="1" applyAlignment="1">
      <alignment horizontal="right" vertical="center"/>
    </xf>
    <xf numFmtId="0" fontId="30" fillId="12" borderId="50" xfId="0" applyFont="1" applyFill="1" applyBorder="1" applyAlignment="1">
      <alignment horizontal="right" vertical="center"/>
    </xf>
    <xf numFmtId="0" fontId="30" fillId="0" borderId="5" xfId="0" applyFont="1" applyBorder="1" applyAlignment="1">
      <alignment vertical="center"/>
    </xf>
    <xf numFmtId="0" fontId="30" fillId="0" borderId="50" xfId="0" applyFont="1" applyBorder="1" applyAlignment="1">
      <alignment vertical="center"/>
    </xf>
    <xf numFmtId="3" fontId="30" fillId="12" borderId="5" xfId="0" applyNumberFormat="1" applyFont="1" applyFill="1" applyBorder="1" applyAlignment="1">
      <alignment horizontal="right" vertical="center"/>
    </xf>
    <xf numFmtId="0" fontId="30" fillId="12" borderId="5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indent="5"/>
    </xf>
    <xf numFmtId="0" fontId="31" fillId="0" borderId="0" xfId="0" applyFont="1" applyAlignment="1">
      <alignment horizontal="left" vertical="center" indent="5"/>
    </xf>
    <xf numFmtId="0" fontId="7" fillId="0" borderId="5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4" xfId="0" applyFont="1" applyBorder="1" applyAlignment="1">
      <alignment horizontal="right" vertical="center" wrapText="1"/>
    </xf>
    <xf numFmtId="0" fontId="32" fillId="0" borderId="5" xfId="0" applyFont="1" applyBorder="1" applyAlignment="1">
      <alignment horizontal="right" vertical="center" wrapText="1"/>
    </xf>
    <xf numFmtId="0" fontId="32" fillId="13" borderId="5" xfId="0" applyFont="1" applyFill="1" applyBorder="1" applyAlignment="1">
      <alignment horizontal="right" vertical="center" wrapText="1"/>
    </xf>
    <xf numFmtId="0" fontId="33" fillId="0" borderId="5" xfId="0" applyFont="1" applyBorder="1" applyAlignment="1">
      <alignment horizontal="right" vertical="center" wrapText="1"/>
    </xf>
    <xf numFmtId="0" fontId="7" fillId="0" borderId="10" xfId="0" applyFont="1" applyBorder="1" applyAlignment="1">
      <alignment vertical="center"/>
    </xf>
    <xf numFmtId="9" fontId="7" fillId="0" borderId="5" xfId="0" applyNumberFormat="1" applyFont="1" applyBorder="1" applyAlignment="1">
      <alignment horizontal="right" vertical="center" wrapText="1"/>
    </xf>
    <xf numFmtId="0" fontId="7" fillId="3" borderId="10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33" fillId="15" borderId="5" xfId="0" applyFont="1" applyFill="1" applyBorder="1" applyAlignment="1">
      <alignment horizontal="right" vertical="center" wrapText="1"/>
    </xf>
    <xf numFmtId="9" fontId="2" fillId="0" borderId="5" xfId="0" applyNumberFormat="1" applyFont="1" applyBorder="1" applyAlignment="1">
      <alignment horizontal="right" vertical="center" wrapText="1"/>
    </xf>
    <xf numFmtId="0" fontId="33" fillId="13" borderId="5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7" fillId="0" borderId="5" xfId="0" applyFont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/>
    </xf>
    <xf numFmtId="0" fontId="7" fillId="15" borderId="5" xfId="0" applyFont="1" applyFill="1" applyBorder="1" applyAlignment="1">
      <alignment horizontal="right" vertical="center" wrapText="1"/>
    </xf>
    <xf numFmtId="0" fontId="34" fillId="0" borderId="4" xfId="0" applyFont="1" applyBorder="1" applyAlignment="1">
      <alignment horizontal="right" vertical="center" wrapText="1"/>
    </xf>
    <xf numFmtId="0" fontId="35" fillId="0" borderId="5" xfId="0" applyFont="1" applyBorder="1" applyAlignment="1">
      <alignment horizontal="right" vertical="center" wrapText="1"/>
    </xf>
    <xf numFmtId="0" fontId="34" fillId="0" borderId="5" xfId="0" applyFont="1" applyBorder="1" applyAlignment="1">
      <alignment horizontal="right" vertical="center" wrapText="1"/>
    </xf>
    <xf numFmtId="0" fontId="34" fillId="13" borderId="5" xfId="0" applyFont="1" applyFill="1" applyBorder="1" applyAlignment="1">
      <alignment horizontal="right" vertical="center" wrapText="1"/>
    </xf>
    <xf numFmtId="0" fontId="7" fillId="0" borderId="5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24" fillId="0" borderId="46" xfId="0" applyFont="1" applyBorder="1" applyAlignment="1">
      <alignment vertical="top" wrapText="1"/>
    </xf>
    <xf numFmtId="3" fontId="6" fillId="0" borderId="54" xfId="0" applyNumberFormat="1" applyFont="1" applyBorder="1" applyAlignment="1">
      <alignment vertical="center"/>
    </xf>
    <xf numFmtId="3" fontId="6" fillId="0" borderId="46" xfId="0" applyNumberFormat="1" applyFont="1" applyBorder="1" applyAlignment="1">
      <alignment vertical="center"/>
    </xf>
    <xf numFmtId="3" fontId="6" fillId="12" borderId="46" xfId="0" applyNumberFormat="1" applyFont="1" applyFill="1" applyBorder="1" applyAlignment="1">
      <alignment vertical="center"/>
    </xf>
    <xf numFmtId="3" fontId="6" fillId="12" borderId="54" xfId="0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11" borderId="53" xfId="0" applyFont="1" applyFill="1" applyBorder="1" applyAlignment="1">
      <alignment vertical="center" wrapText="1"/>
    </xf>
    <xf numFmtId="0" fontId="6" fillId="5" borderId="53" xfId="0" applyFont="1" applyFill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21" fillId="9" borderId="64" xfId="0" applyFont="1" applyFill="1" applyBorder="1"/>
    <xf numFmtId="0" fontId="21" fillId="0" borderId="64" xfId="0" applyFont="1" applyBorder="1"/>
    <xf numFmtId="0" fontId="25" fillId="0" borderId="64" xfId="0" applyFont="1" applyBorder="1" applyAlignment="1">
      <alignment vertical="center" wrapText="1"/>
    </xf>
    <xf numFmtId="0" fontId="21" fillId="0" borderId="41" xfId="0" applyFont="1" applyBorder="1" applyAlignment="1">
      <alignment vertical="center"/>
    </xf>
    <xf numFmtId="0" fontId="21" fillId="0" borderId="42" xfId="0" applyFont="1" applyBorder="1" applyAlignment="1">
      <alignment vertical="center"/>
    </xf>
    <xf numFmtId="0" fontId="21" fillId="0" borderId="43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7" fillId="0" borderId="43" xfId="0" applyFont="1" applyBorder="1" applyAlignment="1">
      <alignment vertical="center"/>
    </xf>
    <xf numFmtId="0" fontId="21" fillId="9" borderId="27" xfId="0" applyFont="1" applyFill="1" applyBorder="1"/>
    <xf numFmtId="0" fontId="21" fillId="0" borderId="27" xfId="0" applyFont="1" applyBorder="1"/>
    <xf numFmtId="0" fontId="39" fillId="0" borderId="4" xfId="0" applyFont="1" applyBorder="1" applyAlignment="1">
      <alignment vertical="center"/>
    </xf>
    <xf numFmtId="0" fontId="40" fillId="7" borderId="27" xfId="0" applyFont="1" applyFill="1" applyBorder="1"/>
    <xf numFmtId="3" fontId="40" fillId="7" borderId="27" xfId="0" applyNumberFormat="1" applyFont="1" applyFill="1" applyBorder="1" applyAlignment="1">
      <alignment horizontal="right" vertical="center" wrapText="1"/>
    </xf>
    <xf numFmtId="0" fontId="40" fillId="0" borderId="27" xfId="0" applyFont="1" applyBorder="1"/>
    <xf numFmtId="0" fontId="42" fillId="7" borderId="27" xfId="0" applyFont="1" applyFill="1" applyBorder="1"/>
    <xf numFmtId="3" fontId="17" fillId="5" borderId="27" xfId="0" applyNumberFormat="1" applyFont="1" applyFill="1" applyBorder="1" applyAlignment="1">
      <alignment horizontal="right" vertical="center" wrapText="1"/>
    </xf>
    <xf numFmtId="0" fontId="0" fillId="5" borderId="27" xfId="0" applyFill="1" applyBorder="1"/>
    <xf numFmtId="0" fontId="0" fillId="5" borderId="0" xfId="0" applyFill="1"/>
    <xf numFmtId="3" fontId="44" fillId="7" borderId="27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42" fillId="9" borderId="27" xfId="0" applyFont="1" applyFill="1" applyBorder="1"/>
    <xf numFmtId="0" fontId="48" fillId="0" borderId="5" xfId="0" applyFont="1" applyBorder="1" applyAlignment="1">
      <alignment horizontal="center" vertical="center" wrapText="1"/>
    </xf>
    <xf numFmtId="0" fontId="48" fillId="18" borderId="5" xfId="0" applyFont="1" applyFill="1" applyBorder="1" applyAlignment="1">
      <alignment horizontal="center" vertical="center" wrapText="1"/>
    </xf>
    <xf numFmtId="0" fontId="48" fillId="19" borderId="5" xfId="0" applyFont="1" applyFill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5" xfId="0" applyFont="1" applyBorder="1" applyAlignment="1">
      <alignment vertical="center" wrapText="1"/>
    </xf>
    <xf numFmtId="0" fontId="47" fillId="0" borderId="5" xfId="0" applyFont="1" applyBorder="1" applyAlignment="1">
      <alignment horizontal="right" vertical="center" wrapText="1"/>
    </xf>
    <xf numFmtId="0" fontId="47" fillId="20" borderId="5" xfId="0" applyFont="1" applyFill="1" applyBorder="1" applyAlignment="1">
      <alignment horizontal="right" vertical="center" wrapText="1"/>
    </xf>
    <xf numFmtId="3" fontId="47" fillId="0" borderId="5" xfId="0" applyNumberFormat="1" applyFont="1" applyBorder="1" applyAlignment="1">
      <alignment horizontal="right" vertical="center"/>
    </xf>
    <xf numFmtId="3" fontId="46" fillId="18" borderId="5" xfId="0" applyNumberFormat="1" applyFont="1" applyFill="1" applyBorder="1" applyAlignment="1">
      <alignment horizontal="right" vertical="center"/>
    </xf>
    <xf numFmtId="0" fontId="47" fillId="0" borderId="5" xfId="0" applyFont="1" applyBorder="1" applyAlignment="1">
      <alignment horizontal="right" vertical="center"/>
    </xf>
    <xf numFmtId="0" fontId="46" fillId="19" borderId="5" xfId="0" applyFont="1" applyFill="1" applyBorder="1" applyAlignment="1">
      <alignment horizontal="right" vertical="center" wrapText="1"/>
    </xf>
    <xf numFmtId="0" fontId="46" fillId="18" borderId="5" xfId="0" applyFont="1" applyFill="1" applyBorder="1" applyAlignment="1">
      <alignment horizontal="right" vertical="center"/>
    </xf>
    <xf numFmtId="0" fontId="46" fillId="14" borderId="5" xfId="0" applyFont="1" applyFill="1" applyBorder="1" applyAlignment="1">
      <alignment horizontal="right" vertical="center" wrapText="1"/>
    </xf>
    <xf numFmtId="3" fontId="46" fillId="21" borderId="5" xfId="0" applyNumberFormat="1" applyFont="1" applyFill="1" applyBorder="1" applyAlignment="1">
      <alignment horizontal="right" vertical="center"/>
    </xf>
    <xf numFmtId="0" fontId="47" fillId="22" borderId="5" xfId="0" applyFont="1" applyFill="1" applyBorder="1" applyAlignment="1">
      <alignment horizontal="right" vertical="center"/>
    </xf>
    <xf numFmtId="0" fontId="46" fillId="22" borderId="5" xfId="0" applyFont="1" applyFill="1" applyBorder="1" applyAlignment="1">
      <alignment horizontal="right" vertical="center" wrapText="1"/>
    </xf>
    <xf numFmtId="9" fontId="46" fillId="23" borderId="5" xfId="0" applyNumberFormat="1" applyFont="1" applyFill="1" applyBorder="1" applyAlignment="1">
      <alignment horizontal="right" vertical="center" wrapText="1"/>
    </xf>
    <xf numFmtId="0" fontId="46" fillId="21" borderId="5" xfId="0" applyFont="1" applyFill="1" applyBorder="1" applyAlignment="1">
      <alignment horizontal="center" vertical="center"/>
    </xf>
    <xf numFmtId="0" fontId="46" fillId="22" borderId="5" xfId="0" applyFont="1" applyFill="1" applyBorder="1" applyAlignment="1">
      <alignment horizontal="center" vertical="center"/>
    </xf>
    <xf numFmtId="0" fontId="49" fillId="0" borderId="27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3" fontId="51" fillId="0" borderId="27" xfId="0" applyNumberFormat="1" applyFont="1" applyBorder="1" applyAlignment="1">
      <alignment horizontal="center" vertical="center" wrapText="1"/>
    </xf>
    <xf numFmtId="0" fontId="49" fillId="0" borderId="21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21" fillId="5" borderId="0" xfId="0" applyFont="1" applyFill="1"/>
    <xf numFmtId="0" fontId="21" fillId="5" borderId="27" xfId="0" applyFont="1" applyFill="1" applyBorder="1"/>
    <xf numFmtId="0" fontId="0" fillId="24" borderId="0" xfId="0" applyFill="1"/>
    <xf numFmtId="0" fontId="28" fillId="0" borderId="27" xfId="0" applyFont="1" applyBorder="1" applyAlignment="1">
      <alignment vertical="center"/>
    </xf>
    <xf numFmtId="0" fontId="28" fillId="0" borderId="27" xfId="0" applyFont="1" applyBorder="1" applyAlignment="1">
      <alignment horizontal="center" vertical="center"/>
    </xf>
    <xf numFmtId="0" fontId="28" fillId="0" borderId="27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3" fontId="6" fillId="6" borderId="13" xfId="0" applyNumberFormat="1" applyFont="1" applyFill="1" applyBorder="1" applyAlignment="1">
      <alignment horizontal="right" vertical="center" wrapText="1"/>
    </xf>
    <xf numFmtId="3" fontId="6" fillId="6" borderId="12" xfId="0" applyNumberFormat="1" applyFont="1" applyFill="1" applyBorder="1" applyAlignment="1">
      <alignment horizontal="right" vertical="center" wrapText="1"/>
    </xf>
    <xf numFmtId="0" fontId="6" fillId="4" borderId="17" xfId="0" applyFont="1" applyFill="1" applyBorder="1" applyAlignment="1">
      <alignment horizontal="right" vertical="center" wrapText="1"/>
    </xf>
    <xf numFmtId="0" fontId="6" fillId="4" borderId="18" xfId="0" applyFont="1" applyFill="1" applyBorder="1" applyAlignment="1">
      <alignment horizontal="right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6" fillId="4" borderId="8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5" fillId="0" borderId="25" xfId="0" applyFont="1" applyBorder="1" applyAlignment="1">
      <alignment horizontal="right" vertical="center"/>
    </xf>
    <xf numFmtId="0" fontId="5" fillId="0" borderId="26" xfId="0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8" fillId="0" borderId="45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0" borderId="44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7" fillId="0" borderId="43" xfId="0" applyFont="1" applyBorder="1" applyAlignment="1">
      <alignment horizontal="left" vertical="center"/>
    </xf>
    <xf numFmtId="0" fontId="21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1" fontId="0" fillId="9" borderId="27" xfId="0" applyNumberFormat="1" applyFill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1" fontId="28" fillId="0" borderId="27" xfId="0" applyNumberFormat="1" applyFont="1" applyBorder="1" applyAlignment="1">
      <alignment horizontal="center"/>
    </xf>
    <xf numFmtId="1" fontId="28" fillId="9" borderId="27" xfId="0" applyNumberFormat="1" applyFont="1" applyFill="1" applyBorder="1" applyAlignment="1">
      <alignment horizontal="center"/>
    </xf>
    <xf numFmtId="1" fontId="41" fillId="0" borderId="27" xfId="0" applyNumberFormat="1" applyFont="1" applyBorder="1" applyAlignment="1">
      <alignment horizontal="center"/>
    </xf>
    <xf numFmtId="1" fontId="41" fillId="9" borderId="27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1" fillId="5" borderId="27" xfId="0" applyFont="1" applyFill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26" fillId="0" borderId="27" xfId="0" applyFont="1" applyBorder="1" applyAlignment="1">
      <alignment horizontal="center" vertical="center" wrapText="1"/>
    </xf>
    <xf numFmtId="0" fontId="6" fillId="11" borderId="53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/>
    </xf>
    <xf numFmtId="3" fontId="30" fillId="0" borderId="54" xfId="0" applyNumberFormat="1" applyFont="1" applyBorder="1" applyAlignment="1">
      <alignment horizontal="right" vertical="center"/>
    </xf>
    <xf numFmtId="3" fontId="30" fillId="0" borderId="55" xfId="0" applyNumberFormat="1" applyFont="1" applyBorder="1" applyAlignment="1">
      <alignment horizontal="right" vertical="center"/>
    </xf>
    <xf numFmtId="3" fontId="6" fillId="0" borderId="54" xfId="0" applyNumberFormat="1" applyFont="1" applyBorder="1" applyAlignment="1">
      <alignment horizontal="right" vertical="center"/>
    </xf>
    <xf numFmtId="3" fontId="6" fillId="0" borderId="55" xfId="0" applyNumberFormat="1" applyFont="1" applyBorder="1" applyAlignment="1">
      <alignment horizontal="right" vertical="center"/>
    </xf>
    <xf numFmtId="3" fontId="30" fillId="0" borderId="46" xfId="0" applyNumberFormat="1" applyFont="1" applyBorder="1" applyAlignment="1">
      <alignment horizontal="right" vertical="center"/>
    </xf>
    <xf numFmtId="3" fontId="30" fillId="0" borderId="49" xfId="0" applyNumberFormat="1" applyFont="1" applyBorder="1" applyAlignment="1">
      <alignment horizontal="right" vertical="center"/>
    </xf>
    <xf numFmtId="0" fontId="6" fillId="10" borderId="19" xfId="0" applyFont="1" applyFill="1" applyBorder="1" applyAlignment="1">
      <alignment vertical="center"/>
    </xf>
    <xf numFmtId="0" fontId="6" fillId="10" borderId="48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3" fontId="6" fillId="0" borderId="46" xfId="0" applyNumberFormat="1" applyFont="1" applyBorder="1" applyAlignment="1">
      <alignment horizontal="right" vertical="center"/>
    </xf>
    <xf numFmtId="3" fontId="6" fillId="0" borderId="49" xfId="0" applyNumberFormat="1" applyFont="1" applyBorder="1" applyAlignment="1">
      <alignment horizontal="right" vertical="center"/>
    </xf>
    <xf numFmtId="3" fontId="30" fillId="12" borderId="46" xfId="0" applyNumberFormat="1" applyFont="1" applyFill="1" applyBorder="1" applyAlignment="1">
      <alignment horizontal="right" vertical="center"/>
    </xf>
    <xf numFmtId="3" fontId="30" fillId="12" borderId="49" xfId="0" applyNumberFormat="1" applyFont="1" applyFill="1" applyBorder="1" applyAlignment="1">
      <alignment horizontal="right" vertical="center"/>
    </xf>
    <xf numFmtId="3" fontId="6" fillId="12" borderId="46" xfId="0" applyNumberFormat="1" applyFont="1" applyFill="1" applyBorder="1" applyAlignment="1">
      <alignment horizontal="right" vertical="center"/>
    </xf>
    <xf numFmtId="3" fontId="6" fillId="12" borderId="49" xfId="0" applyNumberFormat="1" applyFont="1" applyFill="1" applyBorder="1" applyAlignment="1">
      <alignment horizontal="right" vertical="center"/>
    </xf>
    <xf numFmtId="0" fontId="24" fillId="0" borderId="46" xfId="0" applyFont="1" applyBorder="1" applyAlignment="1">
      <alignment vertical="top" wrapText="1"/>
    </xf>
    <xf numFmtId="0" fontId="24" fillId="0" borderId="49" xfId="0" applyFont="1" applyBorder="1" applyAlignment="1">
      <alignment vertical="top" wrapText="1"/>
    </xf>
    <xf numFmtId="0" fontId="6" fillId="11" borderId="5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11" borderId="48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3" fontId="30" fillId="12" borderId="54" xfId="0" applyNumberFormat="1" applyFont="1" applyFill="1" applyBorder="1" applyAlignment="1">
      <alignment horizontal="right" vertical="center"/>
    </xf>
    <xf numFmtId="3" fontId="30" fillId="12" borderId="55" xfId="0" applyNumberFormat="1" applyFont="1" applyFill="1" applyBorder="1" applyAlignment="1">
      <alignment horizontal="right" vertical="center"/>
    </xf>
    <xf numFmtId="3" fontId="6" fillId="12" borderId="54" xfId="0" applyNumberFormat="1" applyFont="1" applyFill="1" applyBorder="1" applyAlignment="1">
      <alignment horizontal="right" vertical="center"/>
    </xf>
    <xf numFmtId="3" fontId="6" fillId="12" borderId="55" xfId="0" applyNumberFormat="1" applyFont="1" applyFill="1" applyBorder="1" applyAlignment="1">
      <alignment horizontal="right" vertical="center"/>
    </xf>
    <xf numFmtId="0" fontId="6" fillId="0" borderId="19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30" fillId="0" borderId="54" xfId="0" applyFont="1" applyBorder="1" applyAlignment="1">
      <alignment horizontal="right" vertical="center"/>
    </xf>
    <xf numFmtId="0" fontId="30" fillId="0" borderId="55" xfId="0" applyFont="1" applyBorder="1" applyAlignment="1">
      <alignment horizontal="right" vertical="center"/>
    </xf>
    <xf numFmtId="0" fontId="6" fillId="0" borderId="54" xfId="0" applyFont="1" applyBorder="1" applyAlignment="1">
      <alignment horizontal="right" vertical="center"/>
    </xf>
    <xf numFmtId="0" fontId="6" fillId="0" borderId="55" xfId="0" applyFont="1" applyBorder="1" applyAlignment="1">
      <alignment horizontal="right" vertical="center"/>
    </xf>
    <xf numFmtId="0" fontId="6" fillId="0" borderId="62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32" fillId="0" borderId="1" xfId="0" applyFont="1" applyBorder="1" applyAlignment="1">
      <alignment horizontal="right" vertical="center" wrapText="1"/>
    </xf>
    <xf numFmtId="0" fontId="32" fillId="0" borderId="3" xfId="0" applyFont="1" applyBorder="1" applyAlignment="1">
      <alignment horizontal="right" vertical="center" wrapText="1"/>
    </xf>
    <xf numFmtId="0" fontId="7" fillId="15" borderId="62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5" borderId="5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62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" fillId="14" borderId="56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vertical="center"/>
    </xf>
    <xf numFmtId="0" fontId="7" fillId="0" borderId="56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16" borderId="62" xfId="0" applyFont="1" applyFill="1" applyBorder="1" applyAlignment="1">
      <alignment horizontal="center" vertical="center" wrapText="1"/>
    </xf>
    <xf numFmtId="0" fontId="7" fillId="16" borderId="20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right" vertical="center" wrapText="1"/>
    </xf>
    <xf numFmtId="0" fontId="34" fillId="0" borderId="3" xfId="0" applyFont="1" applyBorder="1" applyAlignment="1">
      <alignment horizontal="right" vertical="center" wrapText="1"/>
    </xf>
    <xf numFmtId="0" fontId="7" fillId="12" borderId="62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56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right" vertical="center" wrapText="1"/>
    </xf>
    <xf numFmtId="0" fontId="33" fillId="0" borderId="3" xfId="0" applyFont="1" applyBorder="1" applyAlignment="1">
      <alignment horizontal="right" vertical="center" wrapText="1"/>
    </xf>
    <xf numFmtId="0" fontId="16" fillId="0" borderId="52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6" fillId="0" borderId="2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18" fillId="0" borderId="47" xfId="0" applyFont="1" applyBorder="1" applyAlignment="1">
      <alignment horizontal="left" vertical="center" wrapText="1" indent="1"/>
    </xf>
    <xf numFmtId="0" fontId="18" fillId="0" borderId="63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0" fontId="18" fillId="0" borderId="5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52" xfId="0" applyFont="1" applyBorder="1" applyAlignment="1">
      <alignment horizontal="left" vertical="center" wrapText="1" indent="1"/>
    </xf>
    <xf numFmtId="0" fontId="18" fillId="0" borderId="10" xfId="0" applyFont="1" applyBorder="1" applyAlignment="1">
      <alignment horizontal="left" vertical="center" wrapText="1" indent="1"/>
    </xf>
    <xf numFmtId="0" fontId="18" fillId="0" borderId="5" xfId="0" applyFont="1" applyBorder="1" applyAlignment="1">
      <alignment horizontal="left" vertical="center" wrapText="1" indent="1"/>
    </xf>
    <xf numFmtId="0" fontId="21" fillId="9" borderId="27" xfId="0" applyFont="1" applyFill="1" applyBorder="1" applyAlignment="1">
      <alignment horizontal="center"/>
    </xf>
    <xf numFmtId="0" fontId="18" fillId="0" borderId="37" xfId="0" applyFont="1" applyBorder="1" applyAlignment="1">
      <alignment horizontal="left" vertical="top"/>
    </xf>
    <xf numFmtId="0" fontId="18" fillId="0" borderId="38" xfId="0" applyFont="1" applyBorder="1" applyAlignment="1">
      <alignment horizontal="left" vertical="top"/>
    </xf>
    <xf numFmtId="0" fontId="18" fillId="0" borderId="39" xfId="0" applyFont="1" applyBorder="1" applyAlignment="1">
      <alignment horizontal="left" vertical="top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36" xfId="0" applyFont="1" applyBorder="1" applyAlignment="1">
      <alignment horizontal="left" vertical="center"/>
    </xf>
    <xf numFmtId="0" fontId="20" fillId="0" borderId="40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0" fillId="0" borderId="39" xfId="0" applyFont="1" applyBorder="1" applyAlignment="1">
      <alignment horizontal="left" vertical="center"/>
    </xf>
    <xf numFmtId="0" fontId="38" fillId="17" borderId="1" xfId="0" applyFont="1" applyFill="1" applyBorder="1" applyAlignment="1">
      <alignment horizontal="center" vertical="center"/>
    </xf>
    <xf numFmtId="0" fontId="38" fillId="17" borderId="3" xfId="0" applyFont="1" applyFill="1" applyBorder="1" applyAlignment="1">
      <alignment horizontal="center" vertical="center"/>
    </xf>
    <xf numFmtId="1" fontId="40" fillId="0" borderId="27" xfId="0" applyNumberFormat="1" applyFont="1" applyBorder="1" applyAlignment="1">
      <alignment horizontal="center"/>
    </xf>
    <xf numFmtId="0" fontId="38" fillId="0" borderId="19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38" fillId="0" borderId="51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2" xfId="0" applyFont="1" applyFill="1" applyBorder="1" applyAlignment="1">
      <alignment horizontal="center" vertical="center" wrapText="1"/>
    </xf>
    <xf numFmtId="0" fontId="46" fillId="18" borderId="3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6" fillId="5" borderId="3" xfId="0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18" borderId="19" xfId="0" applyFont="1" applyFill="1" applyBorder="1" applyAlignment="1">
      <alignment horizontal="center" vertical="center"/>
    </xf>
    <xf numFmtId="0" fontId="46" fillId="18" borderId="20" xfId="0" applyFont="1" applyFill="1" applyBorder="1" applyAlignment="1">
      <alignment horizontal="center" vertical="center"/>
    </xf>
    <xf numFmtId="0" fontId="46" fillId="18" borderId="4" xfId="0" applyFont="1" applyFill="1" applyBorder="1" applyAlignment="1">
      <alignment horizontal="center" vertical="center"/>
    </xf>
    <xf numFmtId="0" fontId="46" fillId="18" borderId="19" xfId="0" applyFont="1" applyFill="1" applyBorder="1" applyAlignment="1">
      <alignment horizontal="center" vertical="center" wrapText="1"/>
    </xf>
    <xf numFmtId="0" fontId="46" fillId="18" borderId="20" xfId="0" applyFont="1" applyFill="1" applyBorder="1" applyAlignment="1">
      <alignment horizontal="center" vertical="center" wrapText="1"/>
    </xf>
    <xf numFmtId="0" fontId="46" fillId="1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542925</xdr:colOff>
      <xdr:row>6</xdr:row>
      <xdr:rowOff>438150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04950"/>
          <a:ext cx="542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542925</xdr:colOff>
      <xdr:row>8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0250"/>
          <a:ext cx="542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542925</xdr:colOff>
      <xdr:row>10</xdr:row>
      <xdr:rowOff>238125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05100"/>
          <a:ext cx="542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714375</xdr:colOff>
      <xdr:row>11</xdr:row>
      <xdr:rowOff>57150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05125"/>
          <a:ext cx="7143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7</xdr:row>
      <xdr:rowOff>247650</xdr:rowOff>
    </xdr:from>
    <xdr:to>
      <xdr:col>3</xdr:col>
      <xdr:colOff>666750</xdr:colOff>
      <xdr:row>8</xdr:row>
      <xdr:rowOff>196850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 de texte 10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600200" y="2247900"/>
              <a:ext cx="2152650" cy="301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Zone de texte 10">
              <a:extLst>
                <a:ext uri="{FF2B5EF4-FFF2-40B4-BE49-F238E27FC236}">
                  <a16:creationId xmlns:a16="http://schemas.microsoft.com/office/drawing/2014/main" id="{A78E48C7-FD6A-4F27-A6A4-C70CE8048A83}"/>
                </a:ext>
              </a:extLst>
            </xdr:cNvPr>
            <xdr:cNvSpPr txBox="1"/>
          </xdr:nvSpPr>
          <xdr:spPr>
            <a:xfrm>
              <a:off x="1600200" y="2247900"/>
              <a:ext cx="2152650" cy="301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66675</xdr:colOff>
      <xdr:row>8</xdr:row>
      <xdr:rowOff>304800</xdr:rowOff>
    </xdr:from>
    <xdr:to>
      <xdr:col>3</xdr:col>
      <xdr:colOff>657225</xdr:colOff>
      <xdr:row>10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 de texte 11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590675" y="2657475"/>
              <a:ext cx="21526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- 1+1=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Zone de texte 11">
              <a:extLst>
                <a:ext uri="{FF2B5EF4-FFF2-40B4-BE49-F238E27FC236}">
                  <a16:creationId xmlns:a16="http://schemas.microsoft.com/office/drawing/2014/main" id="{6FC67843-A2FC-4F04-888E-CEC5B4504DCE}"/>
                </a:ext>
              </a:extLst>
            </xdr:cNvPr>
            <xdr:cNvSpPr txBox="1"/>
          </xdr:nvSpPr>
          <xdr:spPr>
            <a:xfrm>
              <a:off x="1590675" y="2657475"/>
              <a:ext cx="21526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- 1+1=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190500</xdr:rowOff>
    </xdr:from>
    <xdr:to>
      <xdr:col>1</xdr:col>
      <xdr:colOff>590550</xdr:colOff>
      <xdr:row>10</xdr:row>
      <xdr:rowOff>333375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 de texte 1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0" y="2895600"/>
              <a:ext cx="13525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Pt</m:t>
                      </m:r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x</m:t>
                      </m:r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</a:t>
              </a:r>
              <a:r>
                <a:rPr lang="fr-FR" sz="1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1+1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Zone de texte 12">
              <a:extLst>
                <a:ext uri="{FF2B5EF4-FFF2-40B4-BE49-F238E27FC236}">
                  <a16:creationId xmlns:a16="http://schemas.microsoft.com/office/drawing/2014/main" id="{2DB092C7-0405-4539-80C4-E369995C727C}"/>
                </a:ext>
              </a:extLst>
            </xdr:cNvPr>
            <xdr:cNvSpPr txBox="1"/>
          </xdr:nvSpPr>
          <xdr:spPr>
            <a:xfrm>
              <a:off x="0" y="2895600"/>
              <a:ext cx="13525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0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0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Pt x 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</a:t>
              </a:r>
              <a:r>
                <a:rPr lang="fr-FR" sz="1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1+1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114300</xdr:colOff>
      <xdr:row>6</xdr:row>
      <xdr:rowOff>295275</xdr:rowOff>
    </xdr:from>
    <xdr:to>
      <xdr:col>4</xdr:col>
      <xdr:colOff>28575</xdr:colOff>
      <xdr:row>7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 de text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638300" y="1800225"/>
              <a:ext cx="2505075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Zone de texte 9">
              <a:extLst>
                <a:ext uri="{FF2B5EF4-FFF2-40B4-BE49-F238E27FC236}">
                  <a16:creationId xmlns:a16="http://schemas.microsoft.com/office/drawing/2014/main" id="{0BDB2DE4-0CE4-427B-BFCD-44E7EE9DCD28}"/>
                </a:ext>
              </a:extLst>
            </xdr:cNvPr>
            <xdr:cNvSpPr txBox="1"/>
          </xdr:nvSpPr>
          <xdr:spPr>
            <a:xfrm>
              <a:off x="1638300" y="1800225"/>
              <a:ext cx="2505075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125132</xdr:colOff>
      <xdr:row>33</xdr:row>
      <xdr:rowOff>79561</xdr:rowOff>
    </xdr:from>
    <xdr:to>
      <xdr:col>5</xdr:col>
      <xdr:colOff>115607</xdr:colOff>
      <xdr:row>35</xdr:row>
      <xdr:rowOff>134657</xdr:rowOff>
    </xdr:to>
    <xdr:pic>
      <xdr:nvPicPr>
        <xdr:cNvPr id="10" name="ZoneText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132" y="8215032"/>
          <a:ext cx="42337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160021</xdr:colOff>
      <xdr:row>1</xdr:row>
      <xdr:rowOff>68580</xdr:rowOff>
    </xdr:from>
    <xdr:to>
      <xdr:col>6</xdr:col>
      <xdr:colOff>525780</xdr:colOff>
      <xdr:row>4</xdr:row>
      <xdr:rowOff>7620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4632961" y="266700"/>
          <a:ext cx="262127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471532</xdr:colOff>
      <xdr:row>0</xdr:row>
      <xdr:rowOff>0</xdr:rowOff>
    </xdr:from>
    <xdr:to>
      <xdr:col>7</xdr:col>
      <xdr:colOff>596309</xdr:colOff>
      <xdr:row>1</xdr:row>
      <xdr:rowOff>154213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4270193" y="0"/>
          <a:ext cx="1644241" cy="545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528228</xdr:colOff>
      <xdr:row>0</xdr:row>
      <xdr:rowOff>88447</xdr:rowOff>
    </xdr:from>
    <xdr:to>
      <xdr:col>15</xdr:col>
      <xdr:colOff>23674</xdr:colOff>
      <xdr:row>2</xdr:row>
      <xdr:rowOff>61231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7259228" y="88447"/>
          <a:ext cx="1648096" cy="55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opLeftCell="A30" zoomScale="85" zoomScaleNormal="85" workbookViewId="0">
      <selection activeCell="B54" sqref="B54"/>
    </sheetView>
  </sheetViews>
  <sheetFormatPr baseColWidth="10" defaultRowHeight="15" x14ac:dyDescent="0.25"/>
  <cols>
    <col min="3" max="3" width="23.42578125" customWidth="1"/>
    <col min="4" max="4" width="15.42578125" customWidth="1"/>
  </cols>
  <sheetData>
    <row r="1" spans="1:16" ht="15.75" thickBot="1" x14ac:dyDescent="0.3"/>
    <row r="2" spans="1:16" ht="15.75" thickBot="1" x14ac:dyDescent="0.3">
      <c r="A2" s="228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30"/>
    </row>
    <row r="3" spans="1:16" ht="15.75" thickBot="1" x14ac:dyDescent="0.3">
      <c r="A3" s="1" t="s">
        <v>1</v>
      </c>
      <c r="B3" s="2" t="s">
        <v>2</v>
      </c>
      <c r="C3" s="3">
        <v>3</v>
      </c>
      <c r="D3" s="4" t="s">
        <v>3</v>
      </c>
      <c r="E3" s="4" t="s">
        <v>3</v>
      </c>
      <c r="F3" s="4" t="s">
        <v>3</v>
      </c>
      <c r="G3" s="5" t="s">
        <v>4</v>
      </c>
      <c r="H3" s="231" t="s">
        <v>4</v>
      </c>
      <c r="I3" s="232"/>
      <c r="J3" s="5" t="s">
        <v>4</v>
      </c>
      <c r="K3" s="6" t="s">
        <v>5</v>
      </c>
      <c r="L3" s="6" t="s">
        <v>5</v>
      </c>
      <c r="M3" s="6" t="s">
        <v>5</v>
      </c>
      <c r="N3" s="7" t="s">
        <v>6</v>
      </c>
      <c r="O3" s="7" t="s">
        <v>6</v>
      </c>
      <c r="P3" s="7" t="s">
        <v>6</v>
      </c>
    </row>
    <row r="4" spans="1:16" ht="15.75" thickBot="1" x14ac:dyDescent="0.3">
      <c r="A4" s="8" t="s">
        <v>7</v>
      </c>
      <c r="B4" s="9" t="s">
        <v>8</v>
      </c>
      <c r="C4" s="3">
        <v>0.33333299999999999</v>
      </c>
      <c r="D4" s="10" t="s">
        <v>9</v>
      </c>
      <c r="E4" s="11" t="s">
        <v>10</v>
      </c>
      <c r="F4" s="12" t="s">
        <v>11</v>
      </c>
      <c r="G4" s="12" t="s">
        <v>9</v>
      </c>
      <c r="H4" s="233" t="s">
        <v>10</v>
      </c>
      <c r="I4" s="234"/>
      <c r="J4" s="12" t="s">
        <v>11</v>
      </c>
      <c r="K4" s="13" t="s">
        <v>9</v>
      </c>
      <c r="L4" s="11" t="s">
        <v>10</v>
      </c>
      <c r="M4" s="12" t="s">
        <v>11</v>
      </c>
      <c r="N4" s="12" t="s">
        <v>9</v>
      </c>
      <c r="O4" s="11" t="s">
        <v>10</v>
      </c>
      <c r="P4" s="11" t="s">
        <v>11</v>
      </c>
    </row>
    <row r="5" spans="1:16" ht="27.75" thickBot="1" x14ac:dyDescent="0.3">
      <c r="A5" s="8"/>
      <c r="B5" s="9" t="s">
        <v>12</v>
      </c>
      <c r="C5" s="14" t="s">
        <v>13</v>
      </c>
      <c r="D5" s="15">
        <v>5945</v>
      </c>
      <c r="E5" s="16">
        <v>53471</v>
      </c>
      <c r="F5" s="17">
        <v>28240</v>
      </c>
      <c r="G5" s="17">
        <v>15871</v>
      </c>
      <c r="H5" s="235">
        <v>373342</v>
      </c>
      <c r="I5" s="236"/>
      <c r="J5" s="17">
        <v>251699</v>
      </c>
      <c r="K5" s="17">
        <v>467481</v>
      </c>
      <c r="L5" s="17">
        <v>16809413</v>
      </c>
      <c r="M5" s="17">
        <v>5999691</v>
      </c>
      <c r="N5" s="17">
        <v>18222</v>
      </c>
      <c r="O5" s="17">
        <v>544039</v>
      </c>
      <c r="P5" s="18">
        <v>378274</v>
      </c>
    </row>
    <row r="6" spans="1:16" ht="27.75" thickBot="1" x14ac:dyDescent="0.3">
      <c r="A6" s="19"/>
      <c r="B6" s="9" t="s">
        <v>14</v>
      </c>
      <c r="C6" s="14" t="s">
        <v>15</v>
      </c>
      <c r="D6" s="20">
        <v>4149</v>
      </c>
      <c r="E6" s="21">
        <v>48147</v>
      </c>
      <c r="F6" s="21">
        <v>23759</v>
      </c>
      <c r="G6" s="21">
        <v>13545</v>
      </c>
      <c r="H6" s="237">
        <v>388197</v>
      </c>
      <c r="I6" s="238"/>
      <c r="J6" s="21">
        <v>223547</v>
      </c>
      <c r="K6" s="21">
        <v>338668</v>
      </c>
      <c r="L6" s="21">
        <v>14301438</v>
      </c>
      <c r="M6" s="21">
        <v>4576311</v>
      </c>
      <c r="N6" s="21">
        <v>14543</v>
      </c>
      <c r="O6" s="21">
        <v>414580</v>
      </c>
      <c r="P6" s="22">
        <v>324324</v>
      </c>
    </row>
    <row r="7" spans="1:16" ht="39" thickBot="1" x14ac:dyDescent="0.3">
      <c r="A7" s="239" t="s">
        <v>16</v>
      </c>
      <c r="B7" s="23" t="s">
        <v>17</v>
      </c>
      <c r="C7" s="14" t="s">
        <v>18</v>
      </c>
      <c r="D7" s="24">
        <v>1.4328753919999999</v>
      </c>
      <c r="E7" s="25">
        <v>1.110578021</v>
      </c>
      <c r="F7" s="25">
        <v>1.18860221</v>
      </c>
      <c r="G7" s="25">
        <v>1.1717238830000001</v>
      </c>
      <c r="H7" s="241" t="s">
        <v>19</v>
      </c>
      <c r="I7" s="242"/>
      <c r="J7" s="25">
        <v>1.1259332500000001</v>
      </c>
      <c r="K7" s="25">
        <v>1.38035185</v>
      </c>
      <c r="L7" s="25">
        <v>1.175365233</v>
      </c>
      <c r="M7" s="25">
        <v>1.31103218</v>
      </c>
      <c r="N7" s="25">
        <v>1.2529739390000001</v>
      </c>
      <c r="O7" s="25">
        <v>1.3122654250000001</v>
      </c>
      <c r="P7" s="25">
        <v>1.1663460000000001</v>
      </c>
    </row>
    <row r="8" spans="1:16" ht="27.75" thickBot="1" x14ac:dyDescent="0.3">
      <c r="A8" s="240"/>
      <c r="B8" s="9" t="s">
        <v>20</v>
      </c>
      <c r="C8" s="2"/>
      <c r="D8" s="26">
        <v>1.12737</v>
      </c>
      <c r="E8" s="26">
        <v>1.0355700000000001</v>
      </c>
      <c r="F8" s="26">
        <v>1.05928</v>
      </c>
      <c r="G8" s="26">
        <v>1.0542400000000001</v>
      </c>
      <c r="H8" s="243">
        <v>0.98707</v>
      </c>
      <c r="I8" s="244"/>
      <c r="J8" s="26">
        <v>1.0403199999999999</v>
      </c>
      <c r="K8" s="26">
        <v>1.1134299999999999</v>
      </c>
      <c r="L8" s="26">
        <v>1.0553300000000001</v>
      </c>
      <c r="M8" s="26">
        <v>1.0944700000000001</v>
      </c>
      <c r="N8" s="26">
        <v>1.0780700000000001</v>
      </c>
      <c r="O8" s="26">
        <v>1.0948100000000001</v>
      </c>
      <c r="P8" s="26">
        <v>1.05263</v>
      </c>
    </row>
    <row r="9" spans="1:16" ht="27.75" thickBot="1" x14ac:dyDescent="0.3">
      <c r="A9" s="19" t="s">
        <v>21</v>
      </c>
      <c r="B9" s="9" t="s">
        <v>22</v>
      </c>
      <c r="C9" s="27"/>
      <c r="D9" s="26">
        <v>0.12737000000000001</v>
      </c>
      <c r="E9" s="26">
        <v>3.5569999999999997E-2</v>
      </c>
      <c r="F9" s="26">
        <v>5.9279999999999999E-2</v>
      </c>
      <c r="G9" s="26">
        <v>5.4239999999999997E-2</v>
      </c>
      <c r="H9" s="243">
        <v>-1.2930000000000001E-2</v>
      </c>
      <c r="I9" s="244"/>
      <c r="J9" s="26">
        <v>4.0320000000000002E-2</v>
      </c>
      <c r="K9" s="26">
        <v>0.11343</v>
      </c>
      <c r="L9" s="26">
        <v>5.5329999999999997E-2</v>
      </c>
      <c r="M9" s="26">
        <v>9.4469999999999998E-2</v>
      </c>
      <c r="N9" s="26">
        <v>7.8070000000000001E-2</v>
      </c>
      <c r="O9" s="26">
        <v>9.4810000000000005E-2</v>
      </c>
      <c r="P9" s="26">
        <v>5.2630000000000003E-2</v>
      </c>
    </row>
    <row r="10" spans="1:16" ht="15.75" thickBot="1" x14ac:dyDescent="0.3">
      <c r="A10" s="28"/>
      <c r="B10" s="9" t="s">
        <v>23</v>
      </c>
      <c r="C10" s="2"/>
      <c r="D10" s="29">
        <v>1.12737</v>
      </c>
      <c r="E10" s="29">
        <v>1.0355700000000001</v>
      </c>
      <c r="F10" s="29">
        <v>1.05928</v>
      </c>
      <c r="G10" s="29">
        <v>1.0542400000000001</v>
      </c>
      <c r="H10" s="245">
        <v>0.98707</v>
      </c>
      <c r="I10" s="246"/>
      <c r="J10" s="29">
        <v>1.0403199999999999</v>
      </c>
      <c r="K10" s="29">
        <v>1.1134299999999999</v>
      </c>
      <c r="L10" s="29">
        <v>1.0553300000000001</v>
      </c>
      <c r="M10" s="29">
        <v>1.0944700000000001</v>
      </c>
      <c r="N10" s="29">
        <v>1.0780700000000001</v>
      </c>
      <c r="O10" s="29">
        <v>1.0948100000000001</v>
      </c>
      <c r="P10" s="29">
        <v>1.05263</v>
      </c>
    </row>
    <row r="11" spans="1:16" ht="27.75" thickBot="1" x14ac:dyDescent="0.3">
      <c r="A11" s="30" t="s">
        <v>24</v>
      </c>
      <c r="B11" s="9" t="s">
        <v>25</v>
      </c>
      <c r="C11" s="31"/>
      <c r="D11" s="32">
        <v>4677</v>
      </c>
      <c r="E11" s="33">
        <v>49860</v>
      </c>
      <c r="F11" s="33">
        <v>25167</v>
      </c>
      <c r="G11" s="33">
        <v>14280</v>
      </c>
      <c r="H11" s="247">
        <v>383178</v>
      </c>
      <c r="I11" s="248"/>
      <c r="J11" s="33">
        <v>232560</v>
      </c>
      <c r="K11" s="33">
        <v>377083</v>
      </c>
      <c r="L11" s="33">
        <v>15092737</v>
      </c>
      <c r="M11" s="33">
        <v>5008635</v>
      </c>
      <c r="N11" s="33">
        <v>15678</v>
      </c>
      <c r="O11" s="33">
        <v>453886</v>
      </c>
      <c r="P11" s="33">
        <v>341393</v>
      </c>
    </row>
    <row r="12" spans="1:16" ht="15.75" thickBot="1" x14ac:dyDescent="0.3">
      <c r="A12" s="34" t="s">
        <v>26</v>
      </c>
      <c r="B12" s="35" t="s">
        <v>15</v>
      </c>
      <c r="C12" s="36" t="s">
        <v>27</v>
      </c>
      <c r="D12" s="37">
        <v>4149</v>
      </c>
      <c r="E12" s="38">
        <v>48147</v>
      </c>
      <c r="F12" s="38">
        <v>23759</v>
      </c>
      <c r="G12" s="38" t="s">
        <v>28</v>
      </c>
      <c r="H12" s="249" t="s">
        <v>29</v>
      </c>
      <c r="I12" s="250"/>
      <c r="J12" s="38" t="s">
        <v>30</v>
      </c>
      <c r="K12" s="38" t="s">
        <v>31</v>
      </c>
      <c r="L12" s="38" t="s">
        <v>32</v>
      </c>
      <c r="M12" s="38" t="s">
        <v>33</v>
      </c>
      <c r="N12" s="38" t="s">
        <v>34</v>
      </c>
      <c r="O12" s="38" t="s">
        <v>35</v>
      </c>
      <c r="P12" s="39" t="s">
        <v>36</v>
      </c>
    </row>
    <row r="13" spans="1:16" ht="24.75" thickBot="1" x14ac:dyDescent="0.3">
      <c r="A13" s="40" t="s">
        <v>37</v>
      </c>
      <c r="B13" s="41" t="s">
        <v>38</v>
      </c>
      <c r="C13" s="14" t="s">
        <v>39</v>
      </c>
      <c r="D13" s="42">
        <v>4677</v>
      </c>
      <c r="E13" s="43">
        <v>49860</v>
      </c>
      <c r="F13" s="43">
        <v>25167</v>
      </c>
      <c r="G13" s="43">
        <v>14280</v>
      </c>
      <c r="H13" s="251">
        <v>383178</v>
      </c>
      <c r="I13" s="252"/>
      <c r="J13" s="43">
        <v>232560</v>
      </c>
      <c r="K13" s="43">
        <v>377083</v>
      </c>
      <c r="L13" s="43">
        <v>15092737</v>
      </c>
      <c r="M13" s="43">
        <v>5008635</v>
      </c>
      <c r="N13" s="43">
        <v>15678</v>
      </c>
      <c r="O13" s="43">
        <v>453886</v>
      </c>
      <c r="P13" s="43">
        <v>341393</v>
      </c>
    </row>
    <row r="14" spans="1:16" ht="15.75" thickBot="1" x14ac:dyDescent="0.3">
      <c r="A14" s="44"/>
      <c r="B14" s="41" t="s">
        <v>38</v>
      </c>
      <c r="C14" s="14" t="s">
        <v>40</v>
      </c>
      <c r="D14" s="45">
        <v>5273</v>
      </c>
      <c r="E14" s="46">
        <v>51633</v>
      </c>
      <c r="F14" s="46">
        <v>26659</v>
      </c>
      <c r="G14" s="46">
        <v>15054</v>
      </c>
      <c r="H14" s="226">
        <v>378223</v>
      </c>
      <c r="I14" s="227"/>
      <c r="J14" s="46">
        <v>241937</v>
      </c>
      <c r="K14" s="46">
        <v>419856</v>
      </c>
      <c r="L14" s="46">
        <v>15927818</v>
      </c>
      <c r="M14" s="46">
        <v>5481801</v>
      </c>
      <c r="N14" s="46">
        <v>16902</v>
      </c>
      <c r="O14" s="46">
        <v>496919</v>
      </c>
      <c r="P14" s="46">
        <v>359361</v>
      </c>
    </row>
    <row r="15" spans="1:16" ht="27.75" thickBot="1" x14ac:dyDescent="0.3">
      <c r="A15" s="47" t="s">
        <v>26</v>
      </c>
      <c r="B15" s="48" t="s">
        <v>13</v>
      </c>
      <c r="C15" s="49" t="s">
        <v>41</v>
      </c>
      <c r="D15" s="50">
        <v>5945</v>
      </c>
      <c r="E15" s="51">
        <v>53471</v>
      </c>
      <c r="F15" s="52">
        <v>28240</v>
      </c>
      <c r="G15" s="52">
        <v>15871</v>
      </c>
      <c r="H15" s="235">
        <v>373342</v>
      </c>
      <c r="I15" s="236"/>
      <c r="J15" s="52">
        <v>251699</v>
      </c>
      <c r="K15" s="52">
        <v>467481</v>
      </c>
      <c r="L15" s="52">
        <v>16809413</v>
      </c>
      <c r="M15" s="52">
        <v>5999691</v>
      </c>
      <c r="N15" s="52">
        <v>18222</v>
      </c>
      <c r="O15" s="52">
        <v>544039</v>
      </c>
      <c r="P15" s="52">
        <v>378274</v>
      </c>
    </row>
    <row r="16" spans="1:16" ht="20.100000000000001" customHeight="1" thickBot="1" x14ac:dyDescent="0.3">
      <c r="A16" s="44"/>
      <c r="B16" s="53" t="s">
        <v>38</v>
      </c>
      <c r="C16" s="14" t="s">
        <v>42</v>
      </c>
      <c r="D16" s="54">
        <v>6702</v>
      </c>
      <c r="E16" s="46">
        <v>55373</v>
      </c>
      <c r="F16" s="46">
        <v>29914</v>
      </c>
      <c r="G16" s="46">
        <v>16732</v>
      </c>
      <c r="H16" s="253">
        <v>368515</v>
      </c>
      <c r="I16" s="254"/>
      <c r="J16" s="46">
        <v>261848</v>
      </c>
      <c r="K16" s="46">
        <v>520507</v>
      </c>
      <c r="L16" s="46">
        <v>17739478</v>
      </c>
      <c r="M16" s="46">
        <v>6566482</v>
      </c>
      <c r="N16" s="46">
        <v>19645</v>
      </c>
      <c r="O16" s="46">
        <v>595619</v>
      </c>
      <c r="P16" s="46">
        <v>398183</v>
      </c>
    </row>
    <row r="17" spans="1:16" ht="20.100000000000001" customHeight="1" thickBot="1" x14ac:dyDescent="0.3">
      <c r="A17" s="44"/>
      <c r="B17" s="41" t="s">
        <v>38</v>
      </c>
      <c r="C17" s="55" t="s">
        <v>43</v>
      </c>
      <c r="D17" s="45">
        <v>7556</v>
      </c>
      <c r="E17" s="56">
        <v>57343</v>
      </c>
      <c r="F17" s="56">
        <v>31687</v>
      </c>
      <c r="G17" s="56">
        <v>17639</v>
      </c>
      <c r="H17" s="226">
        <v>363750</v>
      </c>
      <c r="I17" s="227"/>
      <c r="J17" s="56">
        <v>272405</v>
      </c>
      <c r="K17" s="56">
        <v>579549</v>
      </c>
      <c r="L17" s="56">
        <v>18721003</v>
      </c>
      <c r="M17" s="56">
        <v>7186817</v>
      </c>
      <c r="N17" s="56">
        <v>21178</v>
      </c>
      <c r="O17" s="56">
        <v>652090</v>
      </c>
      <c r="P17" s="56">
        <v>419139</v>
      </c>
    </row>
    <row r="18" spans="1:16" ht="20.100000000000001" customHeight="1" thickBot="1" x14ac:dyDescent="0.3">
      <c r="A18" s="44"/>
      <c r="B18" s="57" t="s">
        <v>38</v>
      </c>
      <c r="C18" s="58" t="s">
        <v>44</v>
      </c>
      <c r="D18" s="59">
        <v>8518</v>
      </c>
      <c r="E18" s="60">
        <v>59382</v>
      </c>
      <c r="F18" s="60">
        <v>33566</v>
      </c>
      <c r="G18" s="60">
        <v>18596</v>
      </c>
      <c r="H18" s="226">
        <v>359047</v>
      </c>
      <c r="I18" s="227"/>
      <c r="J18" s="60">
        <v>283389</v>
      </c>
      <c r="K18" s="60">
        <v>645287</v>
      </c>
      <c r="L18" s="60">
        <v>19756836</v>
      </c>
      <c r="M18" s="60">
        <v>7865756</v>
      </c>
      <c r="N18" s="60">
        <v>22832</v>
      </c>
      <c r="O18" s="60">
        <v>713915</v>
      </c>
      <c r="P18" s="60">
        <v>441198</v>
      </c>
    </row>
    <row r="19" spans="1:16" ht="20.100000000000001" customHeight="1" thickBot="1" x14ac:dyDescent="0.3">
      <c r="A19" s="44"/>
      <c r="B19" s="2" t="s">
        <v>38</v>
      </c>
      <c r="C19" s="3" t="s">
        <v>45</v>
      </c>
      <c r="D19" s="60">
        <v>9603</v>
      </c>
      <c r="E19" s="46">
        <v>61494</v>
      </c>
      <c r="F19" s="46">
        <v>35556</v>
      </c>
      <c r="G19" s="46">
        <v>19605</v>
      </c>
      <c r="H19" s="226">
        <v>354404</v>
      </c>
      <c r="I19" s="227"/>
      <c r="J19" s="46">
        <v>294815</v>
      </c>
      <c r="K19" s="46">
        <v>718482</v>
      </c>
      <c r="L19" s="46">
        <v>20849982</v>
      </c>
      <c r="M19" s="46">
        <v>8608834</v>
      </c>
      <c r="N19" s="46">
        <v>24614</v>
      </c>
      <c r="O19" s="46">
        <v>781601</v>
      </c>
      <c r="P19" s="46">
        <v>464418</v>
      </c>
    </row>
    <row r="20" spans="1:16" ht="20.100000000000001" customHeight="1" thickBot="1" x14ac:dyDescent="0.3">
      <c r="A20" s="44"/>
      <c r="B20" s="2" t="s">
        <v>38</v>
      </c>
      <c r="C20" s="3" t="s">
        <v>46</v>
      </c>
      <c r="D20" s="46">
        <v>10826</v>
      </c>
      <c r="E20" s="46">
        <v>63682</v>
      </c>
      <c r="F20" s="46">
        <v>37663</v>
      </c>
      <c r="G20" s="46">
        <v>20668</v>
      </c>
      <c r="H20" s="226">
        <v>349822</v>
      </c>
      <c r="I20" s="227"/>
      <c r="J20" s="46">
        <v>306702</v>
      </c>
      <c r="K20" s="46">
        <v>799979</v>
      </c>
      <c r="L20" s="46">
        <v>22003611</v>
      </c>
      <c r="M20" s="46">
        <v>9422110</v>
      </c>
      <c r="N20" s="46">
        <v>26536</v>
      </c>
      <c r="O20" s="46">
        <v>855704</v>
      </c>
      <c r="P20" s="46">
        <v>488861</v>
      </c>
    </row>
    <row r="21" spans="1:16" ht="20.100000000000001" customHeight="1" thickBot="1" x14ac:dyDescent="0.3">
      <c r="A21" s="44"/>
      <c r="B21" s="2" t="s">
        <v>38</v>
      </c>
      <c r="C21" s="3" t="s">
        <v>47</v>
      </c>
      <c r="D21" s="46">
        <v>12205</v>
      </c>
      <c r="E21" s="46">
        <v>65947</v>
      </c>
      <c r="F21" s="46">
        <v>39896</v>
      </c>
      <c r="G21" s="46">
        <v>21789</v>
      </c>
      <c r="H21" s="226">
        <v>345298</v>
      </c>
      <c r="I21" s="227"/>
      <c r="J21" s="46">
        <v>319068</v>
      </c>
      <c r="K21" s="46">
        <v>890721</v>
      </c>
      <c r="L21" s="46">
        <v>23221071</v>
      </c>
      <c r="M21" s="61">
        <v>10312217</v>
      </c>
      <c r="N21" s="46">
        <v>28607</v>
      </c>
      <c r="O21" s="46">
        <v>936834</v>
      </c>
      <c r="P21" s="46">
        <v>514590</v>
      </c>
    </row>
    <row r="22" spans="1:16" ht="20.100000000000001" customHeight="1" thickBot="1" x14ac:dyDescent="0.3">
      <c r="A22" s="44"/>
      <c r="B22" s="2" t="s">
        <v>38</v>
      </c>
      <c r="C22" s="3" t="s">
        <v>48</v>
      </c>
      <c r="D22" s="46">
        <v>13760</v>
      </c>
      <c r="E22" s="46">
        <v>68293</v>
      </c>
      <c r="F22" s="46">
        <v>42261</v>
      </c>
      <c r="G22" s="46">
        <v>22971</v>
      </c>
      <c r="H22" s="226">
        <v>340834</v>
      </c>
      <c r="I22" s="227"/>
      <c r="J22" s="46">
        <v>331933</v>
      </c>
      <c r="K22" s="46">
        <v>991755</v>
      </c>
      <c r="L22" s="46">
        <v>24505893</v>
      </c>
      <c r="M22" s="61">
        <v>11286412</v>
      </c>
      <c r="N22" s="46">
        <v>30841</v>
      </c>
      <c r="O22" s="46">
        <v>1025655</v>
      </c>
      <c r="P22" s="46">
        <v>541672</v>
      </c>
    </row>
    <row r="23" spans="1:16" ht="20.100000000000001" customHeight="1" thickBot="1" x14ac:dyDescent="0.3">
      <c r="A23" s="44"/>
      <c r="B23" s="2" t="s">
        <v>38</v>
      </c>
      <c r="C23" s="3" t="s">
        <v>49</v>
      </c>
      <c r="D23" s="46">
        <v>15512</v>
      </c>
      <c r="E23" s="46">
        <v>70722</v>
      </c>
      <c r="F23" s="46">
        <v>44766</v>
      </c>
      <c r="G23" s="46">
        <v>24217</v>
      </c>
      <c r="H23" s="226">
        <v>336427</v>
      </c>
      <c r="I23" s="227"/>
      <c r="J23" s="46">
        <v>345316</v>
      </c>
      <c r="K23" s="46">
        <v>1104250</v>
      </c>
      <c r="L23" s="46">
        <v>25861804</v>
      </c>
      <c r="M23" s="61">
        <v>12352640</v>
      </c>
      <c r="N23" s="46">
        <v>33248</v>
      </c>
      <c r="O23" s="46">
        <v>1122897</v>
      </c>
      <c r="P23" s="46">
        <v>570181</v>
      </c>
    </row>
    <row r="24" spans="1:16" ht="20.100000000000001" customHeight="1" thickBot="1" x14ac:dyDescent="0.3">
      <c r="A24" s="44"/>
      <c r="B24" s="2" t="s">
        <v>38</v>
      </c>
      <c r="C24" s="3" t="s">
        <v>50</v>
      </c>
      <c r="D24" s="46">
        <v>17488</v>
      </c>
      <c r="E24" s="46">
        <v>73237</v>
      </c>
      <c r="F24" s="46">
        <v>47420</v>
      </c>
      <c r="G24" s="46">
        <v>25531</v>
      </c>
      <c r="H24" s="226">
        <v>332077</v>
      </c>
      <c r="I24" s="227"/>
      <c r="J24" s="46">
        <v>359239</v>
      </c>
      <c r="K24" s="46">
        <v>1229505</v>
      </c>
      <c r="L24" s="46">
        <v>27292738</v>
      </c>
      <c r="M24" s="61">
        <v>13519594</v>
      </c>
      <c r="N24" s="46">
        <v>35844</v>
      </c>
      <c r="O24" s="46">
        <v>1229359</v>
      </c>
      <c r="P24" s="46">
        <v>600189</v>
      </c>
    </row>
    <row r="25" spans="1:16" ht="20.100000000000001" customHeight="1" thickBot="1" x14ac:dyDescent="0.3">
      <c r="A25" s="44"/>
      <c r="B25" s="2" t="s">
        <v>38</v>
      </c>
      <c r="C25" s="3" t="s">
        <v>51</v>
      </c>
      <c r="D25" s="46">
        <v>19715</v>
      </c>
      <c r="E25" s="46">
        <v>75843</v>
      </c>
      <c r="F25" s="46">
        <v>50231</v>
      </c>
      <c r="G25" s="46">
        <v>26915</v>
      </c>
      <c r="H25" s="226">
        <v>327783</v>
      </c>
      <c r="I25" s="227"/>
      <c r="J25" s="46">
        <v>373724</v>
      </c>
      <c r="K25" s="46">
        <v>1368968</v>
      </c>
      <c r="L25" s="46">
        <v>28802845</v>
      </c>
      <c r="M25" s="61">
        <v>14796790</v>
      </c>
      <c r="N25" s="46">
        <v>38643</v>
      </c>
      <c r="O25" s="46">
        <v>1345915</v>
      </c>
      <c r="P25" s="46">
        <v>631777</v>
      </c>
    </row>
    <row r="26" spans="1:16" ht="20.100000000000001" customHeight="1" thickBot="1" x14ac:dyDescent="0.3">
      <c r="A26" s="44"/>
      <c r="B26" s="2" t="s">
        <v>38</v>
      </c>
      <c r="C26" s="3" t="s">
        <v>52</v>
      </c>
      <c r="D26" s="46">
        <v>22227</v>
      </c>
      <c r="E26" s="46">
        <v>78540</v>
      </c>
      <c r="F26" s="46">
        <v>53209</v>
      </c>
      <c r="G26" s="46">
        <v>28375</v>
      </c>
      <c r="H26" s="226">
        <v>323545</v>
      </c>
      <c r="I26" s="227"/>
      <c r="J26" s="46">
        <v>388793</v>
      </c>
      <c r="K26" s="46">
        <v>1524250</v>
      </c>
      <c r="L26" s="46">
        <v>30396506</v>
      </c>
      <c r="M26" s="61">
        <v>16194642</v>
      </c>
      <c r="N26" s="46">
        <v>41659</v>
      </c>
      <c r="O26" s="46">
        <v>1473521</v>
      </c>
      <c r="P26" s="46">
        <v>665028</v>
      </c>
    </row>
    <row r="27" spans="1:16" ht="20.100000000000001" customHeight="1" thickBot="1" x14ac:dyDescent="0.3">
      <c r="A27" s="44"/>
      <c r="B27" s="2" t="s">
        <v>38</v>
      </c>
      <c r="C27" s="3" t="s">
        <v>53</v>
      </c>
      <c r="D27" s="46">
        <v>25058</v>
      </c>
      <c r="E27" s="46">
        <v>81334</v>
      </c>
      <c r="F27" s="46">
        <v>56363</v>
      </c>
      <c r="G27" s="46">
        <v>29914</v>
      </c>
      <c r="H27" s="226">
        <v>319361</v>
      </c>
      <c r="I27" s="227"/>
      <c r="J27" s="46">
        <v>404469</v>
      </c>
      <c r="K27" s="46">
        <v>1697145</v>
      </c>
      <c r="L27" s="46">
        <v>32078345</v>
      </c>
      <c r="M27" s="61">
        <v>17724550</v>
      </c>
      <c r="N27" s="46">
        <v>44912</v>
      </c>
      <c r="O27" s="46">
        <v>1613226</v>
      </c>
      <c r="P27" s="46">
        <v>700028</v>
      </c>
    </row>
    <row r="28" spans="1:16" ht="20.100000000000001" customHeight="1" thickBot="1" x14ac:dyDescent="0.3">
      <c r="A28" s="44"/>
      <c r="B28" s="2" t="s">
        <v>38</v>
      </c>
      <c r="C28" s="3" t="s">
        <v>54</v>
      </c>
      <c r="D28" s="46">
        <v>28249</v>
      </c>
      <c r="E28" s="46">
        <v>84227</v>
      </c>
      <c r="F28" s="46">
        <v>59704</v>
      </c>
      <c r="G28" s="46">
        <v>31537</v>
      </c>
      <c r="H28" s="226">
        <v>315232</v>
      </c>
      <c r="I28" s="227"/>
      <c r="J28" s="46">
        <v>420777</v>
      </c>
      <c r="K28" s="46">
        <v>1889652</v>
      </c>
      <c r="L28" s="46">
        <v>33853240</v>
      </c>
      <c r="M28" s="61">
        <v>19398989</v>
      </c>
      <c r="N28" s="46">
        <v>48418</v>
      </c>
      <c r="O28" s="46">
        <v>1766176</v>
      </c>
      <c r="P28" s="46">
        <v>736870</v>
      </c>
    </row>
    <row r="29" spans="1:16" ht="20.100000000000001" customHeight="1" thickBot="1" x14ac:dyDescent="0.3">
      <c r="A29" s="44"/>
      <c r="B29" s="2" t="s">
        <v>38</v>
      </c>
      <c r="C29" s="3" t="s">
        <v>55</v>
      </c>
      <c r="D29" s="46">
        <v>31847</v>
      </c>
      <c r="E29" s="46">
        <v>87223</v>
      </c>
      <c r="F29" s="46">
        <v>63243</v>
      </c>
      <c r="G29" s="46">
        <v>33247</v>
      </c>
      <c r="H29" s="226">
        <v>311156</v>
      </c>
      <c r="I29" s="227"/>
      <c r="J29" s="46">
        <v>437743</v>
      </c>
      <c r="K29" s="46">
        <v>2103996</v>
      </c>
      <c r="L29" s="46">
        <v>35726340</v>
      </c>
      <c r="M29" s="61">
        <v>21231611</v>
      </c>
      <c r="N29" s="46">
        <v>52198</v>
      </c>
      <c r="O29" s="46">
        <v>1933627</v>
      </c>
      <c r="P29" s="46">
        <v>775652</v>
      </c>
    </row>
    <row r="30" spans="1:16" ht="20.100000000000001" customHeight="1" thickBot="1" x14ac:dyDescent="0.3">
      <c r="A30" s="8"/>
      <c r="B30" s="2" t="s">
        <v>38</v>
      </c>
      <c r="C30" s="3" t="s">
        <v>56</v>
      </c>
      <c r="D30" s="46">
        <v>35904</v>
      </c>
      <c r="E30" s="46">
        <v>90325</v>
      </c>
      <c r="F30" s="46">
        <v>66993</v>
      </c>
      <c r="G30" s="46">
        <v>35051</v>
      </c>
      <c r="H30" s="226">
        <v>307133</v>
      </c>
      <c r="I30" s="227"/>
      <c r="J30" s="46">
        <v>455392</v>
      </c>
      <c r="K30" s="46">
        <v>2342652</v>
      </c>
      <c r="L30" s="46">
        <v>37703078</v>
      </c>
      <c r="M30" s="61">
        <v>23237361</v>
      </c>
      <c r="N30" s="46">
        <v>56273</v>
      </c>
      <c r="O30" s="46">
        <v>2116954</v>
      </c>
      <c r="P30" s="46">
        <v>816475</v>
      </c>
    </row>
    <row r="31" spans="1:16" ht="15.75" thickBot="1" x14ac:dyDescent="0.3">
      <c r="A31" s="8"/>
      <c r="B31" s="255" t="s">
        <v>57</v>
      </c>
      <c r="C31" s="256"/>
      <c r="D31" s="256"/>
      <c r="E31" s="256"/>
      <c r="F31" s="256"/>
      <c r="G31" s="256"/>
      <c r="H31" s="257"/>
      <c r="I31" s="258"/>
      <c r="J31" s="259"/>
      <c r="K31" s="259"/>
      <c r="L31" s="259"/>
      <c r="M31" s="259"/>
      <c r="N31" s="259"/>
      <c r="O31" s="259"/>
      <c r="P31" s="260"/>
    </row>
    <row r="32" spans="1:16" ht="15.75" thickBot="1" x14ac:dyDescent="0.3">
      <c r="A32" s="8"/>
      <c r="B32" s="255" t="s">
        <v>58</v>
      </c>
      <c r="C32" s="256"/>
      <c r="D32" s="256"/>
      <c r="E32" s="256"/>
      <c r="F32" s="256"/>
      <c r="G32" s="256"/>
      <c r="H32" s="257"/>
      <c r="I32" s="258"/>
      <c r="J32" s="259"/>
      <c r="K32" s="259"/>
      <c r="L32" s="259"/>
      <c r="M32" s="259"/>
      <c r="N32" s="259"/>
      <c r="O32" s="259"/>
      <c r="P32" s="260"/>
    </row>
    <row r="33" spans="1:16" ht="15.75" thickBot="1" x14ac:dyDescent="0.3">
      <c r="A33" s="62"/>
      <c r="B33" s="63"/>
      <c r="C33" s="63"/>
      <c r="D33" s="63"/>
      <c r="E33" s="63"/>
      <c r="F33" s="63"/>
      <c r="G33" s="63"/>
      <c r="H33" s="64"/>
      <c r="I33" s="261"/>
      <c r="J33" s="262"/>
      <c r="K33" s="262"/>
      <c r="L33" s="262"/>
      <c r="M33" s="262"/>
      <c r="N33" s="262"/>
      <c r="O33" s="262"/>
      <c r="P33" s="263"/>
    </row>
    <row r="35" spans="1:16" x14ac:dyDescent="0.25">
      <c r="F35">
        <f>1/2</f>
        <v>0.5</v>
      </c>
    </row>
    <row r="38" spans="1:16" x14ac:dyDescent="0.25">
      <c r="B38" t="s">
        <v>59</v>
      </c>
    </row>
    <row r="39" spans="1:16" x14ac:dyDescent="0.25">
      <c r="B39" t="s">
        <v>60</v>
      </c>
    </row>
    <row r="40" spans="1:16" x14ac:dyDescent="0.25">
      <c r="B40" t="s">
        <v>61</v>
      </c>
    </row>
    <row r="41" spans="1:16" x14ac:dyDescent="0.25">
      <c r="B41" t="e">
        <f>B39/B40</f>
        <v>#VALUE!</v>
      </c>
    </row>
    <row r="42" spans="1:16" x14ac:dyDescent="0.25">
      <c r="B42" t="e">
        <f>(B41)</f>
        <v>#VALUE!</v>
      </c>
    </row>
  </sheetData>
  <mergeCells count="35">
    <mergeCell ref="B32:H32"/>
    <mergeCell ref="I32:P32"/>
    <mergeCell ref="I33:P33"/>
    <mergeCell ref="H27:I27"/>
    <mergeCell ref="H28:I28"/>
    <mergeCell ref="H29:I29"/>
    <mergeCell ref="H30:I30"/>
    <mergeCell ref="B31:H31"/>
    <mergeCell ref="I31:P31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14:I14"/>
    <mergeCell ref="A2:P2"/>
    <mergeCell ref="H3:I3"/>
    <mergeCell ref="H4:I4"/>
    <mergeCell ref="H5:I5"/>
    <mergeCell ref="H6:I6"/>
    <mergeCell ref="A7:A8"/>
    <mergeCell ref="H7:I7"/>
    <mergeCell ref="H8:I8"/>
    <mergeCell ref="H9:I9"/>
    <mergeCell ref="H10:I10"/>
    <mergeCell ref="H11:I11"/>
    <mergeCell ref="H12:I12"/>
    <mergeCell ref="H13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O33"/>
  <sheetViews>
    <sheetView workbookViewId="0">
      <selection activeCell="K6" activeCellId="2" sqref="D6:D31 I6:I31 K6:K31"/>
    </sheetView>
  </sheetViews>
  <sheetFormatPr baseColWidth="10" defaultRowHeight="15" x14ac:dyDescent="0.25"/>
  <sheetData>
    <row r="2" spans="3:15" ht="15.75" thickBot="1" x14ac:dyDescent="0.3">
      <c r="C2" s="420" t="s">
        <v>224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3:15" ht="15.75" thickBot="1" x14ac:dyDescent="0.3">
      <c r="C3" s="421" t="s">
        <v>225</v>
      </c>
      <c r="D3" s="421" t="s">
        <v>226</v>
      </c>
      <c r="E3" s="424" t="s">
        <v>227</v>
      </c>
      <c r="F3" s="418" t="s">
        <v>228</v>
      </c>
      <c r="G3" s="419"/>
      <c r="H3" s="419"/>
      <c r="I3" s="419"/>
      <c r="J3" s="419"/>
      <c r="K3" s="419"/>
      <c r="L3" s="419"/>
      <c r="M3" s="419"/>
      <c r="N3" s="419"/>
      <c r="O3" s="419"/>
    </row>
    <row r="4" spans="3:15" ht="15.75" thickBot="1" x14ac:dyDescent="0.3">
      <c r="C4" s="422"/>
      <c r="D4" s="422"/>
      <c r="E4" s="425"/>
      <c r="F4" s="413" t="s">
        <v>67</v>
      </c>
      <c r="G4" s="415"/>
      <c r="H4" s="413" t="s">
        <v>43</v>
      </c>
      <c r="I4" s="415"/>
      <c r="J4" s="413" t="s">
        <v>44</v>
      </c>
      <c r="K4" s="415"/>
      <c r="L4" s="416" t="s">
        <v>45</v>
      </c>
      <c r="M4" s="417"/>
      <c r="N4" s="416" t="s">
        <v>46</v>
      </c>
      <c r="O4" s="417"/>
    </row>
    <row r="5" spans="3:15" ht="15.75" thickBot="1" x14ac:dyDescent="0.3">
      <c r="C5" s="423"/>
      <c r="D5" s="423"/>
      <c r="E5" s="426"/>
      <c r="F5" s="194" t="s">
        <v>117</v>
      </c>
      <c r="G5" s="194" t="s">
        <v>229</v>
      </c>
      <c r="H5" s="195" t="s">
        <v>117</v>
      </c>
      <c r="I5" s="195" t="s">
        <v>229</v>
      </c>
      <c r="J5" s="195" t="s">
        <v>117</v>
      </c>
      <c r="K5" s="196" t="s">
        <v>229</v>
      </c>
      <c r="L5" s="195" t="s">
        <v>117</v>
      </c>
      <c r="M5" s="196" t="s">
        <v>229</v>
      </c>
      <c r="N5" s="195" t="s">
        <v>117</v>
      </c>
      <c r="O5" s="196" t="s">
        <v>229</v>
      </c>
    </row>
    <row r="6" spans="3:15" ht="15.75" thickBot="1" x14ac:dyDescent="0.3">
      <c r="C6" s="197">
        <v>1</v>
      </c>
      <c r="D6" s="198" t="s">
        <v>198</v>
      </c>
      <c r="E6" s="198" t="s">
        <v>171</v>
      </c>
      <c r="F6" s="199">
        <v>14665</v>
      </c>
      <c r="G6" s="200">
        <v>34395</v>
      </c>
      <c r="H6" s="201">
        <v>1605</v>
      </c>
      <c r="I6" s="202">
        <v>4027</v>
      </c>
      <c r="J6" s="203">
        <v>2170</v>
      </c>
      <c r="K6" s="204">
        <v>5813</v>
      </c>
      <c r="L6" s="203"/>
      <c r="M6" s="204"/>
      <c r="N6" s="203"/>
      <c r="O6" s="204"/>
    </row>
    <row r="7" spans="3:15" ht="23.25" thickBot="1" x14ac:dyDescent="0.3">
      <c r="C7" s="197">
        <v>2</v>
      </c>
      <c r="D7" s="198" t="s">
        <v>199</v>
      </c>
      <c r="E7" s="198" t="s">
        <v>172</v>
      </c>
      <c r="F7" s="199">
        <v>16506</v>
      </c>
      <c r="G7" s="200">
        <v>20044</v>
      </c>
      <c r="H7" s="201">
        <v>1973</v>
      </c>
      <c r="I7" s="202">
        <v>2515</v>
      </c>
      <c r="J7" s="203">
        <v>2259</v>
      </c>
      <c r="K7" s="204">
        <v>3207</v>
      </c>
      <c r="L7" s="203"/>
      <c r="M7" s="204"/>
      <c r="N7" s="203"/>
      <c r="O7" s="204"/>
    </row>
    <row r="8" spans="3:15" ht="15.75" thickBot="1" x14ac:dyDescent="0.3">
      <c r="C8" s="197">
        <v>3</v>
      </c>
      <c r="D8" s="198" t="s">
        <v>200</v>
      </c>
      <c r="E8" s="198" t="s">
        <v>173</v>
      </c>
      <c r="F8" s="199">
        <v>8768</v>
      </c>
      <c r="G8" s="200">
        <v>8779</v>
      </c>
      <c r="H8" s="201">
        <v>2113</v>
      </c>
      <c r="I8" s="202">
        <v>2126</v>
      </c>
      <c r="J8" s="203">
        <v>2754</v>
      </c>
      <c r="K8" s="204">
        <v>2767</v>
      </c>
      <c r="L8" s="203"/>
      <c r="M8" s="204"/>
      <c r="N8" s="203"/>
      <c r="O8" s="204"/>
    </row>
    <row r="9" spans="3:15" ht="15.75" thickBot="1" x14ac:dyDescent="0.3">
      <c r="C9" s="197">
        <v>4</v>
      </c>
      <c r="D9" s="198" t="s">
        <v>201</v>
      </c>
      <c r="E9" s="198" t="s">
        <v>230</v>
      </c>
      <c r="F9" s="199">
        <v>11557</v>
      </c>
      <c r="G9" s="200">
        <v>11648</v>
      </c>
      <c r="H9" s="201">
        <v>4197</v>
      </c>
      <c r="I9" s="202">
        <v>4244</v>
      </c>
      <c r="J9" s="203">
        <v>4889</v>
      </c>
      <c r="K9" s="204">
        <v>4941</v>
      </c>
      <c r="L9" s="203"/>
      <c r="M9" s="204"/>
      <c r="N9" s="203"/>
      <c r="O9" s="204"/>
    </row>
    <row r="10" spans="3:15" ht="15.75" thickBot="1" x14ac:dyDescent="0.3">
      <c r="C10" s="197">
        <v>5</v>
      </c>
      <c r="D10" s="198" t="s">
        <v>202</v>
      </c>
      <c r="E10" s="198" t="s">
        <v>175</v>
      </c>
      <c r="F10" s="199">
        <v>8516</v>
      </c>
      <c r="G10" s="200">
        <v>8564</v>
      </c>
      <c r="H10" s="201">
        <v>1929</v>
      </c>
      <c r="I10" s="202">
        <v>1931</v>
      </c>
      <c r="J10" s="203">
        <v>2243</v>
      </c>
      <c r="K10" s="204">
        <v>2245</v>
      </c>
      <c r="L10" s="203"/>
      <c r="M10" s="204"/>
      <c r="N10" s="203"/>
      <c r="O10" s="204"/>
    </row>
    <row r="11" spans="3:15" ht="15.75" thickBot="1" x14ac:dyDescent="0.3">
      <c r="C11" s="197">
        <v>6</v>
      </c>
      <c r="D11" s="198" t="s">
        <v>203</v>
      </c>
      <c r="E11" s="198" t="s">
        <v>176</v>
      </c>
      <c r="F11" s="199">
        <v>14168</v>
      </c>
      <c r="G11" s="200">
        <v>14520</v>
      </c>
      <c r="H11" s="201">
        <v>2201</v>
      </c>
      <c r="I11" s="202">
        <v>2229</v>
      </c>
      <c r="J11" s="203">
        <v>2380</v>
      </c>
      <c r="K11" s="204">
        <v>2417</v>
      </c>
      <c r="L11" s="203"/>
      <c r="M11" s="204"/>
      <c r="N11" s="203"/>
      <c r="O11" s="204"/>
    </row>
    <row r="12" spans="3:15" ht="15.75" thickBot="1" x14ac:dyDescent="0.3">
      <c r="C12" s="197">
        <v>7</v>
      </c>
      <c r="D12" s="198" t="s">
        <v>204</v>
      </c>
      <c r="E12" s="198" t="s">
        <v>177</v>
      </c>
      <c r="F12" s="199">
        <v>8049</v>
      </c>
      <c r="G12" s="200">
        <v>8159</v>
      </c>
      <c r="H12" s="201">
        <v>1587</v>
      </c>
      <c r="I12" s="202">
        <v>1590</v>
      </c>
      <c r="J12" s="203">
        <v>1795</v>
      </c>
      <c r="K12" s="204">
        <v>1803</v>
      </c>
      <c r="L12" s="203"/>
      <c r="M12" s="204"/>
      <c r="N12" s="203"/>
      <c r="O12" s="204"/>
    </row>
    <row r="13" spans="3:15" ht="15.75" thickBot="1" x14ac:dyDescent="0.3">
      <c r="C13" s="197">
        <v>8</v>
      </c>
      <c r="D13" s="198" t="s">
        <v>205</v>
      </c>
      <c r="E13" s="198" t="s">
        <v>178</v>
      </c>
      <c r="F13" s="199">
        <v>9956</v>
      </c>
      <c r="G13" s="200">
        <v>10387</v>
      </c>
      <c r="H13" s="201">
        <v>1294</v>
      </c>
      <c r="I13" s="202">
        <v>1347</v>
      </c>
      <c r="J13" s="203">
        <v>1355</v>
      </c>
      <c r="K13" s="204">
        <v>1417</v>
      </c>
      <c r="L13" s="203"/>
      <c r="M13" s="204"/>
      <c r="N13" s="203"/>
      <c r="O13" s="204"/>
    </row>
    <row r="14" spans="3:15" ht="15.75" thickBot="1" x14ac:dyDescent="0.3">
      <c r="C14" s="197">
        <v>9</v>
      </c>
      <c r="D14" s="198" t="s">
        <v>206</v>
      </c>
      <c r="E14" s="198" t="s">
        <v>179</v>
      </c>
      <c r="F14" s="199">
        <v>11474</v>
      </c>
      <c r="G14" s="200">
        <v>12104</v>
      </c>
      <c r="H14" s="201">
        <v>2165</v>
      </c>
      <c r="I14" s="202">
        <v>2238</v>
      </c>
      <c r="J14" s="203">
        <v>2596</v>
      </c>
      <c r="K14" s="204">
        <v>2703</v>
      </c>
      <c r="L14" s="203"/>
      <c r="M14" s="204"/>
      <c r="N14" s="203"/>
      <c r="O14" s="204"/>
    </row>
    <row r="15" spans="3:15" ht="15.75" thickBot="1" x14ac:dyDescent="0.3">
      <c r="C15" s="197">
        <v>10</v>
      </c>
      <c r="D15" s="198" t="s">
        <v>207</v>
      </c>
      <c r="E15" s="198" t="s">
        <v>180</v>
      </c>
      <c r="F15" s="199">
        <v>5620</v>
      </c>
      <c r="G15" s="200">
        <v>5952</v>
      </c>
      <c r="H15" s="201">
        <v>1087</v>
      </c>
      <c r="I15" s="202">
        <v>1134</v>
      </c>
      <c r="J15" s="203">
        <v>1194</v>
      </c>
      <c r="K15" s="204">
        <v>1234</v>
      </c>
      <c r="L15" s="203"/>
      <c r="M15" s="204"/>
      <c r="N15" s="203"/>
      <c r="O15" s="204"/>
    </row>
    <row r="16" spans="3:15" ht="15.75" thickBot="1" x14ac:dyDescent="0.3">
      <c r="C16" s="197">
        <v>11</v>
      </c>
      <c r="D16" s="198" t="s">
        <v>208</v>
      </c>
      <c r="E16" s="198" t="s">
        <v>181</v>
      </c>
      <c r="F16" s="199">
        <v>13201</v>
      </c>
      <c r="G16" s="200">
        <v>15715</v>
      </c>
      <c r="H16" s="201">
        <v>1767</v>
      </c>
      <c r="I16" s="202">
        <v>2053</v>
      </c>
      <c r="J16" s="203">
        <v>1870</v>
      </c>
      <c r="K16" s="204">
        <v>2158</v>
      </c>
      <c r="L16" s="203"/>
      <c r="M16" s="204"/>
      <c r="N16" s="203"/>
      <c r="O16" s="204"/>
    </row>
    <row r="17" spans="3:15" ht="15.75" thickBot="1" x14ac:dyDescent="0.3">
      <c r="C17" s="197">
        <v>12</v>
      </c>
      <c r="D17" s="198" t="s">
        <v>209</v>
      </c>
      <c r="E17" s="198" t="s">
        <v>182</v>
      </c>
      <c r="F17" s="199">
        <v>18958</v>
      </c>
      <c r="G17" s="200">
        <v>20136</v>
      </c>
      <c r="H17" s="201">
        <v>2267</v>
      </c>
      <c r="I17" s="202">
        <v>2472</v>
      </c>
      <c r="J17" s="203">
        <v>2624</v>
      </c>
      <c r="K17" s="204">
        <v>2852</v>
      </c>
      <c r="L17" s="203"/>
      <c r="M17" s="204"/>
      <c r="N17" s="203"/>
      <c r="O17" s="204"/>
    </row>
    <row r="18" spans="3:15" ht="15.75" thickBot="1" x14ac:dyDescent="0.3">
      <c r="C18" s="197">
        <v>13</v>
      </c>
      <c r="D18" s="198" t="s">
        <v>210</v>
      </c>
      <c r="E18" s="198" t="s">
        <v>183</v>
      </c>
      <c r="F18" s="199">
        <v>8202</v>
      </c>
      <c r="G18" s="200">
        <v>8928</v>
      </c>
      <c r="H18" s="203">
        <v>967</v>
      </c>
      <c r="I18" s="202">
        <v>1042</v>
      </c>
      <c r="J18" s="203">
        <v>1146</v>
      </c>
      <c r="K18" s="204">
        <v>1264</v>
      </c>
      <c r="L18" s="203"/>
      <c r="M18" s="204"/>
      <c r="N18" s="203"/>
      <c r="O18" s="204"/>
    </row>
    <row r="19" spans="3:15" ht="15.75" thickBot="1" x14ac:dyDescent="0.3">
      <c r="C19" s="197">
        <v>14</v>
      </c>
      <c r="D19" s="198" t="s">
        <v>211</v>
      </c>
      <c r="E19" s="198" t="s">
        <v>184</v>
      </c>
      <c r="F19" s="199">
        <v>5678</v>
      </c>
      <c r="G19" s="200">
        <v>5865</v>
      </c>
      <c r="H19" s="203">
        <v>773</v>
      </c>
      <c r="I19" s="205">
        <v>815</v>
      </c>
      <c r="J19" s="203">
        <v>907</v>
      </c>
      <c r="K19" s="204">
        <v>1150</v>
      </c>
      <c r="L19" s="203"/>
      <c r="M19" s="204"/>
      <c r="N19" s="203"/>
      <c r="O19" s="204"/>
    </row>
    <row r="20" spans="3:15" ht="15.75" thickBot="1" x14ac:dyDescent="0.3">
      <c r="C20" s="197">
        <v>15</v>
      </c>
      <c r="D20" s="198" t="s">
        <v>212</v>
      </c>
      <c r="E20" s="198" t="s">
        <v>185</v>
      </c>
      <c r="F20" s="199">
        <v>27695</v>
      </c>
      <c r="G20" s="200">
        <v>32403</v>
      </c>
      <c r="H20" s="201">
        <v>3537</v>
      </c>
      <c r="I20" s="202">
        <v>4147</v>
      </c>
      <c r="J20" s="203">
        <v>3831</v>
      </c>
      <c r="K20" s="204">
        <v>4471</v>
      </c>
      <c r="L20" s="203"/>
      <c r="M20" s="204"/>
      <c r="N20" s="203"/>
      <c r="O20" s="204"/>
    </row>
    <row r="21" spans="3:15" ht="15.75" thickBot="1" x14ac:dyDescent="0.3">
      <c r="C21" s="197">
        <v>16</v>
      </c>
      <c r="D21" s="198" t="s">
        <v>213</v>
      </c>
      <c r="E21" s="198" t="s">
        <v>186</v>
      </c>
      <c r="F21" s="199">
        <v>25118</v>
      </c>
      <c r="G21" s="200">
        <v>29574</v>
      </c>
      <c r="H21" s="201">
        <v>3441</v>
      </c>
      <c r="I21" s="202">
        <v>4087</v>
      </c>
      <c r="J21" s="203">
        <v>3642</v>
      </c>
      <c r="K21" s="204">
        <v>4288</v>
      </c>
      <c r="L21" s="203"/>
      <c r="M21" s="204"/>
      <c r="N21" s="203"/>
      <c r="O21" s="204"/>
    </row>
    <row r="22" spans="3:15" ht="15.75" thickBot="1" x14ac:dyDescent="0.3">
      <c r="C22" s="197">
        <v>17</v>
      </c>
      <c r="D22" s="198" t="s">
        <v>214</v>
      </c>
      <c r="E22" s="198" t="s">
        <v>187</v>
      </c>
      <c r="F22" s="199">
        <v>10058</v>
      </c>
      <c r="G22" s="200">
        <v>10622</v>
      </c>
      <c r="H22" s="201">
        <v>1746</v>
      </c>
      <c r="I22" s="202">
        <v>1812</v>
      </c>
      <c r="J22" s="203">
        <v>2029</v>
      </c>
      <c r="K22" s="204">
        <v>2101</v>
      </c>
      <c r="L22" s="203"/>
      <c r="M22" s="204"/>
      <c r="N22" s="203"/>
      <c r="O22" s="204"/>
    </row>
    <row r="23" spans="3:15" ht="15.75" thickBot="1" x14ac:dyDescent="0.3">
      <c r="C23" s="197">
        <v>18</v>
      </c>
      <c r="D23" s="198" t="s">
        <v>215</v>
      </c>
      <c r="E23" s="198" t="s">
        <v>188</v>
      </c>
      <c r="F23" s="199">
        <v>17070</v>
      </c>
      <c r="G23" s="200">
        <v>17760</v>
      </c>
      <c r="H23" s="201">
        <v>3021</v>
      </c>
      <c r="I23" s="202">
        <v>3154</v>
      </c>
      <c r="J23" s="203">
        <v>3446</v>
      </c>
      <c r="K23" s="204">
        <v>3621</v>
      </c>
      <c r="L23" s="203"/>
      <c r="M23" s="204"/>
      <c r="N23" s="203"/>
      <c r="O23" s="204"/>
    </row>
    <row r="24" spans="3:15" ht="15.75" thickBot="1" x14ac:dyDescent="0.3">
      <c r="C24" s="197">
        <v>19</v>
      </c>
      <c r="D24" s="198" t="s">
        <v>216</v>
      </c>
      <c r="E24" s="198" t="s">
        <v>189</v>
      </c>
      <c r="F24" s="199">
        <v>17310</v>
      </c>
      <c r="G24" s="200">
        <v>18369</v>
      </c>
      <c r="H24" s="201">
        <v>3186</v>
      </c>
      <c r="I24" s="202">
        <v>3278</v>
      </c>
      <c r="J24" s="203">
        <v>3542</v>
      </c>
      <c r="K24" s="204">
        <v>3911</v>
      </c>
      <c r="L24" s="203"/>
      <c r="M24" s="204"/>
      <c r="N24" s="203"/>
      <c r="O24" s="204"/>
    </row>
    <row r="25" spans="3:15" ht="23.25" thickBot="1" x14ac:dyDescent="0.3">
      <c r="C25" s="197">
        <v>20</v>
      </c>
      <c r="D25" s="198" t="s">
        <v>217</v>
      </c>
      <c r="E25" s="198" t="s">
        <v>190</v>
      </c>
      <c r="F25" s="199">
        <v>4665</v>
      </c>
      <c r="G25" s="200">
        <v>7098</v>
      </c>
      <c r="H25" s="203">
        <v>896</v>
      </c>
      <c r="I25" s="202">
        <v>1177</v>
      </c>
      <c r="J25" s="203">
        <v>1038</v>
      </c>
      <c r="K25" s="204">
        <v>1322</v>
      </c>
      <c r="L25" s="203"/>
      <c r="M25" s="204"/>
      <c r="N25" s="203"/>
      <c r="O25" s="204"/>
    </row>
    <row r="26" spans="3:15" ht="15.75" thickBot="1" x14ac:dyDescent="0.3">
      <c r="C26" s="197">
        <v>21</v>
      </c>
      <c r="D26" s="198" t="s">
        <v>218</v>
      </c>
      <c r="E26" s="198" t="s">
        <v>231</v>
      </c>
      <c r="F26" s="199">
        <v>8564</v>
      </c>
      <c r="G26" s="200">
        <v>8729</v>
      </c>
      <c r="H26" s="201">
        <v>1795</v>
      </c>
      <c r="I26" s="202">
        <v>1814</v>
      </c>
      <c r="J26" s="203">
        <v>2165</v>
      </c>
      <c r="K26" s="204">
        <v>2194</v>
      </c>
      <c r="L26" s="203"/>
      <c r="M26" s="204"/>
      <c r="N26" s="203"/>
      <c r="O26" s="204"/>
    </row>
    <row r="27" spans="3:15" ht="15.75" thickBot="1" x14ac:dyDescent="0.3">
      <c r="C27" s="197">
        <v>22</v>
      </c>
      <c r="D27" s="198" t="s">
        <v>219</v>
      </c>
      <c r="E27" s="198" t="s">
        <v>192</v>
      </c>
      <c r="F27" s="199">
        <v>9934</v>
      </c>
      <c r="G27" s="200">
        <v>10673</v>
      </c>
      <c r="H27" s="201">
        <v>2184</v>
      </c>
      <c r="I27" s="202">
        <v>2266</v>
      </c>
      <c r="J27" s="203">
        <v>2478</v>
      </c>
      <c r="K27" s="204">
        <v>2569</v>
      </c>
      <c r="L27" s="203"/>
      <c r="M27" s="204"/>
      <c r="N27" s="203"/>
      <c r="O27" s="204"/>
    </row>
    <row r="28" spans="3:15" ht="23.25" thickBot="1" x14ac:dyDescent="0.3">
      <c r="C28" s="197">
        <v>23</v>
      </c>
      <c r="D28" s="198" t="s">
        <v>220</v>
      </c>
      <c r="E28" s="198" t="s">
        <v>232</v>
      </c>
      <c r="F28" s="199">
        <v>8531</v>
      </c>
      <c r="G28" s="200">
        <v>17298</v>
      </c>
      <c r="H28" s="201">
        <v>1096</v>
      </c>
      <c r="I28" s="202">
        <v>2818</v>
      </c>
      <c r="J28" s="203">
        <v>1315</v>
      </c>
      <c r="K28" s="204">
        <v>3155</v>
      </c>
      <c r="L28" s="203"/>
      <c r="M28" s="204"/>
      <c r="N28" s="203"/>
      <c r="O28" s="204"/>
    </row>
    <row r="29" spans="3:15" ht="15.75" thickBot="1" x14ac:dyDescent="0.3">
      <c r="C29" s="197">
        <v>24</v>
      </c>
      <c r="D29" s="198" t="s">
        <v>221</v>
      </c>
      <c r="E29" s="198" t="s">
        <v>194</v>
      </c>
      <c r="F29" s="199">
        <v>6283</v>
      </c>
      <c r="G29" s="200">
        <v>8859</v>
      </c>
      <c r="H29" s="203">
        <v>827</v>
      </c>
      <c r="I29" s="202">
        <v>1138</v>
      </c>
      <c r="J29" s="203">
        <v>944</v>
      </c>
      <c r="K29" s="204">
        <v>1379</v>
      </c>
      <c r="L29" s="203"/>
      <c r="M29" s="204"/>
      <c r="N29" s="203"/>
      <c r="O29" s="204"/>
    </row>
    <row r="30" spans="3:15" ht="15.75" thickBot="1" x14ac:dyDescent="0.3">
      <c r="C30" s="197">
        <v>25</v>
      </c>
      <c r="D30" s="198" t="s">
        <v>222</v>
      </c>
      <c r="E30" s="198" t="s">
        <v>195</v>
      </c>
      <c r="F30" s="199">
        <v>10800</v>
      </c>
      <c r="G30" s="200">
        <v>11342</v>
      </c>
      <c r="H30" s="201">
        <v>1933</v>
      </c>
      <c r="I30" s="202">
        <v>2001</v>
      </c>
      <c r="J30" s="203">
        <v>2196</v>
      </c>
      <c r="K30" s="204">
        <v>2283</v>
      </c>
      <c r="L30" s="203"/>
      <c r="M30" s="204"/>
      <c r="N30" s="203"/>
      <c r="O30" s="204"/>
    </row>
    <row r="31" spans="3:15" ht="15.75" thickBot="1" x14ac:dyDescent="0.3">
      <c r="C31" s="197">
        <v>26</v>
      </c>
      <c r="D31" s="198" t="s">
        <v>223</v>
      </c>
      <c r="E31" s="198" t="s">
        <v>196</v>
      </c>
      <c r="F31" s="199">
        <v>15102</v>
      </c>
      <c r="G31" s="200">
        <v>15419</v>
      </c>
      <c r="H31" s="201">
        <v>2505</v>
      </c>
      <c r="I31" s="202">
        <v>2532</v>
      </c>
      <c r="J31" s="203">
        <v>2780</v>
      </c>
      <c r="K31" s="204">
        <v>2812</v>
      </c>
      <c r="L31" s="203"/>
      <c r="M31" s="204"/>
      <c r="N31" s="203"/>
      <c r="O31" s="204"/>
    </row>
    <row r="32" spans="3:15" ht="15.75" thickBot="1" x14ac:dyDescent="0.3">
      <c r="C32" s="410" t="s">
        <v>119</v>
      </c>
      <c r="D32" s="411"/>
      <c r="E32" s="412"/>
      <c r="F32" s="206">
        <v>316448</v>
      </c>
      <c r="G32" s="206">
        <v>373342</v>
      </c>
      <c r="H32" s="207">
        <v>52092</v>
      </c>
      <c r="I32" s="207">
        <v>59987</v>
      </c>
      <c r="J32" s="208">
        <v>59588</v>
      </c>
      <c r="K32" s="209">
        <v>70077</v>
      </c>
      <c r="L32" s="208"/>
      <c r="M32" s="209"/>
      <c r="N32" s="208"/>
      <c r="O32" s="209"/>
    </row>
    <row r="33" spans="3:15" ht="15.75" thickBot="1" x14ac:dyDescent="0.3">
      <c r="C33" s="413" t="s">
        <v>149</v>
      </c>
      <c r="D33" s="414"/>
      <c r="E33" s="415"/>
      <c r="F33" s="210">
        <v>0.85</v>
      </c>
      <c r="G33" s="210">
        <v>1</v>
      </c>
      <c r="H33" s="211">
        <v>86.8</v>
      </c>
      <c r="I33" s="211">
        <v>100</v>
      </c>
      <c r="J33" s="212">
        <v>85</v>
      </c>
      <c r="K33" s="212">
        <v>100</v>
      </c>
      <c r="L33" s="212"/>
      <c r="M33" s="212"/>
      <c r="N33" s="212"/>
      <c r="O33" s="212"/>
    </row>
  </sheetData>
  <mergeCells count="12">
    <mergeCell ref="C32:E32"/>
    <mergeCell ref="C33:E33"/>
    <mergeCell ref="N4:O4"/>
    <mergeCell ref="F3:O3"/>
    <mergeCell ref="C2:O2"/>
    <mergeCell ref="C3:C5"/>
    <mergeCell ref="D3:D5"/>
    <mergeCell ref="E3:E5"/>
    <mergeCell ref="F4:G4"/>
    <mergeCell ref="H4:I4"/>
    <mergeCell ref="J4:K4"/>
    <mergeCell ref="L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37"/>
  <sheetViews>
    <sheetView workbookViewId="0">
      <selection activeCell="C3" sqref="C3"/>
    </sheetView>
  </sheetViews>
  <sheetFormatPr baseColWidth="10" defaultColWidth="11.42578125" defaultRowHeight="15.75" x14ac:dyDescent="0.25"/>
  <cols>
    <col min="1" max="1" width="11.42578125" style="65"/>
    <col min="2" max="2" width="16.140625" style="65" customWidth="1"/>
    <col min="3" max="3" width="21.140625" style="65" customWidth="1"/>
    <col min="4" max="15" width="16.42578125" style="65" customWidth="1"/>
    <col min="16" max="16" width="12.85546875" style="65" bestFit="1" customWidth="1"/>
    <col min="17" max="20" width="12.5703125" style="65" bestFit="1" customWidth="1"/>
    <col min="21" max="21" width="11.42578125" style="65" customWidth="1"/>
    <col min="22" max="25" width="12.5703125" style="65" bestFit="1" customWidth="1"/>
    <col min="26" max="16384" width="11.42578125" style="65"/>
  </cols>
  <sheetData>
    <row r="2" spans="1:25" ht="16.5" thickBot="1" x14ac:dyDescent="0.3">
      <c r="C2" s="65" t="s">
        <v>94</v>
      </c>
    </row>
    <row r="3" spans="1:25" ht="16.5" thickBot="1" x14ac:dyDescent="0.3">
      <c r="C3" s="65" t="s">
        <v>95</v>
      </c>
      <c r="D3" s="65" t="s">
        <v>96</v>
      </c>
      <c r="Q3" s="66">
        <v>15871</v>
      </c>
      <c r="R3" s="67">
        <v>373342</v>
      </c>
      <c r="S3" s="66">
        <v>251699</v>
      </c>
      <c r="T3" s="66">
        <v>467481</v>
      </c>
      <c r="U3" s="66">
        <v>16809413</v>
      </c>
      <c r="V3" s="66">
        <v>5999691</v>
      </c>
      <c r="W3" s="66">
        <v>18222</v>
      </c>
      <c r="X3" s="66">
        <v>544039</v>
      </c>
      <c r="Y3" s="68">
        <v>378274</v>
      </c>
    </row>
    <row r="4" spans="1:25" x14ac:dyDescent="0.25">
      <c r="I4" s="99"/>
    </row>
    <row r="5" spans="1:25" x14ac:dyDescent="0.25">
      <c r="C5" s="65" t="s">
        <v>97</v>
      </c>
      <c r="H5" s="65" t="s">
        <v>101</v>
      </c>
    </row>
    <row r="6" spans="1:25" x14ac:dyDescent="0.25">
      <c r="C6" s="65" t="s">
        <v>98</v>
      </c>
      <c r="H6" s="65" t="s">
        <v>102</v>
      </c>
    </row>
    <row r="7" spans="1:25" x14ac:dyDescent="0.25">
      <c r="A7" s="98" t="s">
        <v>91</v>
      </c>
      <c r="B7" s="65">
        <v>3</v>
      </c>
      <c r="C7" s="65" t="s">
        <v>99</v>
      </c>
      <c r="F7" s="65" t="s">
        <v>100</v>
      </c>
      <c r="G7" s="65">
        <f>D10*G10</f>
        <v>6453.2789566580577</v>
      </c>
      <c r="H7" s="65" t="s">
        <v>244</v>
      </c>
    </row>
    <row r="8" spans="1:25" x14ac:dyDescent="0.25">
      <c r="A8" s="265" t="s">
        <v>88</v>
      </c>
      <c r="B8" s="265"/>
      <c r="C8" s="65" t="s">
        <v>86</v>
      </c>
      <c r="D8" s="65" t="s">
        <v>87</v>
      </c>
    </row>
    <row r="9" spans="1:25" x14ac:dyDescent="0.25">
      <c r="A9" s="266" t="s">
        <v>89</v>
      </c>
      <c r="B9" s="266"/>
      <c r="C9" s="115" t="s">
        <v>85</v>
      </c>
      <c r="D9" s="193" t="s">
        <v>67</v>
      </c>
      <c r="E9" s="115" t="s">
        <v>84</v>
      </c>
      <c r="F9" s="115" t="s">
        <v>90</v>
      </c>
      <c r="G9" s="115" t="s">
        <v>92</v>
      </c>
      <c r="H9" s="115" t="s">
        <v>93</v>
      </c>
      <c r="I9" s="115" t="s">
        <v>76</v>
      </c>
      <c r="J9" s="115" t="s">
        <v>68</v>
      </c>
      <c r="K9" s="115" t="s">
        <v>39</v>
      </c>
      <c r="L9" s="115" t="s">
        <v>40</v>
      </c>
      <c r="M9" s="115" t="s">
        <v>67</v>
      </c>
      <c r="N9" s="115" t="s">
        <v>42</v>
      </c>
      <c r="O9" s="115" t="s">
        <v>43</v>
      </c>
      <c r="P9" s="115" t="s">
        <v>44</v>
      </c>
      <c r="Q9" s="115" t="s">
        <v>45</v>
      </c>
      <c r="R9" s="115" t="s">
        <v>46</v>
      </c>
      <c r="S9" s="115" t="s">
        <v>47</v>
      </c>
      <c r="T9" s="115" t="s">
        <v>48</v>
      </c>
      <c r="U9" s="115" t="s">
        <v>49</v>
      </c>
      <c r="V9" s="115" t="s">
        <v>50</v>
      </c>
      <c r="W9" s="115" t="s">
        <v>51</v>
      </c>
      <c r="X9" s="115" t="s">
        <v>52</v>
      </c>
      <c r="Y9" s="115" t="s">
        <v>53</v>
      </c>
    </row>
    <row r="10" spans="1:25" ht="16.5" thickBot="1" x14ac:dyDescent="0.3">
      <c r="A10" s="267" t="s">
        <v>69</v>
      </c>
      <c r="B10" s="116" t="s">
        <v>70</v>
      </c>
      <c r="C10" s="116">
        <v>4648</v>
      </c>
      <c r="D10" s="114">
        <v>5945</v>
      </c>
      <c r="E10" s="113">
        <f>D10/C10</f>
        <v>1.2790447504302926</v>
      </c>
      <c r="F10" s="113">
        <f t="shared" ref="F10:F21" si="0">1/Coefficient</f>
        <v>0.33333333333333331</v>
      </c>
      <c r="G10" s="113">
        <f>POWER(E10,F10)</f>
        <v>1.0854968808508088</v>
      </c>
      <c r="H10" s="113">
        <f>G10-1</f>
        <v>8.5496880850808754E-2</v>
      </c>
      <c r="I10" s="113">
        <f>POWER(E10,1/3)</f>
        <v>1.0854968808508088</v>
      </c>
      <c r="J10" s="113">
        <f t="shared" ref="J10:J21" si="1">I10-1</f>
        <v>8.5496880850808754E-2</v>
      </c>
      <c r="K10" s="114">
        <f>C10*(1+$J$10)</f>
        <v>5045.3895021945591</v>
      </c>
      <c r="L10" s="114">
        <f>K10*(1+$J$10)</f>
        <v>5476.7545673096083</v>
      </c>
      <c r="M10" s="114">
        <f t="shared" ref="M10:O10" si="2">L10*(1+$J$10)</f>
        <v>5945.0000000000009</v>
      </c>
      <c r="N10" s="114">
        <f t="shared" si="2"/>
        <v>6453.2789566580586</v>
      </c>
      <c r="O10" s="114">
        <f t="shared" si="2"/>
        <v>7005.014178712484</v>
      </c>
      <c r="P10" s="114">
        <f t="shared" ref="P10:Y10" si="3">O10*(1+$J$10)</f>
        <v>7603.9210413080909</v>
      </c>
      <c r="Q10" s="114">
        <f t="shared" si="3"/>
        <v>8254.0325725757666</v>
      </c>
      <c r="R10" s="114">
        <f t="shared" si="3"/>
        <v>8959.7266119719716</v>
      </c>
      <c r="S10" s="114">
        <f t="shared" si="3"/>
        <v>9725.7552905715602</v>
      </c>
      <c r="T10" s="114">
        <f t="shared" si="3"/>
        <v>10557.277031833679</v>
      </c>
      <c r="U10" s="114">
        <f t="shared" si="3"/>
        <v>11459.891288333343</v>
      </c>
      <c r="V10" s="114">
        <f t="shared" si="3"/>
        <v>12439.676248375201</v>
      </c>
      <c r="W10" s="114">
        <f t="shared" si="3"/>
        <v>13503.229766405171</v>
      </c>
      <c r="X10" s="114">
        <f t="shared" si="3"/>
        <v>14657.713792844608</v>
      </c>
      <c r="Y10" s="114">
        <f t="shared" si="3"/>
        <v>15910.9026025367</v>
      </c>
    </row>
    <row r="11" spans="1:25" ht="16.5" thickBot="1" x14ac:dyDescent="0.3">
      <c r="A11" s="268"/>
      <c r="B11" s="116" t="s">
        <v>71</v>
      </c>
      <c r="C11" s="116">
        <v>51578</v>
      </c>
      <c r="D11" s="67">
        <v>53471</v>
      </c>
      <c r="E11" s="71">
        <f t="shared" ref="E11:E21" si="4">D11/C11</f>
        <v>1.0367016945209198</v>
      </c>
      <c r="F11" s="71">
        <f t="shared" si="0"/>
        <v>0.33333333333333331</v>
      </c>
      <c r="G11" s="71">
        <f t="shared" ref="G11:G21" si="5">POWER(E11,F11)</f>
        <v>1.0120872089049597</v>
      </c>
      <c r="H11" s="71">
        <f t="shared" ref="H11:H21" si="6">G11-1</f>
        <v>1.2087208904959734E-2</v>
      </c>
      <c r="I11" s="71">
        <f t="shared" ref="I11:I21" si="7">POWER(E11,1/3)</f>
        <v>1.0120872089049597</v>
      </c>
      <c r="J11" s="71">
        <f t="shared" si="1"/>
        <v>1.2087208904959734E-2</v>
      </c>
      <c r="K11" s="67">
        <f t="shared" ref="K11:K21" si="8">C11*(1+$J$10)</f>
        <v>55987.758120523016</v>
      </c>
      <c r="L11" s="67">
        <f t="shared" ref="L11:O11" si="9">K11*(1+$J$10)</f>
        <v>60774.53680565727</v>
      </c>
      <c r="M11" s="67">
        <f t="shared" si="9"/>
        <v>65970.570137693634</v>
      </c>
      <c r="N11" s="67">
        <f t="shared" si="9"/>
        <v>71610.848112415944</v>
      </c>
      <c r="O11" s="67">
        <f t="shared" si="9"/>
        <v>77733.352261108535</v>
      </c>
      <c r="P11" s="67">
        <f t="shared" ref="P11:Y11" si="10">O11*(1+$J$10)</f>
        <v>84379.311417510471</v>
      </c>
      <c r="Q11" s="67">
        <f t="shared" si="10"/>
        <v>91593.479352046648</v>
      </c>
      <c r="R11" s="67">
        <f t="shared" si="10"/>
        <v>99424.436142919585</v>
      </c>
      <c r="S11" s="67">
        <f t="shared" si="10"/>
        <v>107924.91531348962</v>
      </c>
      <c r="T11" s="67">
        <f t="shared" si="10"/>
        <v>117152.15893888066</v>
      </c>
      <c r="U11" s="67">
        <f t="shared" si="10"/>
        <v>127168.30311309315</v>
      </c>
      <c r="V11" s="67">
        <f t="shared" si="10"/>
        <v>138040.79637235281</v>
      </c>
      <c r="W11" s="67">
        <f t="shared" si="10"/>
        <v>149842.8538923506</v>
      </c>
      <c r="X11" s="67">
        <f t="shared" si="10"/>
        <v>162653.95051793003</v>
      </c>
      <c r="Y11" s="67">
        <f t="shared" si="10"/>
        <v>176560.35594527484</v>
      </c>
    </row>
    <row r="12" spans="1:25" ht="16.5" thickBot="1" x14ac:dyDescent="0.3">
      <c r="A12" s="268"/>
      <c r="B12" s="116" t="s">
        <v>72</v>
      </c>
      <c r="C12" s="116">
        <v>25268</v>
      </c>
      <c r="D12" s="67">
        <v>28240</v>
      </c>
      <c r="E12" s="71">
        <f t="shared" si="4"/>
        <v>1.1176191230014247</v>
      </c>
      <c r="F12" s="71">
        <f t="shared" si="0"/>
        <v>0.33333333333333331</v>
      </c>
      <c r="G12" s="71">
        <f t="shared" si="5"/>
        <v>1.0377624239258927</v>
      </c>
      <c r="H12" s="71">
        <f t="shared" si="6"/>
        <v>3.7762423925892685E-2</v>
      </c>
      <c r="I12" s="71">
        <f t="shared" si="7"/>
        <v>1.0377624239258927</v>
      </c>
      <c r="J12" s="71">
        <f t="shared" si="1"/>
        <v>3.7762423925892685E-2</v>
      </c>
      <c r="K12" s="67">
        <f t="shared" si="8"/>
        <v>27428.335185338237</v>
      </c>
      <c r="L12" s="67">
        <f t="shared" ref="L12:O12" si="11">K12*(1+$J$10)</f>
        <v>29773.372290615145</v>
      </c>
      <c r="M12" s="67">
        <f t="shared" si="11"/>
        <v>32318.90275387264</v>
      </c>
      <c r="N12" s="67">
        <f t="shared" si="11"/>
        <v>35082.068131849366</v>
      </c>
      <c r="O12" s="67">
        <f t="shared" si="11"/>
        <v>38081.475530918047</v>
      </c>
      <c r="P12" s="67">
        <f t="shared" ref="P12:Y12" si="12">O12*(1+$J$10)</f>
        <v>41337.32290700794</v>
      </c>
      <c r="Q12" s="67">
        <f t="shared" si="12"/>
        <v>44871.535078279805</v>
      </c>
      <c r="R12" s="67">
        <f t="shared" si="12"/>
        <v>48707.911366460379</v>
      </c>
      <c r="S12" s="67">
        <f t="shared" si="12"/>
        <v>52872.285861050397</v>
      </c>
      <c r="T12" s="67">
        <f t="shared" si="12"/>
        <v>57392.701385622524</v>
      </c>
      <c r="U12" s="67">
        <f t="shared" si="12"/>
        <v>62299.598337695141</v>
      </c>
      <c r="V12" s="67">
        <f t="shared" si="12"/>
        <v>67626.019673826304</v>
      </c>
      <c r="W12" s="67">
        <f t="shared" si="12"/>
        <v>73407.833420293886</v>
      </c>
      <c r="X12" s="67">
        <f t="shared" si="12"/>
        <v>79683.974207744774</v>
      </c>
      <c r="Y12" s="67">
        <f t="shared" si="12"/>
        <v>86496.705456303243</v>
      </c>
    </row>
    <row r="13" spans="1:25" ht="16.5" thickBot="1" x14ac:dyDescent="0.3">
      <c r="A13" s="268" t="s">
        <v>73</v>
      </c>
      <c r="B13" s="116" t="s">
        <v>70</v>
      </c>
      <c r="C13" s="116">
        <v>13545</v>
      </c>
      <c r="D13" s="67">
        <v>15871</v>
      </c>
      <c r="E13" s="71">
        <f t="shared" si="4"/>
        <v>1.1717238833517902</v>
      </c>
      <c r="F13" s="71">
        <f t="shared" si="0"/>
        <v>0.33333333333333331</v>
      </c>
      <c r="G13" s="71">
        <f t="shared" si="5"/>
        <v>1.0542455117351333</v>
      </c>
      <c r="H13" s="71">
        <f t="shared" si="6"/>
        <v>5.4245511735133256E-2</v>
      </c>
      <c r="I13" s="71">
        <f t="shared" si="7"/>
        <v>1.0542455117351333</v>
      </c>
      <c r="J13" s="71">
        <f t="shared" si="1"/>
        <v>5.4245511735133256E-2</v>
      </c>
      <c r="K13" s="67">
        <f t="shared" si="8"/>
        <v>14703.055251124204</v>
      </c>
      <c r="L13" s="67">
        <f t="shared" ref="L13:O13" si="13">K13*(1+$J$10)</f>
        <v>15960.120614072428</v>
      </c>
      <c r="M13" s="67">
        <f t="shared" si="13"/>
        <v>17324.661144578316</v>
      </c>
      <c r="N13" s="67">
        <f t="shared" si="13"/>
        <v>18805.865634236965</v>
      </c>
      <c r="O13" s="67">
        <f t="shared" si="13"/>
        <v>20413.70848766364</v>
      </c>
      <c r="P13" s="67">
        <f t="shared" ref="P13:Y13" si="14">O13*(1+$J$10)</f>
        <v>22159.016889956561</v>
      </c>
      <c r="Q13" s="67">
        <f t="shared" si="14"/>
        <v>24053.543716768236</v>
      </c>
      <c r="R13" s="67">
        <f t="shared" si="14"/>
        <v>26110.04667796049</v>
      </c>
      <c r="S13" s="67">
        <f t="shared" si="14"/>
        <v>28342.374227795135</v>
      </c>
      <c r="T13" s="67">
        <f t="shared" si="14"/>
        <v>30765.558820177968</v>
      </c>
      <c r="U13" s="67">
        <f t="shared" si="14"/>
        <v>33395.918136935274</v>
      </c>
      <c r="V13" s="67">
        <f t="shared" si="14"/>
        <v>36251.16497079219</v>
      </c>
      <c r="W13" s="67">
        <f t="shared" si="14"/>
        <v>39350.52650300302</v>
      </c>
      <c r="X13" s="67">
        <f t="shared" si="14"/>
        <v>42714.873778846864</v>
      </c>
      <c r="Y13" s="67">
        <f t="shared" si="14"/>
        <v>46366.862252874271</v>
      </c>
    </row>
    <row r="14" spans="1:25" ht="16.5" thickBot="1" x14ac:dyDescent="0.3">
      <c r="A14" s="268"/>
      <c r="B14" s="116" t="s">
        <v>71</v>
      </c>
      <c r="C14" s="116">
        <v>8197</v>
      </c>
      <c r="D14" s="67">
        <v>373342</v>
      </c>
      <c r="E14" s="71">
        <f t="shared" si="4"/>
        <v>45.546175430035376</v>
      </c>
      <c r="F14" s="71">
        <f t="shared" si="0"/>
        <v>0.33333333333333331</v>
      </c>
      <c r="G14" s="71">
        <f t="shared" si="5"/>
        <v>3.5712257540064156</v>
      </c>
      <c r="H14" s="71">
        <f t="shared" si="6"/>
        <v>2.5712257540064156</v>
      </c>
      <c r="I14" s="71">
        <f t="shared" si="7"/>
        <v>3.5712257540064156</v>
      </c>
      <c r="J14" s="71">
        <f t="shared" si="1"/>
        <v>2.5712257540064156</v>
      </c>
      <c r="K14" s="67">
        <f t="shared" si="8"/>
        <v>8897.8179323340792</v>
      </c>
      <c r="L14" s="67">
        <f t="shared" ref="L14:O14" si="15">K14*(1+$J$10)</f>
        <v>9658.5536119270346</v>
      </c>
      <c r="M14" s="67">
        <f t="shared" si="15"/>
        <v>10484.329819277109</v>
      </c>
      <c r="N14" s="67">
        <f t="shared" si="15"/>
        <v>11380.707316636424</v>
      </c>
      <c r="O14" s="67">
        <f t="shared" si="15"/>
        <v>12353.722294084817</v>
      </c>
      <c r="P14" s="67">
        <f t="shared" ref="P14:Y14" si="16">O14*(1+$J$10)</f>
        <v>13409.927017126167</v>
      </c>
      <c r="Q14" s="67">
        <f t="shared" si="16"/>
        <v>14556.433949527443</v>
      </c>
      <c r="R14" s="67">
        <f t="shared" si="16"/>
        <v>15800.963648522858</v>
      </c>
      <c r="S14" s="67">
        <f t="shared" si="16"/>
        <v>17151.896754908579</v>
      </c>
      <c r="T14" s="67">
        <f t="shared" si="16"/>
        <v>18618.330428128371</v>
      </c>
      <c r="U14" s="67">
        <f t="shared" si="16"/>
        <v>20210.139606383051</v>
      </c>
      <c r="V14" s="67">
        <f t="shared" si="16"/>
        <v>21938.043504288195</v>
      </c>
      <c r="W14" s="67">
        <f t="shared" si="16"/>
        <v>23813.67779587418</v>
      </c>
      <c r="X14" s="67">
        <f t="shared" si="16"/>
        <v>25849.672969007584</v>
      </c>
      <c r="Y14" s="67">
        <f t="shared" si="16"/>
        <v>28059.739378871196</v>
      </c>
    </row>
    <row r="15" spans="1:25" ht="16.5" thickBot="1" x14ac:dyDescent="0.3">
      <c r="A15" s="268"/>
      <c r="B15" s="116" t="s">
        <v>72</v>
      </c>
      <c r="C15" s="116">
        <v>223547</v>
      </c>
      <c r="D15" s="67">
        <v>251699</v>
      </c>
      <c r="E15" s="71">
        <f t="shared" si="4"/>
        <v>1.1259332489364653</v>
      </c>
      <c r="F15" s="71">
        <f t="shared" si="0"/>
        <v>0.33333333333333331</v>
      </c>
      <c r="G15" s="71">
        <f t="shared" si="5"/>
        <v>1.0403294225594002</v>
      </c>
      <c r="H15" s="71">
        <f t="shared" si="6"/>
        <v>4.0329422559400196E-2</v>
      </c>
      <c r="I15" s="71">
        <f t="shared" si="7"/>
        <v>1.0403294225594002</v>
      </c>
      <c r="J15" s="71">
        <f t="shared" si="1"/>
        <v>4.0329422559400196E-2</v>
      </c>
      <c r="K15" s="67">
        <f t="shared" si="8"/>
        <v>242659.57122355574</v>
      </c>
      <c r="L15" s="67">
        <f t="shared" ref="L15:O15" si="17">K15*(1+$J$10)</f>
        <v>263406.20767176442</v>
      </c>
      <c r="M15" s="67">
        <f t="shared" si="17"/>
        <v>285926.61682444066</v>
      </c>
      <c r="N15" s="67">
        <f t="shared" si="17"/>
        <v>310372.4507151547</v>
      </c>
      <c r="O15" s="67">
        <f t="shared" si="17"/>
        <v>336908.32715332182</v>
      </c>
      <c r="P15" s="67">
        <f t="shared" ref="P15:Y15" si="18">O15*(1+$J$10)</f>
        <v>365712.93825759465</v>
      </c>
      <c r="Q15" s="67">
        <f t="shared" si="18"/>
        <v>396980.25376540341</v>
      </c>
      <c r="R15" s="67">
        <f t="shared" si="18"/>
        <v>430920.82722170791</v>
      </c>
      <c r="S15" s="67">
        <f t="shared" si="18"/>
        <v>467763.21384281421</v>
      </c>
      <c r="T15" s="67">
        <f t="shared" si="18"/>
        <v>507755.50960312469</v>
      </c>
      <c r="U15" s="67">
        <f t="shared" si="18"/>
        <v>551167.02190900478</v>
      </c>
      <c r="V15" s="67">
        <f t="shared" si="18"/>
        <v>598290.08311005402</v>
      </c>
      <c r="W15" s="67">
        <f t="shared" si="18"/>
        <v>649442.01905993477</v>
      </c>
      <c r="X15" s="67">
        <f t="shared" si="18"/>
        <v>704967.28598301066</v>
      </c>
      <c r="Y15" s="67">
        <f t="shared" si="18"/>
        <v>765239.79003641813</v>
      </c>
    </row>
    <row r="16" spans="1:25" ht="16.5" thickBot="1" x14ac:dyDescent="0.3">
      <c r="A16" s="268" t="s">
        <v>74</v>
      </c>
      <c r="B16" s="116" t="s">
        <v>70</v>
      </c>
      <c r="C16" s="116">
        <v>338658</v>
      </c>
      <c r="D16" s="67">
        <v>467481</v>
      </c>
      <c r="E16" s="71">
        <f t="shared" si="4"/>
        <v>1.380392608472264</v>
      </c>
      <c r="F16" s="71">
        <f t="shared" si="0"/>
        <v>0.33333333333333331</v>
      </c>
      <c r="G16" s="71">
        <f t="shared" si="5"/>
        <v>1.1134418524898329</v>
      </c>
      <c r="H16" s="71">
        <f t="shared" si="6"/>
        <v>0.11344185248983285</v>
      </c>
      <c r="I16" s="71">
        <f t="shared" si="7"/>
        <v>1.1134418524898329</v>
      </c>
      <c r="J16" s="71">
        <f t="shared" si="1"/>
        <v>0.11344185248983285</v>
      </c>
      <c r="K16" s="67">
        <f t="shared" si="8"/>
        <v>367612.20267517318</v>
      </c>
      <c r="L16" s="67">
        <f t="shared" ref="L16:O16" si="19">K16*(1+$J$10)</f>
        <v>399041.89936659584</v>
      </c>
      <c r="M16" s="67">
        <f t="shared" si="19"/>
        <v>433158.73709122208</v>
      </c>
      <c r="N16" s="67">
        <f t="shared" si="19"/>
        <v>470192.4580257971</v>
      </c>
      <c r="O16" s="67">
        <f t="shared" si="19"/>
        <v>510392.44658657757</v>
      </c>
      <c r="P16" s="67">
        <f t="shared" ref="P16:Y16" si="20">O16*(1+$J$10)</f>
        <v>554029.40877954301</v>
      </c>
      <c r="Q16" s="67">
        <f t="shared" si="20"/>
        <v>601397.19512981165</v>
      </c>
      <c r="R16" s="67">
        <f t="shared" si="20"/>
        <v>652814.77946583577</v>
      </c>
      <c r="S16" s="67">
        <f t="shared" si="20"/>
        <v>708628.40688347328</v>
      </c>
      <c r="T16" s="67">
        <f t="shared" si="20"/>
        <v>769213.92535428796</v>
      </c>
      <c r="U16" s="67">
        <f t="shared" si="20"/>
        <v>834979.31667908642</v>
      </c>
      <c r="V16" s="67">
        <f t="shared" si="20"/>
        <v>906367.44383008801</v>
      </c>
      <c r="W16" s="67">
        <f t="shared" si="20"/>
        <v>983859.03318228119</v>
      </c>
      <c r="X16" s="67">
        <f t="shared" si="20"/>
        <v>1067975.9117162586</v>
      </c>
      <c r="Y16" s="67">
        <f t="shared" si="20"/>
        <v>1159284.5209917973</v>
      </c>
    </row>
    <row r="17" spans="1:25" ht="16.5" thickBot="1" x14ac:dyDescent="0.3">
      <c r="A17" s="268"/>
      <c r="B17" s="116" t="s">
        <v>71</v>
      </c>
      <c r="C17" s="116">
        <v>14301438</v>
      </c>
      <c r="D17" s="67">
        <v>16809413</v>
      </c>
      <c r="E17" s="71">
        <f t="shared" si="4"/>
        <v>1.1753652325031931</v>
      </c>
      <c r="F17" s="71">
        <f t="shared" si="0"/>
        <v>0.33333333333333331</v>
      </c>
      <c r="G17" s="71">
        <f t="shared" si="5"/>
        <v>1.0553364701746908</v>
      </c>
      <c r="H17" s="71">
        <f t="shared" si="6"/>
        <v>5.5336470174690788E-2</v>
      </c>
      <c r="I17" s="71">
        <f t="shared" si="7"/>
        <v>1.0553364701746908</v>
      </c>
      <c r="J17" s="71">
        <f t="shared" si="1"/>
        <v>5.5336470174690788E-2</v>
      </c>
      <c r="K17" s="67">
        <f t="shared" si="8"/>
        <v>15524166.340681229</v>
      </c>
      <c r="L17" s="67">
        <f t="shared" ref="L17:O17" si="21">K17*(1+$J$10)</f>
        <v>16851434.140618589</v>
      </c>
      <c r="M17" s="67">
        <f t="shared" si="21"/>
        <v>18292179.197504308</v>
      </c>
      <c r="N17" s="67">
        <f t="shared" si="21"/>
        <v>19856103.462854978</v>
      </c>
      <c r="O17" s="67">
        <f t="shared" si="21"/>
        <v>21553738.374780022</v>
      </c>
      <c r="P17" s="67">
        <f t="shared" ref="P17:Y17" si="22">O17*(1+$J$10)</f>
        <v>23396515.776498094</v>
      </c>
      <c r="Q17" s="67">
        <f t="shared" si="22"/>
        <v>25396844.89816542</v>
      </c>
      <c r="R17" s="67">
        <f t="shared" si="22"/>
        <v>27568195.920410339</v>
      </c>
      <c r="S17" s="67">
        <f t="shared" si="22"/>
        <v>29925190.682289414</v>
      </c>
      <c r="T17" s="67">
        <f t="shared" si="22"/>
        <v>32483701.144490846</v>
      </c>
      <c r="U17" s="67">
        <f t="shared" si="22"/>
        <v>35260956.270834662</v>
      </c>
      <c r="V17" s="67">
        <f t="shared" si="22"/>
        <v>38275658.04780779</v>
      </c>
      <c r="W17" s="67">
        <f t="shared" si="22"/>
        <v>41548107.42340751</v>
      </c>
      <c r="X17" s="67">
        <f t="shared" si="22"/>
        <v>45100341.013363183</v>
      </c>
      <c r="Y17" s="67">
        <f t="shared" si="22"/>
        <v>48956279.49531354</v>
      </c>
    </row>
    <row r="18" spans="1:25" ht="16.5" thickBot="1" x14ac:dyDescent="0.3">
      <c r="A18" s="268"/>
      <c r="B18" s="116" t="s">
        <v>72</v>
      </c>
      <c r="C18" s="116">
        <v>4576311</v>
      </c>
      <c r="D18" s="67">
        <v>5999691</v>
      </c>
      <c r="E18" s="71">
        <f t="shared" si="4"/>
        <v>1.3110321829088976</v>
      </c>
      <c r="F18" s="71">
        <f t="shared" si="0"/>
        <v>0.33333333333333331</v>
      </c>
      <c r="G18" s="71">
        <f t="shared" si="5"/>
        <v>1.0944714845985439</v>
      </c>
      <c r="H18" s="71">
        <f t="shared" si="6"/>
        <v>9.4471484598543931E-2</v>
      </c>
      <c r="I18" s="71">
        <f t="shared" si="7"/>
        <v>1.0944714845985439</v>
      </c>
      <c r="J18" s="71">
        <f t="shared" si="1"/>
        <v>9.4471484598543931E-2</v>
      </c>
      <c r="K18" s="67">
        <f t="shared" si="8"/>
        <v>4967571.3163032457</v>
      </c>
      <c r="L18" s="67">
        <f t="shared" ref="L18:O18" si="23">K18*(1+$J$10)</f>
        <v>5392283.1692511197</v>
      </c>
      <c r="M18" s="67">
        <f t="shared" si="23"/>
        <v>5853306.5608864045</v>
      </c>
      <c r="N18" s="67">
        <f t="shared" si="23"/>
        <v>6353746.0145057663</v>
      </c>
      <c r="O18" s="67">
        <f t="shared" si="23"/>
        <v>6896971.4804642666</v>
      </c>
      <c r="P18" s="67">
        <f t="shared" ref="P18:Y18" si="24">O18*(1+$J$10)</f>
        <v>7486641.0293609463</v>
      </c>
      <c r="Q18" s="67">
        <f t="shared" si="24"/>
        <v>8126725.4854209954</v>
      </c>
      <c r="R18" s="67">
        <f t="shared" si="24"/>
        <v>8821535.165955266</v>
      </c>
      <c r="S18" s="67">
        <f t="shared" si="24"/>
        <v>9575748.9069601633</v>
      </c>
      <c r="T18" s="67">
        <f t="shared" si="24"/>
        <v>10394445.570315799</v>
      </c>
      <c r="U18" s="67">
        <f t="shared" si="24"/>
        <v>11283138.244751306</v>
      </c>
      <c r="V18" s="67">
        <f t="shared" si="24"/>
        <v>12247811.370886013</v>
      </c>
      <c r="W18" s="67">
        <f t="shared" si="24"/>
        <v>13294961.040345835</v>
      </c>
      <c r="X18" s="67">
        <f t="shared" si="24"/>
        <v>14431638.740328427</v>
      </c>
      <c r="Y18" s="67">
        <f t="shared" si="24"/>
        <v>15665498.838192202</v>
      </c>
    </row>
    <row r="19" spans="1:25" ht="16.5" thickBot="1" x14ac:dyDescent="0.3">
      <c r="A19" s="264" t="s">
        <v>75</v>
      </c>
      <c r="B19" s="116" t="s">
        <v>70</v>
      </c>
      <c r="C19" s="116">
        <v>14543</v>
      </c>
      <c r="D19" s="67">
        <v>18222</v>
      </c>
      <c r="E19" s="71">
        <f t="shared" si="4"/>
        <v>1.2529739393522656</v>
      </c>
      <c r="F19" s="71">
        <f t="shared" si="0"/>
        <v>0.33333333333333331</v>
      </c>
      <c r="G19" s="71">
        <f t="shared" si="5"/>
        <v>1.0780709561642241</v>
      </c>
      <c r="H19" s="71">
        <f t="shared" si="6"/>
        <v>7.8070956164224103E-2</v>
      </c>
      <c r="I19" s="71">
        <f t="shared" si="7"/>
        <v>1.0780709561642241</v>
      </c>
      <c r="J19" s="71">
        <f t="shared" si="1"/>
        <v>7.8070956164224103E-2</v>
      </c>
      <c r="K19" s="67">
        <f t="shared" si="8"/>
        <v>15786.381138213312</v>
      </c>
      <c r="L19" s="67">
        <f t="shared" ref="L19:O19" si="25">K19*(1+$J$10)</f>
        <v>17136.06748545259</v>
      </c>
      <c r="M19" s="67">
        <f t="shared" si="25"/>
        <v>18601.147805507746</v>
      </c>
      <c r="N19" s="67">
        <f t="shared" si="25"/>
        <v>20191.487923123525</v>
      </c>
      <c r="O19" s="67">
        <f t="shared" si="25"/>
        <v>21917.797160287362</v>
      </c>
      <c r="P19" s="67">
        <f t="shared" ref="P19:Y19" si="26">O19*(1+$J$10)</f>
        <v>23791.700452612644</v>
      </c>
      <c r="Q19" s="67">
        <f t="shared" si="26"/>
        <v>25825.8166314478</v>
      </c>
      <c r="R19" s="67">
        <f t="shared" si="26"/>
        <v>28033.843398861529</v>
      </c>
      <c r="S19" s="67">
        <f t="shared" si="26"/>
        <v>30430.649567724224</v>
      </c>
      <c r="T19" s="67">
        <f t="shared" si="26"/>
        <v>33032.375188028658</v>
      </c>
      <c r="U19" s="67">
        <f t="shared" si="26"/>
        <v>35856.540233698754</v>
      </c>
      <c r="V19" s="67">
        <f t="shared" si="26"/>
        <v>38922.162581781529</v>
      </c>
      <c r="W19" s="67">
        <f t="shared" si="26"/>
        <v>42249.886078491909</v>
      </c>
      <c r="X19" s="67">
        <f t="shared" si="26"/>
        <v>45862.119554504978</v>
      </c>
      <c r="Y19" s="67">
        <f t="shared" si="26"/>
        <v>49783.18772562204</v>
      </c>
    </row>
    <row r="20" spans="1:25" s="75" customFormat="1" ht="16.5" thickBot="1" x14ac:dyDescent="0.3">
      <c r="A20" s="264"/>
      <c r="B20" s="117" t="s">
        <v>71</v>
      </c>
      <c r="C20" s="117">
        <v>414580</v>
      </c>
      <c r="D20" s="76">
        <v>544039</v>
      </c>
      <c r="E20" s="71">
        <f t="shared" si="4"/>
        <v>1.3122654252496502</v>
      </c>
      <c r="F20" s="71">
        <f t="shared" si="0"/>
        <v>0.33333333333333331</v>
      </c>
      <c r="G20" s="71">
        <f t="shared" si="5"/>
        <v>1.0948145541264256</v>
      </c>
      <c r="H20" s="71">
        <f t="shared" si="6"/>
        <v>9.4814554126425588E-2</v>
      </c>
      <c r="I20" s="71">
        <f t="shared" si="7"/>
        <v>1.0948145541264256</v>
      </c>
      <c r="J20" s="78">
        <f t="shared" si="1"/>
        <v>9.4814554126425588E-2</v>
      </c>
      <c r="K20" s="67">
        <f t="shared" si="8"/>
        <v>450025.29686312831</v>
      </c>
      <c r="L20" s="67">
        <f t="shared" ref="L20:O20" si="27">K20*(1+$J$10)</f>
        <v>488501.05604888505</v>
      </c>
      <c r="M20" s="67">
        <f t="shared" si="27"/>
        <v>530266.37263339083</v>
      </c>
      <c r="N20" s="67">
        <f t="shared" si="27"/>
        <v>575602.49351361836</v>
      </c>
      <c r="O20" s="67">
        <f t="shared" si="27"/>
        <v>624814.71131898055</v>
      </c>
      <c r="P20" s="67">
        <f t="shared" ref="P20:Y20" si="28">O20*(1+$J$10)</f>
        <v>678234.42024645186</v>
      </c>
      <c r="Q20" s="67">
        <f t="shared" si="28"/>
        <v>736221.34766318009</v>
      </c>
      <c r="R20" s="67">
        <f t="shared" si="28"/>
        <v>799165.97650416079</v>
      </c>
      <c r="S20" s="67">
        <f t="shared" si="28"/>
        <v>867492.17477735726</v>
      </c>
      <c r="T20" s="67">
        <f t="shared" si="28"/>
        <v>941660.04988330591</v>
      </c>
      <c r="U20" s="67">
        <f t="shared" si="28"/>
        <v>1022169.0469701455</v>
      </c>
      <c r="V20" s="67">
        <f t="shared" si="28"/>
        <v>1109561.3121883369</v>
      </c>
      <c r="W20" s="67">
        <f t="shared" si="28"/>
        <v>1204425.3434931701</v>
      </c>
      <c r="X20" s="67">
        <f t="shared" si="28"/>
        <v>1307399.9535795001</v>
      </c>
      <c r="Y20" s="67">
        <f t="shared" si="28"/>
        <v>1419178.5716350395</v>
      </c>
    </row>
    <row r="21" spans="1:25" ht="16.5" thickBot="1" x14ac:dyDescent="0.3">
      <c r="A21" s="264"/>
      <c r="B21" s="116" t="s">
        <v>72</v>
      </c>
      <c r="C21" s="116">
        <v>324324</v>
      </c>
      <c r="D21" s="70">
        <v>378274</v>
      </c>
      <c r="E21" s="71">
        <f t="shared" si="4"/>
        <v>1.1663459996793331</v>
      </c>
      <c r="F21" s="71">
        <f t="shared" si="0"/>
        <v>0.33333333333333331</v>
      </c>
      <c r="G21" s="71">
        <f t="shared" si="5"/>
        <v>1.0526301408664802</v>
      </c>
      <c r="H21" s="71">
        <f t="shared" si="6"/>
        <v>5.2630140866480213E-2</v>
      </c>
      <c r="I21" s="71">
        <f t="shared" si="7"/>
        <v>1.0526301408664802</v>
      </c>
      <c r="J21" s="71">
        <f t="shared" si="1"/>
        <v>5.2630140866480213E-2</v>
      </c>
      <c r="K21" s="67">
        <f t="shared" si="8"/>
        <v>352052.69038505771</v>
      </c>
      <c r="L21" s="67">
        <f t="shared" ref="L21:O21" si="29">K21*(1+$J$10)</f>
        <v>382152.09730811563</v>
      </c>
      <c r="M21" s="67">
        <f t="shared" si="29"/>
        <v>414824.90963855427</v>
      </c>
      <c r="N21" s="67">
        <f t="shared" si="29"/>
        <v>450291.14551186922</v>
      </c>
      <c r="O21" s="67">
        <f t="shared" si="29"/>
        <v>488789.63392787171</v>
      </c>
      <c r="P21" s="67">
        <f t="shared" ref="P21:Y21" si="30">O21*(1+$J$10)</f>
        <v>530579.62302091334</v>
      </c>
      <c r="Q21" s="67">
        <f t="shared" si="30"/>
        <v>575942.52583219938</v>
      </c>
      <c r="R21" s="67">
        <f t="shared" si="30"/>
        <v>625183.8153401888</v>
      </c>
      <c r="S21" s="67">
        <f t="shared" si="30"/>
        <v>678635.08151018294</v>
      </c>
      <c r="T21" s="67">
        <f t="shared" si="30"/>
        <v>736656.26421523793</v>
      </c>
      <c r="U21" s="67">
        <f t="shared" si="30"/>
        <v>799638.07706485002</v>
      </c>
      <c r="V21" s="67">
        <f t="shared" si="30"/>
        <v>868004.63846343337</v>
      </c>
      <c r="W21" s="67">
        <f t="shared" si="30"/>
        <v>942216.32761609089</v>
      </c>
      <c r="X21" s="67">
        <f t="shared" si="30"/>
        <v>1022772.8847139704</v>
      </c>
      <c r="Y21" s="67">
        <f t="shared" si="30"/>
        <v>1110216.7761757986</v>
      </c>
    </row>
    <row r="24" spans="1:25" x14ac:dyDescent="0.25">
      <c r="P24" s="72">
        <v>404097.93573869218</v>
      </c>
      <c r="Q24" s="72">
        <v>365964.39230459585</v>
      </c>
      <c r="R24" s="72">
        <v>331429.40012808488</v>
      </c>
      <c r="S24" s="72">
        <v>300153.37442402513</v>
      </c>
      <c r="T24" s="72">
        <v>271828.77603288024</v>
      </c>
      <c r="U24" s="72">
        <v>246177.08736850144</v>
      </c>
      <c r="V24" s="72">
        <v>222946.07373690367</v>
      </c>
      <c r="W24" s="72">
        <v>201907.3030963997</v>
      </c>
      <c r="X24" s="72">
        <v>182853.89987073559</v>
      </c>
      <c r="Y24" s="72">
        <v>165598.51072832837</v>
      </c>
    </row>
    <row r="26" spans="1:25" ht="16.5" thickBot="1" x14ac:dyDescent="0.3">
      <c r="C26" s="116">
        <v>4648</v>
      </c>
      <c r="D26" s="114">
        <v>5945</v>
      </c>
    </row>
    <row r="27" spans="1:25" ht="16.5" thickBot="1" x14ac:dyDescent="0.3">
      <c r="C27" s="116">
        <v>51578</v>
      </c>
      <c r="D27" s="67">
        <v>53471</v>
      </c>
    </row>
    <row r="28" spans="1:25" ht="16.5" thickBot="1" x14ac:dyDescent="0.3">
      <c r="C28" s="116">
        <v>25268</v>
      </c>
      <c r="D28" s="67">
        <v>28240</v>
      </c>
    </row>
    <row r="29" spans="1:25" ht="16.5" thickBot="1" x14ac:dyDescent="0.3">
      <c r="C29" s="116">
        <v>13545</v>
      </c>
      <c r="D29" s="67">
        <v>15871</v>
      </c>
    </row>
    <row r="30" spans="1:25" ht="16.5" thickBot="1" x14ac:dyDescent="0.3">
      <c r="C30" s="116">
        <v>8197</v>
      </c>
      <c r="D30" s="67">
        <v>373342</v>
      </c>
    </row>
    <row r="31" spans="1:25" ht="16.5" thickBot="1" x14ac:dyDescent="0.3">
      <c r="C31" s="116">
        <v>223547</v>
      </c>
      <c r="D31" s="67">
        <v>251699</v>
      </c>
    </row>
    <row r="32" spans="1:25" ht="16.5" thickBot="1" x14ac:dyDescent="0.3">
      <c r="C32" s="116">
        <v>338658</v>
      </c>
      <c r="D32" s="67">
        <v>467481</v>
      </c>
    </row>
    <row r="33" spans="3:4" ht="16.5" thickBot="1" x14ac:dyDescent="0.3">
      <c r="C33" s="116">
        <v>14301438</v>
      </c>
      <c r="D33" s="67">
        <v>16809413</v>
      </c>
    </row>
    <row r="34" spans="3:4" ht="16.5" thickBot="1" x14ac:dyDescent="0.3">
      <c r="C34" s="116">
        <v>4576311</v>
      </c>
      <c r="D34" s="67">
        <v>5999691</v>
      </c>
    </row>
    <row r="35" spans="3:4" ht="16.5" thickBot="1" x14ac:dyDescent="0.3">
      <c r="C35" s="116">
        <v>14543</v>
      </c>
      <c r="D35" s="67">
        <v>18222</v>
      </c>
    </row>
    <row r="36" spans="3:4" ht="16.5" thickBot="1" x14ac:dyDescent="0.3">
      <c r="C36" s="117">
        <v>414580</v>
      </c>
      <c r="D36" s="76">
        <v>544039</v>
      </c>
    </row>
    <row r="37" spans="3:4" ht="16.5" thickBot="1" x14ac:dyDescent="0.3">
      <c r="C37" s="116">
        <v>324324</v>
      </c>
      <c r="D37" s="70">
        <v>378274</v>
      </c>
    </row>
  </sheetData>
  <mergeCells count="6">
    <mergeCell ref="A19:A21"/>
    <mergeCell ref="A8:B8"/>
    <mergeCell ref="A9:B9"/>
    <mergeCell ref="A10:A12"/>
    <mergeCell ref="A13:A15"/>
    <mergeCell ref="A16:A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3"/>
  <sheetViews>
    <sheetView tabSelected="1" zoomScale="112" workbookViewId="0">
      <selection activeCell="F7" sqref="F7"/>
    </sheetView>
  </sheetViews>
  <sheetFormatPr baseColWidth="10" defaultRowHeight="15" x14ac:dyDescent="0.25"/>
  <cols>
    <col min="3" max="3" width="19.140625" customWidth="1"/>
    <col min="8" max="8" width="9.140625" bestFit="1" customWidth="1"/>
    <col min="9" max="9" width="1.5703125" bestFit="1" customWidth="1"/>
    <col min="10" max="11" width="9.140625" bestFit="1" customWidth="1"/>
    <col min="12" max="12" width="1.5703125" bestFit="1" customWidth="1"/>
    <col min="13" max="14" width="9.140625" bestFit="1" customWidth="1"/>
    <col min="15" max="15" width="1.5703125" bestFit="1" customWidth="1"/>
    <col min="16" max="17" width="9.140625" bestFit="1" customWidth="1"/>
    <col min="18" max="18" width="1.5703125" bestFit="1" customWidth="1"/>
    <col min="19" max="20" width="9.140625" bestFit="1" customWidth="1"/>
    <col min="21" max="21" width="1.5703125" bestFit="1" customWidth="1"/>
    <col min="22" max="23" width="9.140625" bestFit="1" customWidth="1"/>
    <col min="24" max="24" width="1.5703125" bestFit="1" customWidth="1"/>
    <col min="25" max="26" width="9.140625" bestFit="1" customWidth="1"/>
    <col min="27" max="27" width="1.5703125" bestFit="1" customWidth="1"/>
    <col min="28" max="29" width="9.140625" bestFit="1" customWidth="1"/>
    <col min="30" max="30" width="1.5703125" bestFit="1" customWidth="1"/>
    <col min="31" max="32" width="9.140625" bestFit="1" customWidth="1"/>
    <col min="33" max="33" width="1.5703125" bestFit="1" customWidth="1"/>
    <col min="34" max="34" width="9.140625" bestFit="1" customWidth="1"/>
  </cols>
  <sheetData>
    <row r="1" spans="1:38" ht="31.35" customHeight="1" x14ac:dyDescent="0.25">
      <c r="B1" s="275" t="s">
        <v>108</v>
      </c>
      <c r="C1" s="275"/>
      <c r="D1" s="275"/>
      <c r="E1" s="275"/>
      <c r="F1" s="275"/>
      <c r="G1" s="275"/>
      <c r="H1" s="275"/>
      <c r="I1" s="275"/>
      <c r="J1" s="275"/>
    </row>
    <row r="2" spans="1:38" s="100" customFormat="1" x14ac:dyDescent="0.25">
      <c r="B2" s="287" t="s">
        <v>103</v>
      </c>
      <c r="C2" s="287"/>
      <c r="D2" s="101" t="s">
        <v>47</v>
      </c>
      <c r="E2" s="118">
        <f>VALUE(RIGHT(D2, 4))</f>
        <v>2024</v>
      </c>
      <c r="F2" s="291" t="s">
        <v>109</v>
      </c>
      <c r="P2" s="112"/>
      <c r="S2" s="100">
        <v>1.0072524464010109</v>
      </c>
    </row>
    <row r="3" spans="1:38" x14ac:dyDescent="0.25">
      <c r="B3" s="288" t="s">
        <v>104</v>
      </c>
      <c r="C3" s="288"/>
      <c r="D3" s="102" t="s">
        <v>54</v>
      </c>
      <c r="E3" s="118">
        <f>VALUE(RIGHT(D3, 4))</f>
        <v>2031</v>
      </c>
      <c r="F3" s="291"/>
      <c r="H3" t="s">
        <v>67</v>
      </c>
      <c r="K3" t="s">
        <v>239</v>
      </c>
      <c r="N3" t="s">
        <v>240</v>
      </c>
      <c r="Q3" t="s">
        <v>241</v>
      </c>
      <c r="T3" t="s">
        <v>242</v>
      </c>
    </row>
    <row r="4" spans="1:38" ht="20.45" customHeight="1" x14ac:dyDescent="0.25">
      <c r="B4" s="288" t="s">
        <v>105</v>
      </c>
      <c r="C4" s="288"/>
      <c r="D4" s="222">
        <v>6</v>
      </c>
      <c r="E4">
        <f>E3-E2</f>
        <v>7</v>
      </c>
      <c r="H4" t="s">
        <v>43</v>
      </c>
      <c r="T4">
        <v>13288519</v>
      </c>
    </row>
    <row r="5" spans="1:38" x14ac:dyDescent="0.25">
      <c r="B5" s="288"/>
      <c r="C5" s="288"/>
      <c r="H5" t="s">
        <v>238</v>
      </c>
    </row>
    <row r="6" spans="1:38" s="100" customFormat="1" ht="33.75" x14ac:dyDescent="0.25">
      <c r="A6" s="104" t="s">
        <v>111</v>
      </c>
      <c r="B6" s="105" t="s">
        <v>112</v>
      </c>
      <c r="C6" s="106" t="s">
        <v>110</v>
      </c>
      <c r="D6" s="104" t="str">
        <f>D2</f>
        <v>2023-2024</v>
      </c>
      <c r="E6" s="104" t="str">
        <f>D3</f>
        <v>2030-2031</v>
      </c>
      <c r="F6" s="104" t="s">
        <v>106</v>
      </c>
      <c r="G6" s="104" t="s">
        <v>68</v>
      </c>
      <c r="H6" s="104">
        <f>VALUE(LEFT(D2, 4))+1</f>
        <v>2024</v>
      </c>
      <c r="I6" s="107" t="s">
        <v>107</v>
      </c>
      <c r="J6" s="108">
        <f>VALUE(RIGHT(D2, 4))+1</f>
        <v>2025</v>
      </c>
      <c r="K6" s="104">
        <f>H6+1</f>
        <v>2025</v>
      </c>
      <c r="L6" s="107" t="s">
        <v>107</v>
      </c>
      <c r="M6" s="108">
        <f>J6+1</f>
        <v>2026</v>
      </c>
      <c r="N6" s="104">
        <f>K6+1</f>
        <v>2026</v>
      </c>
      <c r="O6" s="107" t="s">
        <v>107</v>
      </c>
      <c r="P6" s="108">
        <f>M6+1</f>
        <v>2027</v>
      </c>
      <c r="Q6" s="104">
        <f>N6+1</f>
        <v>2027</v>
      </c>
      <c r="R6" s="107" t="s">
        <v>107</v>
      </c>
      <c r="S6" s="108">
        <f>P6+1</f>
        <v>2028</v>
      </c>
      <c r="T6" s="104">
        <f t="shared" ref="T6" si="0">Q6+1</f>
        <v>2028</v>
      </c>
      <c r="U6" s="107" t="s">
        <v>107</v>
      </c>
      <c r="V6" s="108">
        <f t="shared" ref="V6:W6" si="1">S6+1</f>
        <v>2029</v>
      </c>
      <c r="W6" s="223">
        <f t="shared" si="1"/>
        <v>2029</v>
      </c>
      <c r="X6" s="224" t="s">
        <v>107</v>
      </c>
      <c r="Y6" s="225">
        <f t="shared" ref="Y6:Z6" si="2">V6+1</f>
        <v>2030</v>
      </c>
      <c r="Z6" s="104">
        <f t="shared" si="2"/>
        <v>2030</v>
      </c>
      <c r="AA6" s="107" t="s">
        <v>107</v>
      </c>
      <c r="AB6" s="108">
        <f t="shared" ref="AB6" si="3">Y6+1</f>
        <v>2031</v>
      </c>
      <c r="AC6" s="104">
        <f t="shared" ref="AC6" si="4">Z6+1</f>
        <v>2031</v>
      </c>
      <c r="AD6" s="107" t="s">
        <v>107</v>
      </c>
      <c r="AE6" s="108">
        <f t="shared" ref="AE6" si="5">AB6+1</f>
        <v>2032</v>
      </c>
      <c r="AF6" s="104">
        <f t="shared" ref="AF6" si="6">AC6+1</f>
        <v>2032</v>
      </c>
      <c r="AG6" s="107" t="s">
        <v>107</v>
      </c>
      <c r="AH6" s="108">
        <f t="shared" ref="AH6" si="7">AE6+1</f>
        <v>2033</v>
      </c>
    </row>
    <row r="7" spans="1:38" ht="15.75" x14ac:dyDescent="0.25">
      <c r="A7" s="272" t="s">
        <v>69</v>
      </c>
      <c r="B7" s="221" t="s">
        <v>70</v>
      </c>
      <c r="C7" s="221" t="s">
        <v>233</v>
      </c>
      <c r="D7" s="187">
        <v>12724672</v>
      </c>
      <c r="E7" s="191">
        <v>13288519</v>
      </c>
      <c r="F7" s="112">
        <f>POWER(E7/D7,1/n)</f>
        <v>1.0072524464010109</v>
      </c>
      <c r="G7" s="112">
        <f>F7-1</f>
        <v>7.2524464010108591E-3</v>
      </c>
      <c r="H7" s="284">
        <f>D7*(G7+1)</f>
        <v>12816957.001650443</v>
      </c>
      <c r="I7" s="284"/>
      <c r="J7" s="284"/>
      <c r="K7" s="284">
        <f>H7*($G$7+1)</f>
        <v>12909911.295328975</v>
      </c>
      <c r="L7" s="284"/>
      <c r="M7" s="284"/>
      <c r="N7" s="276">
        <f t="shared" ref="N7" si="8">K7*($G$7+1)</f>
        <v>13003539.735040152</v>
      </c>
      <c r="O7" s="276"/>
      <c r="P7" s="276"/>
      <c r="Q7" s="276">
        <f t="shared" ref="Q7" si="9">N7*($G$7+1)</f>
        <v>13097847.209991947</v>
      </c>
      <c r="R7" s="276"/>
      <c r="S7" s="276"/>
      <c r="T7" s="282">
        <f t="shared" ref="T7" si="10">Q7*($G$7+1)</f>
        <v>13192838.644851044</v>
      </c>
      <c r="U7" s="282"/>
      <c r="V7" s="282"/>
      <c r="W7" s="280">
        <f t="shared" ref="W7" si="11">T7*($G$7+1)</f>
        <v>13288519.000000011</v>
      </c>
      <c r="X7" s="280"/>
      <c r="Y7" s="280"/>
      <c r="Z7" s="276">
        <f t="shared" ref="Z7" si="12">W7*($G$7+1)</f>
        <v>13384893.271796325</v>
      </c>
      <c r="AA7" s="276"/>
      <c r="AB7" s="276"/>
      <c r="AC7" s="276">
        <f t="shared" ref="AC7" si="13">Z7*($G$7+1)</f>
        <v>13481966.492833279</v>
      </c>
      <c r="AD7" s="276"/>
      <c r="AE7" s="276"/>
      <c r="AF7" s="276">
        <f t="shared" ref="AF7" si="14">AC7*($G$7+1)</f>
        <v>13579743.732202778</v>
      </c>
      <c r="AG7" s="276"/>
      <c r="AH7" s="276"/>
      <c r="AK7">
        <v>7.3665288670078599E-2</v>
      </c>
      <c r="AL7" s="192">
        <f>AK7*100</f>
        <v>7.3665288670078599</v>
      </c>
    </row>
    <row r="8" spans="1:38" ht="15.75" x14ac:dyDescent="0.25">
      <c r="A8" s="273"/>
      <c r="B8" s="221" t="s">
        <v>71</v>
      </c>
      <c r="C8" s="221" t="s">
        <v>234</v>
      </c>
      <c r="D8" s="187">
        <v>442758</v>
      </c>
      <c r="E8" s="191">
        <v>452843</v>
      </c>
      <c r="F8" s="111">
        <f t="shared" ref="F7:F18" si="15">POWER(E8/D8,1/n)</f>
        <v>1.00376074419484</v>
      </c>
      <c r="G8" s="111">
        <f t="shared" ref="G8:G18" si="16">F8-1</f>
        <v>3.76074419483996E-3</v>
      </c>
      <c r="H8" s="283">
        <f t="shared" ref="H8:H18" si="17">D8*(G8+1)</f>
        <v>444423.09957821894</v>
      </c>
      <c r="I8" s="283"/>
      <c r="J8" s="283"/>
      <c r="K8" s="283">
        <f>H8*($G$8+1)</f>
        <v>446094.4611700105</v>
      </c>
      <c r="L8" s="283"/>
      <c r="M8" s="283"/>
      <c r="N8" s="277">
        <f>K8*($G$8+1)</f>
        <v>447772.10832520586</v>
      </c>
      <c r="O8" s="277"/>
      <c r="P8" s="277"/>
      <c r="Q8" s="277">
        <f t="shared" ref="Q8" si="18">N8*($G$8+1)</f>
        <v>449456.06468220113</v>
      </c>
      <c r="R8" s="277"/>
      <c r="S8" s="277"/>
      <c r="T8" s="281">
        <f t="shared" ref="T8" si="19">Q8*($G$8+1)</f>
        <v>451146.35396829032</v>
      </c>
      <c r="U8" s="281"/>
      <c r="V8" s="281"/>
      <c r="W8" s="279">
        <f t="shared" ref="W8" si="20">T8*($G$8+1)</f>
        <v>452842.99999999977</v>
      </c>
      <c r="X8" s="279"/>
      <c r="Y8" s="279"/>
      <c r="Z8" s="277">
        <f t="shared" ref="Z8" si="21">W8*($G$8+1)</f>
        <v>454546.02668342367</v>
      </c>
      <c r="AA8" s="277"/>
      <c r="AB8" s="277"/>
      <c r="AC8" s="277">
        <f t="shared" ref="AC8" si="22">Z8*($G$8+1)</f>
        <v>456255.45801456092</v>
      </c>
      <c r="AD8" s="277"/>
      <c r="AE8" s="277"/>
      <c r="AF8" s="277">
        <f t="shared" ref="AF8" si="23">AC8*($G$8+1)</f>
        <v>457971.31807965325</v>
      </c>
      <c r="AG8" s="277"/>
      <c r="AH8" s="277"/>
      <c r="AK8">
        <v>6.2855159357659174E-2</v>
      </c>
      <c r="AL8" s="192">
        <f t="shared" ref="AL8:AL17" si="24">AK8*100</f>
        <v>6.2855159357659174</v>
      </c>
    </row>
    <row r="9" spans="1:38" ht="15.75" x14ac:dyDescent="0.25">
      <c r="A9" s="274"/>
      <c r="B9" s="221" t="s">
        <v>72</v>
      </c>
      <c r="C9" s="221" t="s">
        <v>235</v>
      </c>
      <c r="D9" s="187">
        <v>45384</v>
      </c>
      <c r="E9" s="191">
        <v>42087</v>
      </c>
      <c r="F9" s="111">
        <f t="shared" si="15"/>
        <v>0.98750855468728249</v>
      </c>
      <c r="G9" s="111">
        <f t="shared" si="16"/>
        <v>-1.2491445312717508E-2</v>
      </c>
      <c r="H9" s="283">
        <f t="shared" si="17"/>
        <v>44817.088245927625</v>
      </c>
      <c r="I9" s="283"/>
      <c r="J9" s="283"/>
      <c r="K9" s="283">
        <f>H9*($G$9+1)</f>
        <v>44257.258039028384</v>
      </c>
      <c r="L9" s="283"/>
      <c r="M9" s="283"/>
      <c r="N9" s="277">
        <f>K9*($G$9+1)</f>
        <v>43704.420920543031</v>
      </c>
      <c r="O9" s="277"/>
      <c r="P9" s="277"/>
      <c r="Q9" s="277">
        <f t="shared" ref="Q9" si="25">N9*($G$9+1)</f>
        <v>43158.489536690082</v>
      </c>
      <c r="R9" s="277"/>
      <c r="S9" s="277"/>
      <c r="T9" s="281">
        <f t="shared" ref="T9" si="26">Q9*($G$9+1)</f>
        <v>42619.377624863024</v>
      </c>
      <c r="U9" s="281"/>
      <c r="V9" s="281"/>
      <c r="W9" s="279">
        <f t="shared" ref="W9" si="27">T9*($G$9+1)</f>
        <v>42086.999999999993</v>
      </c>
      <c r="X9" s="279"/>
      <c r="Y9" s="279"/>
      <c r="Z9" s="277">
        <f t="shared" ref="Z9" si="28">W9*($G$9+1)</f>
        <v>41561.272541123653</v>
      </c>
      <c r="AA9" s="277"/>
      <c r="AB9" s="277"/>
      <c r="AC9" s="277">
        <f t="shared" ref="AC9" si="29">Z9*($G$9+1)</f>
        <v>41042.112178049261</v>
      </c>
      <c r="AD9" s="277"/>
      <c r="AE9" s="277"/>
      <c r="AF9" s="277">
        <f t="shared" ref="AF9" si="30">AC9*($G$9+1)</f>
        <v>40529.436878258741</v>
      </c>
      <c r="AG9" s="277"/>
      <c r="AH9" s="277"/>
      <c r="AK9">
        <v>0.13545156118385493</v>
      </c>
      <c r="AL9" s="192">
        <f t="shared" si="24"/>
        <v>13.545156118385492</v>
      </c>
    </row>
    <row r="10" spans="1:38" ht="15.75" x14ac:dyDescent="0.25">
      <c r="A10" s="272" t="s">
        <v>73</v>
      </c>
      <c r="B10" s="221" t="s">
        <v>70</v>
      </c>
      <c r="C10" s="221" t="s">
        <v>236</v>
      </c>
      <c r="D10" s="187">
        <v>398303</v>
      </c>
      <c r="E10" s="191">
        <v>452243</v>
      </c>
      <c r="F10" s="112">
        <f t="shared" si="15"/>
        <v>1.0213933970843783</v>
      </c>
      <c r="G10" s="112">
        <f t="shared" si="16"/>
        <v>2.1393397084378263E-2</v>
      </c>
      <c r="H10" s="284">
        <f t="shared" si="17"/>
        <v>406824.05423889909</v>
      </c>
      <c r="I10" s="284"/>
      <c r="J10" s="284"/>
      <c r="K10" s="284">
        <f>H10*($G$10+1)</f>
        <v>415527.40277470852</v>
      </c>
      <c r="L10" s="284"/>
      <c r="M10" s="284"/>
      <c r="N10" s="276">
        <f>K10*($G$10+1)</f>
        <v>424416.94550170825</v>
      </c>
      <c r="O10" s="276"/>
      <c r="P10" s="276"/>
      <c r="Q10" s="276">
        <f t="shared" ref="Q10" si="31">N10*($G$10+1)</f>
        <v>433496.66574616521</v>
      </c>
      <c r="R10" s="276"/>
      <c r="S10" s="276"/>
      <c r="T10" s="282">
        <f t="shared" ref="T10" si="32">Q10*($G$10+1)</f>
        <v>442770.63205122692</v>
      </c>
      <c r="U10" s="282"/>
      <c r="V10" s="282"/>
      <c r="W10" s="280">
        <f t="shared" ref="W10" si="33">T10*($G$10+1)</f>
        <v>452242.99999999994</v>
      </c>
      <c r="X10" s="280"/>
      <c r="Y10" s="280"/>
      <c r="Z10" s="276">
        <f t="shared" ref="Z10" si="34">W10*($G$10+1)</f>
        <v>461918.01407763042</v>
      </c>
      <c r="AA10" s="276"/>
      <c r="AB10" s="276"/>
      <c r="AC10" s="276">
        <f t="shared" ref="AC10" si="35">Z10*($G$10+1)</f>
        <v>471800.00957322057</v>
      </c>
      <c r="AD10" s="276"/>
      <c r="AE10" s="276"/>
      <c r="AF10" s="276">
        <f t="shared" ref="AF10" si="36">AC10*($G$10+1)</f>
        <v>481893.41452243394</v>
      </c>
      <c r="AG10" s="276"/>
      <c r="AH10" s="276"/>
      <c r="AK10">
        <v>0.11539598910415183</v>
      </c>
      <c r="AL10" s="192">
        <f t="shared" si="24"/>
        <v>11.539598910415183</v>
      </c>
    </row>
    <row r="11" spans="1:38" ht="15.75" x14ac:dyDescent="0.25">
      <c r="A11" s="273"/>
      <c r="B11" s="221" t="s">
        <v>71</v>
      </c>
      <c r="C11" s="221"/>
      <c r="D11" s="187">
        <v>370937</v>
      </c>
      <c r="E11" s="191">
        <v>648288</v>
      </c>
      <c r="F11" s="111">
        <f t="shared" si="15"/>
        <v>1.0975171228512135</v>
      </c>
      <c r="G11" s="111">
        <f t="shared" si="16"/>
        <v>9.75171228512135E-2</v>
      </c>
      <c r="H11" s="283">
        <f t="shared" si="17"/>
        <v>407109.70899906056</v>
      </c>
      <c r="I11" s="283"/>
      <c r="J11" s="283"/>
      <c r="K11" s="283">
        <f>H11*($G11+1)</f>
        <v>446809.87650544371</v>
      </c>
      <c r="L11" s="283"/>
      <c r="M11" s="283"/>
      <c r="N11" s="277">
        <f>K11*($G11+1)</f>
        <v>490381.4901237606</v>
      </c>
      <c r="O11" s="277"/>
      <c r="P11" s="277"/>
      <c r="Q11" s="277">
        <f t="shared" ref="Q11" si="37">N11*($G11+1)</f>
        <v>538202.08214012044</v>
      </c>
      <c r="R11" s="277"/>
      <c r="S11" s="277"/>
      <c r="T11" s="281">
        <f t="shared" ref="T11" si="38">Q11*($G11+1)</f>
        <v>590686.00070295751</v>
      </c>
      <c r="U11" s="281"/>
      <c r="V11" s="281"/>
      <c r="W11" s="279">
        <f t="shared" ref="W11" si="39">T11*($G11+1)</f>
        <v>648287.99999999977</v>
      </c>
      <c r="X11" s="279"/>
      <c r="Y11" s="279"/>
      <c r="Z11" s="277">
        <f t="shared" ref="Z11" si="40">W11*($G11+1)</f>
        <v>711507.18053896725</v>
      </c>
      <c r="AA11" s="277"/>
      <c r="AB11" s="277"/>
      <c r="AC11" s="277">
        <f t="shared" ref="AC11" si="41">Z11*($G11+1)</f>
        <v>780891.31367310626</v>
      </c>
      <c r="AD11" s="277"/>
      <c r="AE11" s="277"/>
      <c r="AF11" s="277">
        <f t="shared" ref="AF11" si="42">AC11*($G11+1)</f>
        <v>857041.58784201206</v>
      </c>
      <c r="AG11" s="277"/>
      <c r="AH11" s="277"/>
      <c r="AK11">
        <v>0.11813325823098197</v>
      </c>
      <c r="AL11" s="192">
        <f t="shared" si="24"/>
        <v>11.813325823098197</v>
      </c>
    </row>
    <row r="12" spans="1:38" ht="15.75" x14ac:dyDescent="0.25">
      <c r="A12" s="274"/>
      <c r="B12" s="221" t="s">
        <v>72</v>
      </c>
      <c r="C12" s="221"/>
      <c r="D12" s="187">
        <v>527379</v>
      </c>
      <c r="E12" s="191">
        <v>764051</v>
      </c>
      <c r="F12" s="111">
        <f t="shared" si="15"/>
        <v>1.0637345190541598</v>
      </c>
      <c r="G12" s="111">
        <f t="shared" si="16"/>
        <v>6.3734519054159833E-2</v>
      </c>
      <c r="H12" s="283">
        <f t="shared" si="17"/>
        <v>560991.24692426377</v>
      </c>
      <c r="I12" s="283"/>
      <c r="J12" s="283"/>
      <c r="K12" s="283">
        <f>H12*($G$12+1)</f>
        <v>596745.75424057513</v>
      </c>
      <c r="L12" s="283"/>
      <c r="M12" s="283"/>
      <c r="N12" s="277">
        <f>K12*($G$12+1)</f>
        <v>634779.05788471003</v>
      </c>
      <c r="O12" s="277"/>
      <c r="P12" s="277"/>
      <c r="Q12" s="277">
        <f t="shared" ref="Q12" si="43">N12*($G$12+1)</f>
        <v>675236.39584464475</v>
      </c>
      <c r="R12" s="277"/>
      <c r="S12" s="277"/>
      <c r="T12" s="281">
        <f t="shared" ref="T12" si="44">Q12*($G$12+1)</f>
        <v>718272.26278166752</v>
      </c>
      <c r="U12" s="281"/>
      <c r="V12" s="281"/>
      <c r="W12" s="279">
        <f t="shared" ref="W12" si="45">T12*($G$12+1)</f>
        <v>764051.00000000023</v>
      </c>
      <c r="X12" s="279"/>
      <c r="Y12" s="279"/>
      <c r="Z12" s="277">
        <f t="shared" ref="Z12" si="46">W12*($G$12+1)</f>
        <v>812747.42301785015</v>
      </c>
      <c r="AA12" s="277"/>
      <c r="AB12" s="277"/>
      <c r="AC12" s="277">
        <f t="shared" ref="AC12" si="47">Z12*($G$12+1)</f>
        <v>864547.48913640063</v>
      </c>
      <c r="AD12" s="277"/>
      <c r="AE12" s="277"/>
      <c r="AF12" s="277">
        <f t="shared" ref="AF12" si="48">AC12*($G$12+1)</f>
        <v>919649.0075559906</v>
      </c>
      <c r="AG12" s="277"/>
      <c r="AH12" s="277"/>
      <c r="AK12">
        <v>7.6960818341826887E-2</v>
      </c>
      <c r="AL12" s="192">
        <f t="shared" si="24"/>
        <v>7.6960818341826887</v>
      </c>
    </row>
    <row r="13" spans="1:38" ht="15.75" x14ac:dyDescent="0.25">
      <c r="A13" s="272" t="s">
        <v>74</v>
      </c>
      <c r="B13" s="221" t="s">
        <v>70</v>
      </c>
      <c r="C13" s="221"/>
      <c r="D13" s="187">
        <v>1209904</v>
      </c>
      <c r="E13" s="191">
        <v>1645825</v>
      </c>
      <c r="F13" s="112">
        <f t="shared" si="15"/>
        <v>1.0526212271231274</v>
      </c>
      <c r="G13" s="112">
        <f t="shared" si="16"/>
        <v>5.2621227123127445E-2</v>
      </c>
      <c r="H13" s="284">
        <f t="shared" si="17"/>
        <v>1273570.6331811803</v>
      </c>
      <c r="I13" s="284"/>
      <c r="J13" s="284"/>
      <c r="K13" s="284">
        <f>H13*($G$13+1)</f>
        <v>1340587.4827271525</v>
      </c>
      <c r="L13" s="284"/>
      <c r="M13" s="284"/>
      <c r="N13" s="276">
        <f>K13*($G$13+1)</f>
        <v>1411130.8411341598</v>
      </c>
      <c r="O13" s="276"/>
      <c r="P13" s="276"/>
      <c r="Q13" s="276">
        <f t="shared" ref="Q13" si="49">N13*($G$13+1)</f>
        <v>1485386.2776259303</v>
      </c>
      <c r="R13" s="276"/>
      <c r="S13" s="276"/>
      <c r="T13" s="282">
        <f t="shared" ref="T13" si="50">Q13*($G$13+1)</f>
        <v>1563549.1263064612</v>
      </c>
      <c r="U13" s="282"/>
      <c r="V13" s="282"/>
      <c r="W13" s="276">
        <f t="shared" ref="W13" si="51">T13*($G$13+1)</f>
        <v>1645825.0000000009</v>
      </c>
      <c r="X13" s="276"/>
      <c r="Y13" s="276"/>
      <c r="Z13" s="276">
        <f t="shared" ref="Z13" si="52">W13*($G$13+1)</f>
        <v>1732430.3311299223</v>
      </c>
      <c r="AA13" s="276"/>
      <c r="AB13" s="276"/>
      <c r="AC13" s="276">
        <f t="shared" ref="AC13" si="53">Z13*($G$13+1)</f>
        <v>1823592.9410593049</v>
      </c>
      <c r="AD13" s="276"/>
      <c r="AE13" s="276"/>
      <c r="AF13" s="276">
        <f t="shared" ref="AF13" si="54">AC13*($G$13+1)</f>
        <v>1919552.6393909184</v>
      </c>
      <c r="AG13" s="276"/>
      <c r="AH13" s="276"/>
      <c r="AK13">
        <v>6.3473196382814567E-2</v>
      </c>
      <c r="AL13" s="192">
        <f t="shared" si="24"/>
        <v>6.3473196382814567</v>
      </c>
    </row>
    <row r="14" spans="1:38" ht="15.75" x14ac:dyDescent="0.25">
      <c r="A14" s="273"/>
      <c r="B14" s="289" t="s">
        <v>71</v>
      </c>
      <c r="C14" s="289"/>
      <c r="D14" s="187">
        <v>2555000</v>
      </c>
      <c r="E14" s="191">
        <v>2788857</v>
      </c>
      <c r="F14" s="111">
        <f>POWER(E14/D14,1/n)</f>
        <v>1.0147036524192454</v>
      </c>
      <c r="G14" s="111">
        <f t="shared" si="16"/>
        <v>1.4703652419245428E-2</v>
      </c>
      <c r="H14" s="283">
        <f>D14*(G14+1)</f>
        <v>2592567.8319311719</v>
      </c>
      <c r="I14" s="283"/>
      <c r="J14" s="283"/>
      <c r="K14" s="283">
        <f>H14*($G$14+1)</f>
        <v>2630688.0482052048</v>
      </c>
      <c r="L14" s="283"/>
      <c r="M14" s="283"/>
      <c r="N14" s="277">
        <f>K14*($G$14+1)</f>
        <v>2669368.7708894773</v>
      </c>
      <c r="O14" s="277"/>
      <c r="P14" s="277"/>
      <c r="Q14" s="277">
        <f t="shared" ref="Q14" si="55">N14*($G$14+1)</f>
        <v>2708618.2414754247</v>
      </c>
      <c r="R14" s="277"/>
      <c r="S14" s="277"/>
      <c r="T14" s="277">
        <f t="shared" ref="T14" si="56">Q14*($G$14+1)</f>
        <v>2748444.822634507</v>
      </c>
      <c r="U14" s="277"/>
      <c r="V14" s="277"/>
      <c r="W14" s="277">
        <f t="shared" ref="W14" si="57">T14*($G$14+1)</f>
        <v>2788856.9999999995</v>
      </c>
      <c r="X14" s="277"/>
      <c r="Y14" s="277"/>
      <c r="Z14" s="277">
        <f t="shared" ref="Z14" si="58">W14*($G$14+1)</f>
        <v>2829863.3839749792</v>
      </c>
      <c r="AA14" s="277"/>
      <c r="AB14" s="277"/>
      <c r="AC14" s="277">
        <f t="shared" ref="AC14" si="59">Z14*($G$14+1)</f>
        <v>2871472.7115668971</v>
      </c>
      <c r="AD14" s="277"/>
      <c r="AE14" s="277"/>
      <c r="AF14" s="277">
        <f t="shared" ref="AF14" si="60">AC14*($G$14+1)</f>
        <v>2913693.8482491248</v>
      </c>
      <c r="AG14" s="277"/>
      <c r="AH14" s="277"/>
      <c r="AK14">
        <v>3.1019384505719172E-2</v>
      </c>
      <c r="AL14" s="192">
        <f t="shared" si="24"/>
        <v>3.1019384505719172</v>
      </c>
    </row>
    <row r="15" spans="1:38" ht="15.75" x14ac:dyDescent="0.25">
      <c r="A15" s="274"/>
      <c r="B15" s="289" t="s">
        <v>72</v>
      </c>
      <c r="C15" s="289"/>
      <c r="D15" s="187">
        <v>1293465</v>
      </c>
      <c r="E15" s="191">
        <v>1581778</v>
      </c>
      <c r="F15" s="111">
        <f t="shared" si="15"/>
        <v>1.0341061990411222</v>
      </c>
      <c r="G15" s="111">
        <f t="shared" si="16"/>
        <v>3.410619904112222E-2</v>
      </c>
      <c r="H15" s="283">
        <f t="shared" si="17"/>
        <v>1337580.1747427252</v>
      </c>
      <c r="I15" s="283"/>
      <c r="J15" s="283"/>
      <c r="K15" s="283">
        <f>H15*($G$15+1)</f>
        <v>1383199.9504159596</v>
      </c>
      <c r="L15" s="283"/>
      <c r="M15" s="283"/>
      <c r="N15" s="277">
        <f>K15*($G$15+1)</f>
        <v>1430375.6432385168</v>
      </c>
      <c r="O15" s="277"/>
      <c r="P15" s="277"/>
      <c r="Q15" s="277">
        <f t="shared" ref="Q15" si="61">N15*($G$15+1)</f>
        <v>1479160.3196303828</v>
      </c>
      <c r="R15" s="277"/>
      <c r="S15" s="277"/>
      <c r="T15" s="277">
        <f t="shared" ref="T15" si="62">Q15*($G$15+1)</f>
        <v>1529608.8559054267</v>
      </c>
      <c r="U15" s="277"/>
      <c r="V15" s="277"/>
      <c r="W15" s="277">
        <f t="shared" ref="W15" si="63">T15*($G$15+1)</f>
        <v>1581778.0000000005</v>
      </c>
      <c r="X15" s="277"/>
      <c r="Y15" s="277"/>
      <c r="Z15" s="277">
        <f t="shared" ref="Z15" si="64">W15*($G$15+1)</f>
        <v>1635726.4353068687</v>
      </c>
      <c r="AA15" s="277"/>
      <c r="AB15" s="277"/>
      <c r="AC15" s="277">
        <f t="shared" ref="AC15" si="65">Z15*($G$15+1)</f>
        <v>1691514.8466862701</v>
      </c>
      <c r="AD15" s="277"/>
      <c r="AE15" s="277"/>
      <c r="AF15" s="277">
        <f t="shared" ref="AF15" si="66">AC15*($G$15+1)</f>
        <v>1749205.9887283654</v>
      </c>
      <c r="AG15" s="277"/>
      <c r="AH15" s="277"/>
      <c r="AK15">
        <v>4.1065776357013473E-2</v>
      </c>
      <c r="AL15" s="192">
        <f t="shared" si="24"/>
        <v>4.1065776357013473</v>
      </c>
    </row>
    <row r="16" spans="1:38" ht="15.75" x14ac:dyDescent="0.25">
      <c r="A16" s="269" t="s">
        <v>75</v>
      </c>
      <c r="B16" s="289" t="s">
        <v>70</v>
      </c>
      <c r="C16" s="289"/>
      <c r="D16" s="187">
        <v>1194213</v>
      </c>
      <c r="E16" s="191">
        <v>1310317</v>
      </c>
      <c r="F16" s="112">
        <f t="shared" si="15"/>
        <v>1.0155837973419299</v>
      </c>
      <c r="G16" s="112">
        <f t="shared" si="16"/>
        <v>1.5583797341929939E-2</v>
      </c>
      <c r="H16" s="284">
        <f t="shared" si="17"/>
        <v>1212823.3733750982</v>
      </c>
      <c r="I16" s="284"/>
      <c r="J16" s="284"/>
      <c r="K16" s="284">
        <f>H16*($G$16+1)</f>
        <v>1231723.7670373316</v>
      </c>
      <c r="L16" s="284"/>
      <c r="M16" s="284"/>
      <c r="N16" s="276">
        <f>K16*($G$16+1)</f>
        <v>1250918.70060408</v>
      </c>
      <c r="O16" s="276"/>
      <c r="P16" s="276"/>
      <c r="Q16" s="276">
        <f t="shared" ref="Q16" si="67">N16*($G$16+1)</f>
        <v>1270412.7641255243</v>
      </c>
      <c r="R16" s="276"/>
      <c r="S16" s="276"/>
      <c r="T16" s="276">
        <f t="shared" ref="T16" si="68">Q16*($G$16+1)</f>
        <v>1290210.6191822574</v>
      </c>
      <c r="U16" s="276"/>
      <c r="V16" s="276"/>
      <c r="W16" s="276">
        <f t="shared" ref="W16" si="69">T16*($G$16+1)</f>
        <v>1310316.9999999998</v>
      </c>
      <c r="X16" s="276"/>
      <c r="Y16" s="276"/>
      <c r="Z16" s="276">
        <f t="shared" ref="Z16" si="70">W16*($G$16+1)</f>
        <v>1330736.7145816854</v>
      </c>
      <c r="AA16" s="276"/>
      <c r="AB16" s="276"/>
      <c r="AC16" s="276">
        <f t="shared" ref="AC16" si="71">Z16*($G$16+1)</f>
        <v>1351474.6458571921</v>
      </c>
      <c r="AD16" s="276"/>
      <c r="AE16" s="276"/>
      <c r="AF16" s="276">
        <f t="shared" ref="AF16" si="72">AC16*($G$16+1)</f>
        <v>1372535.752850987</v>
      </c>
      <c r="AG16" s="276"/>
      <c r="AH16" s="276"/>
      <c r="AK16">
        <v>1.8729579113847983E-2</v>
      </c>
      <c r="AL16" s="192">
        <f t="shared" si="24"/>
        <v>1.8729579113847983</v>
      </c>
    </row>
    <row r="17" spans="1:40" ht="15.75" x14ac:dyDescent="0.25">
      <c r="A17" s="270"/>
      <c r="B17" s="290" t="s">
        <v>71</v>
      </c>
      <c r="C17" s="290"/>
      <c r="D17" s="117">
        <v>7730736</v>
      </c>
      <c r="E17" s="188">
        <v>10643260</v>
      </c>
      <c r="F17" s="189">
        <f t="shared" si="15"/>
        <v>1.0547324428317815</v>
      </c>
      <c r="G17" s="189">
        <f t="shared" si="16"/>
        <v>5.4732442831781469E-2</v>
      </c>
      <c r="H17" s="286">
        <f t="shared" si="17"/>
        <v>8153858.0661675949</v>
      </c>
      <c r="I17" s="286"/>
      <c r="J17" s="286"/>
      <c r="K17" s="286">
        <f>H17*($G$17+1)</f>
        <v>8600138.6366325729</v>
      </c>
      <c r="L17" s="286"/>
      <c r="M17" s="286"/>
      <c r="N17" s="278">
        <f>K17*($G$17+1)</f>
        <v>9070845.232907461</v>
      </c>
      <c r="O17" s="278"/>
      <c r="P17" s="278"/>
      <c r="Q17" s="278">
        <f t="shared" ref="Q17" si="73">N17*($G$17+1)</f>
        <v>9567314.7510535065</v>
      </c>
      <c r="R17" s="278"/>
      <c r="S17" s="278"/>
      <c r="T17" s="278">
        <f t="shared" ref="T17" si="74">Q17*($G$17+1)</f>
        <v>10090957.258719202</v>
      </c>
      <c r="U17" s="278"/>
      <c r="V17" s="278"/>
      <c r="W17" s="278">
        <f t="shared" ref="W17" si="75">T17*($G$17+1)</f>
        <v>10643260.000000002</v>
      </c>
      <c r="X17" s="278"/>
      <c r="Y17" s="278"/>
      <c r="Z17" s="278">
        <f t="shared" ref="Z17" si="76">W17*($G$17+1)</f>
        <v>11225791.619493788</v>
      </c>
      <c r="AA17" s="278"/>
      <c r="AB17" s="278"/>
      <c r="AC17" s="278">
        <f t="shared" ref="AC17" si="77">Z17*($G$17+1)</f>
        <v>11840206.617549224</v>
      </c>
      <c r="AD17" s="278"/>
      <c r="AE17" s="278"/>
      <c r="AF17" s="278">
        <f t="shared" ref="AF17" si="78">AC17*($G$17+1)</f>
        <v>12488250.049360717</v>
      </c>
      <c r="AG17" s="278"/>
      <c r="AH17" s="278"/>
      <c r="AI17" s="190"/>
      <c r="AJ17" s="190"/>
      <c r="AK17" s="190">
        <v>6.6033286950382131E-2</v>
      </c>
      <c r="AL17" s="192">
        <f t="shared" si="24"/>
        <v>6.6033286950382131</v>
      </c>
      <c r="AM17" s="190"/>
      <c r="AN17" s="190"/>
    </row>
    <row r="18" spans="1:40" ht="15.75" x14ac:dyDescent="0.25">
      <c r="A18" s="271"/>
      <c r="B18" s="285" t="s">
        <v>72</v>
      </c>
      <c r="C18" s="285"/>
      <c r="D18" s="109">
        <v>378274</v>
      </c>
      <c r="E18" s="110">
        <v>474224</v>
      </c>
      <c r="F18" s="111">
        <f t="shared" si="15"/>
        <v>1.0383956008876036</v>
      </c>
      <c r="G18" s="111">
        <f t="shared" si="16"/>
        <v>3.8395600887603631E-2</v>
      </c>
      <c r="H18" s="283">
        <f t="shared" si="17"/>
        <v>392798.05753015738</v>
      </c>
      <c r="I18" s="283"/>
      <c r="J18" s="283"/>
      <c r="K18" s="283">
        <f>H18*($G$18+1)</f>
        <v>407879.77497651125</v>
      </c>
      <c r="L18" s="283"/>
      <c r="M18" s="283"/>
      <c r="N18" s="277">
        <f>K18*($G$18+1)</f>
        <v>423540.56402663497</v>
      </c>
      <c r="O18" s="277"/>
      <c r="P18" s="277"/>
      <c r="Q18" s="277">
        <f t="shared" ref="Q18" si="79">N18*($G$18+1)</f>
        <v>439802.65848271217</v>
      </c>
      <c r="R18" s="277"/>
      <c r="S18" s="277"/>
      <c r="T18" s="277">
        <f t="shared" ref="T18" si="80">Q18*($G$18+1)</f>
        <v>456689.14582712145</v>
      </c>
      <c r="U18" s="277"/>
      <c r="V18" s="277"/>
      <c r="W18" s="277">
        <f t="shared" ref="W18" si="81">T18*($G$18+1)</f>
        <v>474224.00000000023</v>
      </c>
      <c r="X18" s="277"/>
      <c r="Y18" s="277"/>
      <c r="Z18" s="277">
        <f t="shared" ref="Z18" si="82">W18*($G$18+1)</f>
        <v>492432.11543532321</v>
      </c>
      <c r="AA18" s="277"/>
      <c r="AB18" s="277"/>
      <c r="AC18" s="277">
        <f t="shared" ref="AC18" si="83">Z18*($G$18+1)</f>
        <v>511339.34240381623</v>
      </c>
      <c r="AD18" s="277"/>
      <c r="AE18" s="277"/>
      <c r="AF18" s="277">
        <f t="shared" ref="AF18" si="84">AC18*($G$18+1)</f>
        <v>530972.52371288289</v>
      </c>
      <c r="AG18" s="277"/>
      <c r="AH18" s="277"/>
      <c r="AK18">
        <v>4.6249847047554971E-2</v>
      </c>
    </row>
    <row r="20" spans="1:40" x14ac:dyDescent="0.25">
      <c r="B20">
        <v>2000</v>
      </c>
      <c r="C20">
        <v>2006</v>
      </c>
    </row>
    <row r="21" spans="1:40" x14ac:dyDescent="0.25">
      <c r="B21" s="220" t="s">
        <v>243</v>
      </c>
      <c r="C21" s="220" t="s">
        <v>242</v>
      </c>
      <c r="D21" s="111" t="s">
        <v>237</v>
      </c>
      <c r="E21" s="111" t="s">
        <v>238</v>
      </c>
      <c r="F21" s="111" t="s">
        <v>239</v>
      </c>
      <c r="G21" s="111" t="s">
        <v>240</v>
      </c>
      <c r="H21" s="111" t="s">
        <v>241</v>
      </c>
    </row>
    <row r="22" spans="1:40" ht="18.75" thickBot="1" x14ac:dyDescent="0.3">
      <c r="B22" s="213">
        <v>2000</v>
      </c>
      <c r="C22" s="213">
        <v>2006</v>
      </c>
      <c r="D22" s="219">
        <v>2001</v>
      </c>
      <c r="E22" s="219">
        <v>2002</v>
      </c>
      <c r="F22" s="219">
        <v>2003</v>
      </c>
      <c r="G22" s="219">
        <v>2004</v>
      </c>
      <c r="H22" s="219">
        <v>2005</v>
      </c>
    </row>
    <row r="23" spans="1:40" ht="15.75" thickBot="1" x14ac:dyDescent="0.3">
      <c r="A23" s="214" t="s">
        <v>233</v>
      </c>
      <c r="B23" s="111">
        <v>12724672</v>
      </c>
      <c r="C23" s="215">
        <v>13288519</v>
      </c>
    </row>
    <row r="24" spans="1:40" ht="23.25" thickBot="1" x14ac:dyDescent="0.3">
      <c r="A24" s="216" t="s">
        <v>234</v>
      </c>
      <c r="B24" s="111">
        <v>442758</v>
      </c>
      <c r="C24" s="217">
        <v>452843</v>
      </c>
    </row>
    <row r="25" spans="1:40" ht="23.25" thickBot="1" x14ac:dyDescent="0.3">
      <c r="A25" s="216" t="s">
        <v>235</v>
      </c>
      <c r="B25" s="111">
        <v>45384</v>
      </c>
      <c r="C25" s="215">
        <v>42087</v>
      </c>
      <c r="J25">
        <v>1.0147036524192454</v>
      </c>
    </row>
    <row r="26" spans="1:40" ht="23.25" thickBot="1" x14ac:dyDescent="0.3">
      <c r="A26" s="216" t="s">
        <v>236</v>
      </c>
      <c r="B26" s="111">
        <v>398303</v>
      </c>
      <c r="C26" s="217">
        <v>452243</v>
      </c>
    </row>
    <row r="27" spans="1:40" ht="15.75" thickBot="1" x14ac:dyDescent="0.3"/>
    <row r="28" spans="1:40" ht="18.75" thickBot="1" x14ac:dyDescent="0.3">
      <c r="B28">
        <v>2000</v>
      </c>
      <c r="D28" s="218">
        <v>2000</v>
      </c>
    </row>
    <row r="29" spans="1:40" ht="18.75" thickBot="1" x14ac:dyDescent="0.3">
      <c r="B29">
        <v>2006</v>
      </c>
      <c r="D29" s="219">
        <v>2001</v>
      </c>
    </row>
    <row r="30" spans="1:40" ht="18.75" thickBot="1" x14ac:dyDescent="0.3">
      <c r="D30" s="219">
        <v>2002</v>
      </c>
    </row>
    <row r="31" spans="1:40" ht="18.75" thickBot="1" x14ac:dyDescent="0.3">
      <c r="D31" s="219">
        <v>2003</v>
      </c>
    </row>
    <row r="32" spans="1:40" ht="18.75" thickBot="1" x14ac:dyDescent="0.3">
      <c r="D32" s="219">
        <v>2004</v>
      </c>
    </row>
    <row r="33" spans="4:4" ht="18.75" thickBot="1" x14ac:dyDescent="0.3">
      <c r="D33" s="219">
        <v>2005</v>
      </c>
    </row>
  </sheetData>
  <mergeCells count="123">
    <mergeCell ref="B2:C2"/>
    <mergeCell ref="B3:C3"/>
    <mergeCell ref="B4:C4"/>
    <mergeCell ref="B5:C5"/>
    <mergeCell ref="B14:C14"/>
    <mergeCell ref="B15:C15"/>
    <mergeCell ref="B16:C16"/>
    <mergeCell ref="B17:C17"/>
    <mergeCell ref="Q11:S11"/>
    <mergeCell ref="Q12:S12"/>
    <mergeCell ref="Q13:S13"/>
    <mergeCell ref="Q14:S14"/>
    <mergeCell ref="K15:M15"/>
    <mergeCell ref="K16:M16"/>
    <mergeCell ref="K17:M17"/>
    <mergeCell ref="Q15:S15"/>
    <mergeCell ref="Q16:S16"/>
    <mergeCell ref="Q17:S17"/>
    <mergeCell ref="F2:F3"/>
    <mergeCell ref="B18:C18"/>
    <mergeCell ref="H7:J7"/>
    <mergeCell ref="H8:J8"/>
    <mergeCell ref="H9:J9"/>
    <mergeCell ref="H10:J10"/>
    <mergeCell ref="H11:J11"/>
    <mergeCell ref="H18:J18"/>
    <mergeCell ref="H12:J12"/>
    <mergeCell ref="H13:J13"/>
    <mergeCell ref="H14:J14"/>
    <mergeCell ref="H15:J15"/>
    <mergeCell ref="H16:J16"/>
    <mergeCell ref="H17:J17"/>
    <mergeCell ref="Z7:AB7"/>
    <mergeCell ref="AC7:AE7"/>
    <mergeCell ref="AF7:AH7"/>
    <mergeCell ref="K8:M8"/>
    <mergeCell ref="K9:M9"/>
    <mergeCell ref="K10:M10"/>
    <mergeCell ref="T8:V8"/>
    <mergeCell ref="T9:V9"/>
    <mergeCell ref="T10:V10"/>
    <mergeCell ref="Q8:S8"/>
    <mergeCell ref="Q9:S9"/>
    <mergeCell ref="Q10:S10"/>
    <mergeCell ref="K7:M7"/>
    <mergeCell ref="N7:P7"/>
    <mergeCell ref="Q7:S7"/>
    <mergeCell ref="T7:V7"/>
    <mergeCell ref="W7:Y7"/>
    <mergeCell ref="K18:M18"/>
    <mergeCell ref="N8:P8"/>
    <mergeCell ref="N9:P9"/>
    <mergeCell ref="N10:P10"/>
    <mergeCell ref="N11:P11"/>
    <mergeCell ref="N12:P12"/>
    <mergeCell ref="N13:P13"/>
    <mergeCell ref="K11:M11"/>
    <mergeCell ref="K12:M12"/>
    <mergeCell ref="K13:M13"/>
    <mergeCell ref="K14:M14"/>
    <mergeCell ref="Q18:S18"/>
    <mergeCell ref="N14:P14"/>
    <mergeCell ref="N15:P15"/>
    <mergeCell ref="N16:P16"/>
    <mergeCell ref="N17:P17"/>
    <mergeCell ref="N18:P18"/>
    <mergeCell ref="T17:V17"/>
    <mergeCell ref="T18:V18"/>
    <mergeCell ref="W8:Y8"/>
    <mergeCell ref="W9:Y9"/>
    <mergeCell ref="W10:Y10"/>
    <mergeCell ref="W11:Y11"/>
    <mergeCell ref="W12:Y12"/>
    <mergeCell ref="W13:Y13"/>
    <mergeCell ref="W14:Y14"/>
    <mergeCell ref="W15:Y15"/>
    <mergeCell ref="T11:V11"/>
    <mergeCell ref="T12:V12"/>
    <mergeCell ref="T13:V13"/>
    <mergeCell ref="T14:V14"/>
    <mergeCell ref="T15:V15"/>
    <mergeCell ref="T16:V16"/>
    <mergeCell ref="Z18:AB18"/>
    <mergeCell ref="AC8:AE8"/>
    <mergeCell ref="AC9:AE9"/>
    <mergeCell ref="AC10:AE10"/>
    <mergeCell ref="AC11:AE11"/>
    <mergeCell ref="AC12:AE12"/>
    <mergeCell ref="AC13:AE13"/>
    <mergeCell ref="W16:Y16"/>
    <mergeCell ref="W17:Y17"/>
    <mergeCell ref="W18:Y18"/>
    <mergeCell ref="Z8:AB8"/>
    <mergeCell ref="Z9:AB9"/>
    <mergeCell ref="Z10:AB10"/>
    <mergeCell ref="Z11:AB11"/>
    <mergeCell ref="Z12:AB12"/>
    <mergeCell ref="Z13:AB13"/>
    <mergeCell ref="Z14:AB14"/>
    <mergeCell ref="A16:A18"/>
    <mergeCell ref="A13:A15"/>
    <mergeCell ref="A10:A12"/>
    <mergeCell ref="A7:A9"/>
    <mergeCell ref="B1:J1"/>
    <mergeCell ref="AF13:AH13"/>
    <mergeCell ref="AF14:AH14"/>
    <mergeCell ref="AF15:AH15"/>
    <mergeCell ref="AF16:AH16"/>
    <mergeCell ref="AF17:AH17"/>
    <mergeCell ref="AF18:AH18"/>
    <mergeCell ref="AC14:AE14"/>
    <mergeCell ref="AC15:AE15"/>
    <mergeCell ref="AC16:AE16"/>
    <mergeCell ref="AC17:AE17"/>
    <mergeCell ref="AC18:AE18"/>
    <mergeCell ref="AF8:AH8"/>
    <mergeCell ref="AF9:AH9"/>
    <mergeCell ref="AF10:AH10"/>
    <mergeCell ref="AF11:AH11"/>
    <mergeCell ref="AF12:AH12"/>
    <mergeCell ref="Z15:AB15"/>
    <mergeCell ref="Z16:AB16"/>
    <mergeCell ref="Z17:AB17"/>
  </mergeCells>
  <phoneticPr fontId="5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7852-A54D-427D-B4B7-DB07361D2DB2}">
  <dimension ref="B3:S14"/>
  <sheetViews>
    <sheetView workbookViewId="0">
      <selection activeCell="B10" sqref="B10:G14"/>
    </sheetView>
  </sheetViews>
  <sheetFormatPr baseColWidth="10" defaultRowHeight="15" x14ac:dyDescent="0.25"/>
  <sheetData>
    <row r="3" spans="2:19" x14ac:dyDescent="0.25">
      <c r="B3" t="s">
        <v>237</v>
      </c>
      <c r="C3">
        <v>2001</v>
      </c>
      <c r="D3">
        <v>2002</v>
      </c>
      <c r="E3">
        <v>2003</v>
      </c>
      <c r="F3">
        <v>2004</v>
      </c>
    </row>
    <row r="4" spans="2:19" x14ac:dyDescent="0.25">
      <c r="B4">
        <v>12724672</v>
      </c>
      <c r="C4">
        <v>12835494.162200637</v>
      </c>
      <c r="D4">
        <v>12947281.500685174</v>
      </c>
      <c r="E4">
        <v>13060042.421400947</v>
      </c>
      <c r="F4">
        <v>13173785.403504666</v>
      </c>
      <c r="I4">
        <f>ROUND(B4,0)</f>
        <v>12724672</v>
      </c>
      <c r="J4">
        <f t="shared" ref="J4:O4" si="0">ROUND(C4,0)</f>
        <v>12835494</v>
      </c>
      <c r="K4">
        <f t="shared" si="0"/>
        <v>12947282</v>
      </c>
      <c r="L4">
        <f t="shared" si="0"/>
        <v>13060042</v>
      </c>
      <c r="M4">
        <f t="shared" si="0"/>
        <v>13173785</v>
      </c>
      <c r="N4">
        <f>ROUND(G11,0)</f>
        <v>13288519</v>
      </c>
      <c r="O4">
        <f t="shared" si="0"/>
        <v>0</v>
      </c>
    </row>
    <row r="5" spans="2:19" x14ac:dyDescent="0.25">
      <c r="B5">
        <v>442758</v>
      </c>
      <c r="C5">
        <v>444756.87018316955</v>
      </c>
      <c r="D5">
        <v>446764.76444271754</v>
      </c>
      <c r="E5">
        <v>448781.72351863555</v>
      </c>
      <c r="F5">
        <v>450807.78833483951</v>
      </c>
      <c r="I5">
        <f t="shared" ref="I5:I7" si="1">ROUND(B5,0)</f>
        <v>442758</v>
      </c>
      <c r="J5">
        <f t="shared" ref="J5:J7" si="2">ROUND(C5,0)</f>
        <v>444757</v>
      </c>
      <c r="K5">
        <f t="shared" ref="K5:K7" si="3">ROUND(D5,0)</f>
        <v>446765</v>
      </c>
      <c r="L5">
        <f t="shared" ref="L5:L7" si="4">ROUND(E5,0)</f>
        <v>448782</v>
      </c>
      <c r="M5">
        <f t="shared" ref="M5:M7" si="5">ROUND(F5,0)</f>
        <v>450808</v>
      </c>
      <c r="N5">
        <f>ROUND(G12,0)</f>
        <v>452843</v>
      </c>
      <c r="O5">
        <f t="shared" ref="O5:O7" si="6">ROUND(H5,0)</f>
        <v>0</v>
      </c>
    </row>
    <row r="6" spans="2:19" x14ac:dyDescent="0.25">
      <c r="B6">
        <v>45384</v>
      </c>
      <c r="C6">
        <v>44704.558527478097</v>
      </c>
      <c r="D6">
        <v>44035.288937438629</v>
      </c>
      <c r="E6">
        <v>43376.038947164947</v>
      </c>
      <c r="F6">
        <v>42726.658553756941</v>
      </c>
      <c r="I6">
        <f t="shared" si="1"/>
        <v>45384</v>
      </c>
      <c r="J6">
        <f t="shared" si="2"/>
        <v>44705</v>
      </c>
      <c r="K6">
        <f t="shared" si="3"/>
        <v>44035</v>
      </c>
      <c r="L6">
        <f t="shared" si="4"/>
        <v>43376</v>
      </c>
      <c r="M6">
        <f t="shared" si="5"/>
        <v>42727</v>
      </c>
      <c r="N6">
        <f>ROUND(G13,0)</f>
        <v>42087</v>
      </c>
      <c r="O6">
        <f t="shared" si="6"/>
        <v>0</v>
      </c>
    </row>
    <row r="7" spans="2:19" x14ac:dyDescent="0.25">
      <c r="B7">
        <v>398303</v>
      </c>
      <c r="C7">
        <v>408550.01679291064</v>
      </c>
      <c r="D7">
        <v>419060.65538418631</v>
      </c>
      <c r="E7">
        <v>429841.69788943959</v>
      </c>
      <c r="F7">
        <v>440900.10090565163</v>
      </c>
      <c r="I7">
        <f t="shared" si="1"/>
        <v>398303</v>
      </c>
      <c r="J7">
        <f t="shared" si="2"/>
        <v>408550</v>
      </c>
      <c r="K7">
        <f t="shared" si="3"/>
        <v>419061</v>
      </c>
      <c r="L7">
        <f t="shared" si="4"/>
        <v>429842</v>
      </c>
      <c r="M7">
        <f t="shared" si="5"/>
        <v>440900</v>
      </c>
      <c r="N7">
        <f>ROUND(G14,0)</f>
        <v>452243</v>
      </c>
      <c r="O7">
        <f t="shared" si="6"/>
        <v>0</v>
      </c>
    </row>
    <row r="10" spans="2:19" x14ac:dyDescent="0.25">
      <c r="B10" s="111" t="s">
        <v>237</v>
      </c>
      <c r="C10" s="111" t="s">
        <v>238</v>
      </c>
      <c r="D10" s="111" t="s">
        <v>239</v>
      </c>
      <c r="E10" s="111" t="s">
        <v>240</v>
      </c>
      <c r="F10" s="111" t="s">
        <v>241</v>
      </c>
      <c r="G10" s="111" t="s">
        <v>242</v>
      </c>
      <c r="O10" t="s">
        <v>107</v>
      </c>
      <c r="P10">
        <v>2005</v>
      </c>
      <c r="Q10">
        <v>2005</v>
      </c>
      <c r="R10" t="s">
        <v>107</v>
      </c>
      <c r="S10">
        <v>2006</v>
      </c>
    </row>
    <row r="11" spans="2:19" x14ac:dyDescent="0.25">
      <c r="B11" s="111">
        <v>12816957</v>
      </c>
      <c r="C11" s="111">
        <v>12909911</v>
      </c>
      <c r="D11" s="111">
        <v>13003540</v>
      </c>
      <c r="E11" s="111">
        <v>13097847</v>
      </c>
      <c r="F11" s="111">
        <v>13192839</v>
      </c>
      <c r="G11" s="111">
        <v>13288519</v>
      </c>
      <c r="I11">
        <f>ROUND(B11,0)</f>
        <v>12816957</v>
      </c>
      <c r="J11">
        <f t="shared" ref="J11:N11" si="7">ROUND(C11,0)</f>
        <v>12909911</v>
      </c>
      <c r="K11">
        <f t="shared" si="7"/>
        <v>13003540</v>
      </c>
      <c r="L11">
        <f t="shared" si="7"/>
        <v>13097847</v>
      </c>
      <c r="M11">
        <f t="shared" si="7"/>
        <v>13192839</v>
      </c>
      <c r="N11">
        <f t="shared" si="7"/>
        <v>13288519</v>
      </c>
      <c r="Q11">
        <v>13288519.000000011</v>
      </c>
    </row>
    <row r="12" spans="2:19" x14ac:dyDescent="0.25">
      <c r="B12" s="111">
        <v>444423</v>
      </c>
      <c r="C12" s="111">
        <v>446094</v>
      </c>
      <c r="D12" s="111">
        <v>447772</v>
      </c>
      <c r="E12" s="111">
        <v>449456</v>
      </c>
      <c r="F12" s="111">
        <v>451146</v>
      </c>
      <c r="G12" s="111">
        <v>452843</v>
      </c>
      <c r="I12">
        <f t="shared" ref="I12:I14" si="8">ROUND(B12,0)</f>
        <v>444423</v>
      </c>
      <c r="J12">
        <f t="shared" ref="J12:J14" si="9">ROUND(C12,0)</f>
        <v>446094</v>
      </c>
      <c r="K12">
        <f t="shared" ref="K12:K14" si="10">ROUND(D12,0)</f>
        <v>447772</v>
      </c>
      <c r="L12">
        <f t="shared" ref="L12:L14" si="11">ROUND(E12,0)</f>
        <v>449456</v>
      </c>
      <c r="M12">
        <f t="shared" ref="M12:M14" si="12">ROUND(F12,0)</f>
        <v>451146</v>
      </c>
      <c r="N12">
        <f t="shared" ref="N12:N14" si="13">ROUND(G12,0)</f>
        <v>452843</v>
      </c>
      <c r="Q12">
        <v>452842.99999999977</v>
      </c>
    </row>
    <row r="13" spans="2:19" x14ac:dyDescent="0.25">
      <c r="B13" s="111">
        <v>44817</v>
      </c>
      <c r="C13" s="111">
        <v>44257</v>
      </c>
      <c r="D13" s="111">
        <v>43704</v>
      </c>
      <c r="E13" s="111">
        <v>43158</v>
      </c>
      <c r="F13" s="111">
        <v>42619</v>
      </c>
      <c r="G13" s="111">
        <v>42087</v>
      </c>
      <c r="I13">
        <f t="shared" si="8"/>
        <v>44817</v>
      </c>
      <c r="J13">
        <f t="shared" si="9"/>
        <v>44257</v>
      </c>
      <c r="K13">
        <f t="shared" si="10"/>
        <v>43704</v>
      </c>
      <c r="L13">
        <f t="shared" si="11"/>
        <v>43158</v>
      </c>
      <c r="M13">
        <f t="shared" si="12"/>
        <v>42619</v>
      </c>
      <c r="N13">
        <f t="shared" si="13"/>
        <v>42087</v>
      </c>
      <c r="Q13">
        <v>42086.999999999993</v>
      </c>
    </row>
    <row r="14" spans="2:19" x14ac:dyDescent="0.25">
      <c r="B14" s="111">
        <v>406824</v>
      </c>
      <c r="C14" s="111">
        <v>415527</v>
      </c>
      <c r="D14" s="111">
        <v>424417</v>
      </c>
      <c r="E14" s="111">
        <v>433497</v>
      </c>
      <c r="F14" s="111">
        <v>442771</v>
      </c>
      <c r="G14" s="111">
        <v>452243</v>
      </c>
      <c r="I14">
        <f t="shared" si="8"/>
        <v>406824</v>
      </c>
      <c r="J14">
        <f t="shared" si="9"/>
        <v>415527</v>
      </c>
      <c r="K14">
        <f t="shared" si="10"/>
        <v>424417</v>
      </c>
      <c r="L14">
        <f t="shared" si="11"/>
        <v>433497</v>
      </c>
      <c r="M14">
        <f t="shared" si="12"/>
        <v>442771</v>
      </c>
      <c r="N14">
        <f t="shared" si="13"/>
        <v>452243</v>
      </c>
      <c r="Q14">
        <v>452242.99999999994</v>
      </c>
    </row>
  </sheetData>
  <phoneticPr fontId="5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67"/>
  <sheetViews>
    <sheetView topLeftCell="A82" workbookViewId="0">
      <selection sqref="A1:XFD1048576"/>
    </sheetView>
  </sheetViews>
  <sheetFormatPr baseColWidth="10" defaultRowHeight="15" x14ac:dyDescent="0.25"/>
  <sheetData>
    <row r="1" spans="2:19" ht="15.75" thickBot="1" x14ac:dyDescent="0.3">
      <c r="B1" s="134" t="s">
        <v>143</v>
      </c>
    </row>
    <row r="2" spans="2:19" ht="15.75" thickBot="1" x14ac:dyDescent="0.3">
      <c r="B2" s="301" t="s">
        <v>113</v>
      </c>
      <c r="C2" s="301" t="s">
        <v>114</v>
      </c>
      <c r="D2" s="301" t="s">
        <v>115</v>
      </c>
      <c r="E2" s="303" t="s">
        <v>116</v>
      </c>
      <c r="F2" s="304"/>
      <c r="G2" s="304"/>
      <c r="H2" s="304"/>
      <c r="I2" s="304"/>
      <c r="J2" s="304"/>
      <c r="K2" s="304"/>
      <c r="L2" s="304"/>
      <c r="M2" s="305"/>
      <c r="N2" s="306" t="s">
        <v>117</v>
      </c>
      <c r="O2" s="307"/>
      <c r="P2" s="303" t="s">
        <v>118</v>
      </c>
      <c r="Q2" s="305"/>
      <c r="R2" s="303" t="s">
        <v>119</v>
      </c>
      <c r="S2" s="305"/>
    </row>
    <row r="3" spans="2:19" ht="16.5" thickBot="1" x14ac:dyDescent="0.3">
      <c r="B3" s="302"/>
      <c r="C3" s="302"/>
      <c r="D3" s="302"/>
      <c r="E3" s="119" t="s">
        <v>120</v>
      </c>
      <c r="F3" s="119" t="s">
        <v>121</v>
      </c>
      <c r="G3" s="119" t="s">
        <v>122</v>
      </c>
      <c r="H3" s="119" t="s">
        <v>123</v>
      </c>
      <c r="I3" s="119" t="s">
        <v>124</v>
      </c>
      <c r="J3" s="119" t="s">
        <v>125</v>
      </c>
      <c r="K3" s="119" t="s">
        <v>126</v>
      </c>
      <c r="L3" s="119" t="s">
        <v>127</v>
      </c>
      <c r="M3" s="314"/>
      <c r="N3" s="315"/>
      <c r="O3" s="314"/>
      <c r="P3" s="315"/>
      <c r="Q3" s="314"/>
      <c r="R3" s="315"/>
      <c r="S3" s="120"/>
    </row>
    <row r="4" spans="2:19" ht="16.5" thickBot="1" x14ac:dyDescent="0.3">
      <c r="B4" s="292" t="s">
        <v>3</v>
      </c>
      <c r="C4" s="121" t="s">
        <v>128</v>
      </c>
      <c r="D4" s="122"/>
      <c r="E4" s="123">
        <v>897</v>
      </c>
      <c r="F4" s="123">
        <v>691</v>
      </c>
      <c r="G4" s="124">
        <v>1712</v>
      </c>
      <c r="H4" s="123">
        <v>159</v>
      </c>
      <c r="I4" s="123">
        <v>96</v>
      </c>
      <c r="J4" s="123">
        <v>23</v>
      </c>
      <c r="K4" s="123">
        <v>22</v>
      </c>
      <c r="L4" s="123">
        <v>592</v>
      </c>
      <c r="M4" s="295">
        <v>4192</v>
      </c>
      <c r="N4" s="296"/>
      <c r="O4" s="295">
        <v>4058</v>
      </c>
      <c r="P4" s="296"/>
      <c r="Q4" s="297">
        <v>8250</v>
      </c>
      <c r="R4" s="298"/>
      <c r="S4" s="120"/>
    </row>
    <row r="5" spans="2:19" ht="16.5" thickBot="1" x14ac:dyDescent="0.3">
      <c r="B5" s="293"/>
      <c r="C5" s="125" t="s">
        <v>10</v>
      </c>
      <c r="D5" s="119"/>
      <c r="E5" s="126">
        <v>10204</v>
      </c>
      <c r="F5" s="126">
        <v>11521</v>
      </c>
      <c r="G5" s="126">
        <v>21329</v>
      </c>
      <c r="H5" s="126">
        <v>2844</v>
      </c>
      <c r="I5" s="126">
        <v>1615</v>
      </c>
      <c r="J5" s="127">
        <v>330</v>
      </c>
      <c r="K5" s="127">
        <v>169</v>
      </c>
      <c r="L5" s="126">
        <v>4080</v>
      </c>
      <c r="M5" s="299">
        <v>52092</v>
      </c>
      <c r="N5" s="300"/>
      <c r="O5" s="299">
        <v>7895</v>
      </c>
      <c r="P5" s="300"/>
      <c r="Q5" s="308">
        <v>59987</v>
      </c>
      <c r="R5" s="309"/>
      <c r="S5" s="120"/>
    </row>
    <row r="6" spans="2:19" ht="16.5" thickBot="1" x14ac:dyDescent="0.3">
      <c r="B6" s="293"/>
      <c r="C6" s="121" t="s">
        <v>11</v>
      </c>
      <c r="D6" s="122"/>
      <c r="E6" s="124">
        <v>6015</v>
      </c>
      <c r="F6" s="124">
        <v>4775</v>
      </c>
      <c r="G6" s="124">
        <v>11487</v>
      </c>
      <c r="H6" s="124">
        <v>1600</v>
      </c>
      <c r="I6" s="123">
        <v>967</v>
      </c>
      <c r="J6" s="123">
        <v>219</v>
      </c>
      <c r="K6" s="123">
        <v>66</v>
      </c>
      <c r="L6" s="124">
        <v>2406</v>
      </c>
      <c r="M6" s="295">
        <v>27535</v>
      </c>
      <c r="N6" s="296"/>
      <c r="O6" s="295">
        <v>5252</v>
      </c>
      <c r="P6" s="296"/>
      <c r="Q6" s="297">
        <v>32787</v>
      </c>
      <c r="R6" s="298"/>
      <c r="S6" s="120"/>
    </row>
    <row r="7" spans="2:19" ht="16.5" thickBot="1" x14ac:dyDescent="0.3">
      <c r="B7" s="294"/>
      <c r="C7" s="125" t="s">
        <v>129</v>
      </c>
      <c r="D7" s="119"/>
      <c r="E7" s="128">
        <v>17116</v>
      </c>
      <c r="F7" s="128">
        <v>16987</v>
      </c>
      <c r="G7" s="128">
        <v>34528</v>
      </c>
      <c r="H7" s="128">
        <v>4603</v>
      </c>
      <c r="I7" s="128">
        <v>2678</v>
      </c>
      <c r="J7" s="129">
        <v>572</v>
      </c>
      <c r="K7" s="129">
        <v>257</v>
      </c>
      <c r="L7" s="128">
        <v>7078</v>
      </c>
      <c r="M7" s="310">
        <v>83819</v>
      </c>
      <c r="N7" s="311"/>
      <c r="O7" s="310">
        <v>17205</v>
      </c>
      <c r="P7" s="311"/>
      <c r="Q7" s="312">
        <v>101024</v>
      </c>
      <c r="R7" s="313"/>
      <c r="S7" s="120"/>
    </row>
    <row r="8" spans="2:19" ht="16.5" thickBot="1" x14ac:dyDescent="0.3">
      <c r="B8" s="316" t="s">
        <v>130</v>
      </c>
      <c r="C8" s="121" t="s">
        <v>128</v>
      </c>
      <c r="D8" s="122"/>
      <c r="E8" s="124">
        <v>2825</v>
      </c>
      <c r="F8" s="124">
        <v>2297</v>
      </c>
      <c r="G8" s="124">
        <v>5240</v>
      </c>
      <c r="H8" s="123">
        <v>482</v>
      </c>
      <c r="I8" s="123">
        <v>285</v>
      </c>
      <c r="J8" s="123">
        <v>74</v>
      </c>
      <c r="K8" s="123">
        <v>57</v>
      </c>
      <c r="L8" s="124">
        <v>1782</v>
      </c>
      <c r="M8" s="295">
        <v>13042</v>
      </c>
      <c r="N8" s="296"/>
      <c r="O8" s="295">
        <v>11787</v>
      </c>
      <c r="P8" s="296"/>
      <c r="Q8" s="297">
        <v>24829</v>
      </c>
      <c r="R8" s="298"/>
      <c r="S8" s="120"/>
    </row>
    <row r="9" spans="2:19" ht="16.5" thickBot="1" x14ac:dyDescent="0.3">
      <c r="B9" s="317"/>
      <c r="C9" s="125" t="s">
        <v>10</v>
      </c>
      <c r="D9" s="119"/>
      <c r="E9" s="126">
        <v>77368</v>
      </c>
      <c r="F9" s="126">
        <v>103050</v>
      </c>
      <c r="G9" s="126">
        <v>158480</v>
      </c>
      <c r="H9" s="126">
        <v>20964</v>
      </c>
      <c r="I9" s="126">
        <v>11339</v>
      </c>
      <c r="J9" s="126">
        <v>2773</v>
      </c>
      <c r="K9" s="126">
        <v>1240</v>
      </c>
      <c r="L9" s="126">
        <v>27613</v>
      </c>
      <c r="M9" s="299">
        <v>402827</v>
      </c>
      <c r="N9" s="300"/>
      <c r="O9" s="299">
        <v>54260</v>
      </c>
      <c r="P9" s="300"/>
      <c r="Q9" s="308">
        <v>457087</v>
      </c>
      <c r="R9" s="309"/>
      <c r="S9" s="120"/>
    </row>
    <row r="10" spans="2:19" ht="16.5" thickBot="1" x14ac:dyDescent="0.3">
      <c r="B10" s="317"/>
      <c r="C10" s="121" t="s">
        <v>11</v>
      </c>
      <c r="D10" s="122"/>
      <c r="E10" s="124">
        <v>57217</v>
      </c>
      <c r="F10" s="124">
        <v>49914</v>
      </c>
      <c r="G10" s="124">
        <v>103856</v>
      </c>
      <c r="H10" s="124">
        <v>15907</v>
      </c>
      <c r="I10" s="124">
        <v>8068</v>
      </c>
      <c r="J10" s="124">
        <v>2254</v>
      </c>
      <c r="K10" s="123">
        <v>705</v>
      </c>
      <c r="L10" s="124">
        <v>20949</v>
      </c>
      <c r="M10" s="295">
        <v>258870</v>
      </c>
      <c r="N10" s="296"/>
      <c r="O10" s="295">
        <v>68870</v>
      </c>
      <c r="P10" s="296"/>
      <c r="Q10" s="297">
        <v>327740</v>
      </c>
      <c r="R10" s="298"/>
      <c r="S10" s="120"/>
    </row>
    <row r="11" spans="2:19" ht="16.5" thickBot="1" x14ac:dyDescent="0.3">
      <c r="B11" s="318"/>
      <c r="C11" s="125" t="s">
        <v>131</v>
      </c>
      <c r="D11" s="119"/>
      <c r="E11" s="128">
        <v>137410</v>
      </c>
      <c r="F11" s="128">
        <v>155261</v>
      </c>
      <c r="G11" s="128">
        <v>267576</v>
      </c>
      <c r="H11" s="128">
        <v>37353</v>
      </c>
      <c r="I11" s="128">
        <v>19692</v>
      </c>
      <c r="J11" s="128">
        <v>5101</v>
      </c>
      <c r="K11" s="128">
        <v>2002</v>
      </c>
      <c r="L11" s="128">
        <v>50344</v>
      </c>
      <c r="M11" s="310">
        <v>674739</v>
      </c>
      <c r="N11" s="311"/>
      <c r="O11" s="310">
        <v>134917</v>
      </c>
      <c r="P11" s="311"/>
      <c r="Q11" s="312">
        <v>809656</v>
      </c>
      <c r="R11" s="313"/>
      <c r="S11" s="120"/>
    </row>
    <row r="12" spans="2:19" ht="16.5" thickBot="1" x14ac:dyDescent="0.3">
      <c r="B12" s="316" t="s">
        <v>132</v>
      </c>
      <c r="C12" s="319" t="s">
        <v>128</v>
      </c>
      <c r="D12" s="130" t="s">
        <v>133</v>
      </c>
      <c r="E12" s="124">
        <v>42840</v>
      </c>
      <c r="F12" s="124">
        <v>32556</v>
      </c>
      <c r="G12" s="124">
        <v>70631</v>
      </c>
      <c r="H12" s="124">
        <v>5908</v>
      </c>
      <c r="I12" s="124">
        <v>3918</v>
      </c>
      <c r="J12" s="124">
        <v>1190</v>
      </c>
      <c r="K12" s="123">
        <v>566</v>
      </c>
      <c r="L12" s="124">
        <v>23071</v>
      </c>
      <c r="M12" s="295">
        <v>180680</v>
      </c>
      <c r="N12" s="296"/>
      <c r="O12" s="295">
        <v>112345</v>
      </c>
      <c r="P12" s="296"/>
      <c r="Q12" s="297">
        <v>293025</v>
      </c>
      <c r="R12" s="298"/>
      <c r="S12" s="120"/>
    </row>
    <row r="13" spans="2:19" ht="16.5" thickBot="1" x14ac:dyDescent="0.3">
      <c r="B13" s="317"/>
      <c r="C13" s="320"/>
      <c r="D13" s="131" t="s">
        <v>134</v>
      </c>
      <c r="E13" s="126">
        <v>43600</v>
      </c>
      <c r="F13" s="126">
        <v>35501</v>
      </c>
      <c r="G13" s="126">
        <v>76764</v>
      </c>
      <c r="H13" s="126">
        <v>6539</v>
      </c>
      <c r="I13" s="126">
        <v>3850</v>
      </c>
      <c r="J13" s="126">
        <v>1290</v>
      </c>
      <c r="K13" s="127">
        <v>560</v>
      </c>
      <c r="L13" s="126">
        <v>23576</v>
      </c>
      <c r="M13" s="299">
        <v>191680</v>
      </c>
      <c r="N13" s="300"/>
      <c r="O13" s="299">
        <v>117821</v>
      </c>
      <c r="P13" s="300"/>
      <c r="Q13" s="308">
        <v>309501</v>
      </c>
      <c r="R13" s="309"/>
      <c r="S13" s="120"/>
    </row>
    <row r="14" spans="2:19" ht="16.5" thickBot="1" x14ac:dyDescent="0.3">
      <c r="B14" s="317"/>
      <c r="C14" s="321"/>
      <c r="D14" s="130" t="s">
        <v>135</v>
      </c>
      <c r="E14" s="132">
        <v>86440</v>
      </c>
      <c r="F14" s="132">
        <v>68057</v>
      </c>
      <c r="G14" s="132">
        <v>147395</v>
      </c>
      <c r="H14" s="132">
        <v>12447</v>
      </c>
      <c r="I14" s="132">
        <v>7768</v>
      </c>
      <c r="J14" s="132">
        <v>2480</v>
      </c>
      <c r="K14" s="132">
        <v>1126</v>
      </c>
      <c r="L14" s="132">
        <v>46647</v>
      </c>
      <c r="M14" s="322">
        <v>372360</v>
      </c>
      <c r="N14" s="323"/>
      <c r="O14" s="322">
        <v>230166</v>
      </c>
      <c r="P14" s="323"/>
      <c r="Q14" s="324">
        <v>602526</v>
      </c>
      <c r="R14" s="325"/>
      <c r="S14" s="120"/>
    </row>
    <row r="15" spans="2:19" ht="16.5" thickBot="1" x14ac:dyDescent="0.3">
      <c r="B15" s="317"/>
      <c r="C15" s="326" t="s">
        <v>10</v>
      </c>
      <c r="D15" s="131" t="s">
        <v>133</v>
      </c>
      <c r="E15" s="126">
        <v>1688574</v>
      </c>
      <c r="F15" s="126">
        <v>2385375</v>
      </c>
      <c r="G15" s="126">
        <v>3300607</v>
      </c>
      <c r="H15" s="126">
        <v>429939</v>
      </c>
      <c r="I15" s="126">
        <v>232732</v>
      </c>
      <c r="J15" s="126">
        <v>56388</v>
      </c>
      <c r="K15" s="126">
        <v>23624</v>
      </c>
      <c r="L15" s="126">
        <v>549369</v>
      </c>
      <c r="M15" s="299">
        <v>8666608</v>
      </c>
      <c r="N15" s="300"/>
      <c r="O15" s="299">
        <v>1055835</v>
      </c>
      <c r="P15" s="300"/>
      <c r="Q15" s="308">
        <v>9722443</v>
      </c>
      <c r="R15" s="309"/>
      <c r="S15" s="120"/>
    </row>
    <row r="16" spans="2:19" ht="16.5" thickBot="1" x14ac:dyDescent="0.3">
      <c r="B16" s="317"/>
      <c r="C16" s="320"/>
      <c r="D16" s="130" t="s">
        <v>134</v>
      </c>
      <c r="E16" s="124">
        <v>1546421</v>
      </c>
      <c r="F16" s="124">
        <v>2241824</v>
      </c>
      <c r="G16" s="124">
        <v>3029592</v>
      </c>
      <c r="H16" s="124">
        <v>395368</v>
      </c>
      <c r="I16" s="124">
        <v>216655</v>
      </c>
      <c r="J16" s="124">
        <v>52732</v>
      </c>
      <c r="K16" s="124">
        <v>22674</v>
      </c>
      <c r="L16" s="124">
        <v>496829</v>
      </c>
      <c r="M16" s="295">
        <v>8002095</v>
      </c>
      <c r="N16" s="296"/>
      <c r="O16" s="295">
        <v>1064482</v>
      </c>
      <c r="P16" s="296"/>
      <c r="Q16" s="297">
        <v>9066577</v>
      </c>
      <c r="R16" s="298"/>
      <c r="S16" s="120"/>
    </row>
    <row r="17" spans="2:19" ht="16.5" thickBot="1" x14ac:dyDescent="0.3">
      <c r="B17" s="317"/>
      <c r="C17" s="327"/>
      <c r="D17" s="131" t="s">
        <v>135</v>
      </c>
      <c r="E17" s="128">
        <v>3234995</v>
      </c>
      <c r="F17" s="128">
        <v>4627199</v>
      </c>
      <c r="G17" s="128">
        <v>6330199</v>
      </c>
      <c r="H17" s="128">
        <v>825307</v>
      </c>
      <c r="I17" s="128">
        <v>449387</v>
      </c>
      <c r="J17" s="128">
        <v>109120</v>
      </c>
      <c r="K17" s="128">
        <v>46298</v>
      </c>
      <c r="L17" s="128">
        <v>1046198</v>
      </c>
      <c r="M17" s="310">
        <v>16668703</v>
      </c>
      <c r="N17" s="311"/>
      <c r="O17" s="310">
        <v>2120317</v>
      </c>
      <c r="P17" s="311"/>
      <c r="Q17" s="312">
        <v>18789020</v>
      </c>
      <c r="R17" s="313"/>
      <c r="S17" s="120"/>
    </row>
    <row r="18" spans="2:19" ht="16.5" thickBot="1" x14ac:dyDescent="0.3">
      <c r="B18" s="317"/>
      <c r="C18" s="319" t="s">
        <v>11</v>
      </c>
      <c r="D18" s="130" t="s">
        <v>133</v>
      </c>
      <c r="E18" s="124">
        <v>765319</v>
      </c>
      <c r="F18" s="124">
        <v>704464</v>
      </c>
      <c r="G18" s="124">
        <v>1250744</v>
      </c>
      <c r="H18" s="124">
        <v>171242</v>
      </c>
      <c r="I18" s="124">
        <v>102248</v>
      </c>
      <c r="J18" s="124">
        <v>29087</v>
      </c>
      <c r="K18" s="124">
        <v>8338</v>
      </c>
      <c r="L18" s="124">
        <v>252025</v>
      </c>
      <c r="M18" s="295">
        <v>3283467</v>
      </c>
      <c r="N18" s="296"/>
      <c r="O18" s="295">
        <v>573739</v>
      </c>
      <c r="P18" s="296"/>
      <c r="Q18" s="297">
        <v>3857206</v>
      </c>
      <c r="R18" s="298"/>
      <c r="S18" s="120"/>
    </row>
    <row r="19" spans="2:19" ht="16.5" thickBot="1" x14ac:dyDescent="0.3">
      <c r="B19" s="317"/>
      <c r="C19" s="320"/>
      <c r="D19" s="131" t="s">
        <v>134</v>
      </c>
      <c r="E19" s="126">
        <v>512806</v>
      </c>
      <c r="F19" s="126">
        <v>574983</v>
      </c>
      <c r="G19" s="126">
        <v>912446</v>
      </c>
      <c r="H19" s="126">
        <v>122627</v>
      </c>
      <c r="I19" s="126">
        <v>68622</v>
      </c>
      <c r="J19" s="126">
        <v>24623</v>
      </c>
      <c r="K19" s="126">
        <v>7885</v>
      </c>
      <c r="L19" s="126">
        <v>188032</v>
      </c>
      <c r="M19" s="299">
        <v>2412024</v>
      </c>
      <c r="N19" s="300"/>
      <c r="O19" s="299">
        <v>535999</v>
      </c>
      <c r="P19" s="300"/>
      <c r="Q19" s="308">
        <v>2948023</v>
      </c>
      <c r="R19" s="309"/>
      <c r="S19" s="120"/>
    </row>
    <row r="20" spans="2:19" ht="16.5" thickBot="1" x14ac:dyDescent="0.3">
      <c r="B20" s="317"/>
      <c r="C20" s="321"/>
      <c r="D20" s="130" t="s">
        <v>135</v>
      </c>
      <c r="E20" s="132">
        <v>1278125</v>
      </c>
      <c r="F20" s="132">
        <v>1279447</v>
      </c>
      <c r="G20" s="132">
        <v>2163190</v>
      </c>
      <c r="H20" s="132">
        <v>293869</v>
      </c>
      <c r="I20" s="132">
        <v>170870</v>
      </c>
      <c r="J20" s="132">
        <v>53710</v>
      </c>
      <c r="K20" s="132">
        <v>16223</v>
      </c>
      <c r="L20" s="132">
        <v>440057</v>
      </c>
      <c r="M20" s="322">
        <v>5695491</v>
      </c>
      <c r="N20" s="323"/>
      <c r="O20" s="322">
        <v>1109738</v>
      </c>
      <c r="P20" s="323"/>
      <c r="Q20" s="324">
        <v>6805229</v>
      </c>
      <c r="R20" s="325"/>
      <c r="S20" s="120"/>
    </row>
    <row r="21" spans="2:19" ht="16.5" thickBot="1" x14ac:dyDescent="0.3">
      <c r="B21" s="317"/>
      <c r="C21" s="328" t="s">
        <v>136</v>
      </c>
      <c r="D21" s="329"/>
      <c r="E21" s="126">
        <v>2496733</v>
      </c>
      <c r="F21" s="126">
        <v>3122395</v>
      </c>
      <c r="G21" s="126">
        <v>4621982</v>
      </c>
      <c r="H21" s="126">
        <v>607089</v>
      </c>
      <c r="I21" s="126">
        <v>338898</v>
      </c>
      <c r="J21" s="126">
        <v>86665</v>
      </c>
      <c r="K21" s="126">
        <v>32528</v>
      </c>
      <c r="L21" s="126">
        <v>824465</v>
      </c>
      <c r="M21" s="299">
        <v>12130755</v>
      </c>
      <c r="N21" s="300"/>
      <c r="O21" s="299">
        <v>1741919</v>
      </c>
      <c r="P21" s="300"/>
      <c r="Q21" s="308">
        <v>13872674</v>
      </c>
      <c r="R21" s="309"/>
      <c r="S21" s="120"/>
    </row>
    <row r="22" spans="2:19" ht="16.5" thickBot="1" x14ac:dyDescent="0.3">
      <c r="B22" s="317"/>
      <c r="C22" s="330" t="s">
        <v>137</v>
      </c>
      <c r="D22" s="331"/>
      <c r="E22" s="124">
        <v>2102827</v>
      </c>
      <c r="F22" s="124">
        <v>2852308</v>
      </c>
      <c r="G22" s="124">
        <v>4018802</v>
      </c>
      <c r="H22" s="124">
        <v>524534</v>
      </c>
      <c r="I22" s="124">
        <v>289127</v>
      </c>
      <c r="J22" s="124">
        <v>78645</v>
      </c>
      <c r="K22" s="124">
        <v>31119</v>
      </c>
      <c r="L22" s="124">
        <v>708437</v>
      </c>
      <c r="M22" s="295">
        <v>10605799</v>
      </c>
      <c r="N22" s="296"/>
      <c r="O22" s="295">
        <v>1718302</v>
      </c>
      <c r="P22" s="296"/>
      <c r="Q22" s="297">
        <v>12324101</v>
      </c>
      <c r="R22" s="298"/>
      <c r="S22" s="120"/>
    </row>
    <row r="23" spans="2:19" ht="16.5" thickBot="1" x14ac:dyDescent="0.3">
      <c r="B23" s="318"/>
      <c r="C23" s="328" t="s">
        <v>119</v>
      </c>
      <c r="D23" s="329"/>
      <c r="E23" s="128">
        <v>4599560</v>
      </c>
      <c r="F23" s="128">
        <v>5974703</v>
      </c>
      <c r="G23" s="128">
        <v>8640784</v>
      </c>
      <c r="H23" s="128">
        <v>1131623</v>
      </c>
      <c r="I23" s="128">
        <v>628025</v>
      </c>
      <c r="J23" s="128">
        <v>165310</v>
      </c>
      <c r="K23" s="128">
        <v>63647</v>
      </c>
      <c r="L23" s="128">
        <v>1532902</v>
      </c>
      <c r="M23" s="310">
        <v>22736554</v>
      </c>
      <c r="N23" s="311"/>
      <c r="O23" s="310">
        <v>3460221</v>
      </c>
      <c r="P23" s="311"/>
      <c r="Q23" s="312">
        <v>26196775</v>
      </c>
      <c r="R23" s="313"/>
      <c r="S23" s="120"/>
    </row>
    <row r="24" spans="2:19" ht="16.5" thickBot="1" x14ac:dyDescent="0.3">
      <c r="B24" s="316" t="s">
        <v>138</v>
      </c>
      <c r="C24" s="319" t="s">
        <v>128</v>
      </c>
      <c r="D24" s="130" t="s">
        <v>139</v>
      </c>
      <c r="E24" s="123">
        <v>196</v>
      </c>
      <c r="F24" s="123">
        <v>67</v>
      </c>
      <c r="G24" s="123">
        <v>209</v>
      </c>
      <c r="H24" s="123">
        <v>20</v>
      </c>
      <c r="I24" s="123">
        <v>9</v>
      </c>
      <c r="J24" s="123">
        <v>3</v>
      </c>
      <c r="K24" s="123">
        <v>1</v>
      </c>
      <c r="L24" s="123">
        <v>115</v>
      </c>
      <c r="M24" s="332">
        <v>620</v>
      </c>
      <c r="N24" s="333"/>
      <c r="O24" s="332">
        <v>241</v>
      </c>
      <c r="P24" s="333"/>
      <c r="Q24" s="334">
        <v>861</v>
      </c>
      <c r="R24" s="335"/>
      <c r="S24" s="120"/>
    </row>
    <row r="25" spans="2:19" ht="16.5" thickBot="1" x14ac:dyDescent="0.3">
      <c r="B25" s="317"/>
      <c r="C25" s="320"/>
      <c r="D25" s="131" t="s">
        <v>140</v>
      </c>
      <c r="E25" s="126">
        <v>2535</v>
      </c>
      <c r="F25" s="126">
        <v>2299</v>
      </c>
      <c r="G25" s="126">
        <v>5002</v>
      </c>
      <c r="H25" s="127">
        <v>458</v>
      </c>
      <c r="I25" s="127">
        <v>273</v>
      </c>
      <c r="J25" s="127">
        <v>82</v>
      </c>
      <c r="K25" s="127">
        <v>55</v>
      </c>
      <c r="L25" s="126">
        <v>1616</v>
      </c>
      <c r="M25" s="299">
        <v>12320</v>
      </c>
      <c r="N25" s="300"/>
      <c r="O25" s="299">
        <v>11566</v>
      </c>
      <c r="P25" s="300"/>
      <c r="Q25" s="308">
        <v>23886</v>
      </c>
      <c r="R25" s="309"/>
      <c r="S25" s="120"/>
    </row>
    <row r="26" spans="2:19" ht="16.5" thickBot="1" x14ac:dyDescent="0.3">
      <c r="B26" s="317"/>
      <c r="C26" s="321"/>
      <c r="D26" s="130" t="s">
        <v>135</v>
      </c>
      <c r="E26" s="132">
        <v>2731</v>
      </c>
      <c r="F26" s="132">
        <v>2366</v>
      </c>
      <c r="G26" s="132">
        <v>5211</v>
      </c>
      <c r="H26" s="133">
        <v>478</v>
      </c>
      <c r="I26" s="133">
        <v>282</v>
      </c>
      <c r="J26" s="133">
        <v>85</v>
      </c>
      <c r="K26" s="133">
        <v>56</v>
      </c>
      <c r="L26" s="132">
        <v>1731</v>
      </c>
      <c r="M26" s="322">
        <v>12940</v>
      </c>
      <c r="N26" s="323"/>
      <c r="O26" s="322">
        <v>11807</v>
      </c>
      <c r="P26" s="323"/>
      <c r="Q26" s="324">
        <v>24747</v>
      </c>
      <c r="R26" s="325"/>
      <c r="S26" s="120"/>
    </row>
    <row r="27" spans="2:19" ht="16.5" thickBot="1" x14ac:dyDescent="0.3">
      <c r="B27" s="317"/>
      <c r="C27" s="326" t="s">
        <v>10</v>
      </c>
      <c r="D27" s="131" t="s">
        <v>139</v>
      </c>
      <c r="E27" s="126">
        <v>66193</v>
      </c>
      <c r="F27" s="127">
        <v>762</v>
      </c>
      <c r="G27" s="126">
        <v>7986</v>
      </c>
      <c r="H27" s="126">
        <v>14313</v>
      </c>
      <c r="I27" s="126">
        <v>107565</v>
      </c>
      <c r="J27" s="126">
        <v>1753</v>
      </c>
      <c r="K27" s="126">
        <v>52955</v>
      </c>
      <c r="L27" s="126">
        <v>19715</v>
      </c>
      <c r="M27" s="299">
        <v>271242</v>
      </c>
      <c r="N27" s="300"/>
      <c r="O27" s="299">
        <v>31850</v>
      </c>
      <c r="P27" s="300"/>
      <c r="Q27" s="308">
        <v>303092</v>
      </c>
      <c r="R27" s="309"/>
      <c r="S27" s="120"/>
    </row>
    <row r="28" spans="2:19" ht="16.5" thickBot="1" x14ac:dyDescent="0.3">
      <c r="B28" s="317"/>
      <c r="C28" s="320"/>
      <c r="D28" s="130" t="s">
        <v>140</v>
      </c>
      <c r="E28" s="124">
        <v>35204</v>
      </c>
      <c r="F28" s="123">
        <v>433</v>
      </c>
      <c r="G28" s="124">
        <v>2862</v>
      </c>
      <c r="H28" s="124">
        <v>5945</v>
      </c>
      <c r="I28" s="124">
        <v>46522</v>
      </c>
      <c r="J28" s="123">
        <v>922</v>
      </c>
      <c r="K28" s="124">
        <v>21919</v>
      </c>
      <c r="L28" s="124">
        <v>7477</v>
      </c>
      <c r="M28" s="295">
        <v>121284</v>
      </c>
      <c r="N28" s="296"/>
      <c r="O28" s="295">
        <v>21829</v>
      </c>
      <c r="P28" s="296"/>
      <c r="Q28" s="297">
        <v>143113</v>
      </c>
      <c r="R28" s="298"/>
      <c r="S28" s="120"/>
    </row>
    <row r="29" spans="2:19" ht="16.5" thickBot="1" x14ac:dyDescent="0.3">
      <c r="B29" s="317"/>
      <c r="C29" s="327"/>
      <c r="D29" s="131" t="s">
        <v>135</v>
      </c>
      <c r="E29" s="128">
        <v>101397</v>
      </c>
      <c r="F29" s="128">
        <v>1195</v>
      </c>
      <c r="G29" s="128">
        <v>10848</v>
      </c>
      <c r="H29" s="128">
        <v>20258</v>
      </c>
      <c r="I29" s="128">
        <v>154087</v>
      </c>
      <c r="J29" s="128">
        <v>2675</v>
      </c>
      <c r="K29" s="128">
        <v>74874</v>
      </c>
      <c r="L29" s="128">
        <v>27192</v>
      </c>
      <c r="M29" s="310">
        <v>392526</v>
      </c>
      <c r="N29" s="311"/>
      <c r="O29" s="310">
        <v>53679</v>
      </c>
      <c r="P29" s="311"/>
      <c r="Q29" s="312">
        <v>446205</v>
      </c>
      <c r="R29" s="313"/>
      <c r="S29" s="120"/>
    </row>
    <row r="30" spans="2:19" ht="16.5" thickBot="1" x14ac:dyDescent="0.3">
      <c r="B30" s="317"/>
      <c r="C30" s="319" t="s">
        <v>11</v>
      </c>
      <c r="D30" s="130" t="s">
        <v>139</v>
      </c>
      <c r="E30" s="124">
        <v>64136</v>
      </c>
      <c r="F30" s="123">
        <v>853</v>
      </c>
      <c r="G30" s="124">
        <v>10411</v>
      </c>
      <c r="H30" s="124">
        <v>18949</v>
      </c>
      <c r="I30" s="124">
        <v>135179</v>
      </c>
      <c r="J30" s="124">
        <v>2800</v>
      </c>
      <c r="K30" s="124">
        <v>74767</v>
      </c>
      <c r="L30" s="124">
        <v>26663</v>
      </c>
      <c r="M30" s="295">
        <v>333758</v>
      </c>
      <c r="N30" s="296"/>
      <c r="O30" s="295">
        <v>64367</v>
      </c>
      <c r="P30" s="296"/>
      <c r="Q30" s="297">
        <v>398125</v>
      </c>
      <c r="R30" s="298"/>
      <c r="S30" s="120"/>
    </row>
    <row r="31" spans="2:19" ht="16.5" thickBot="1" x14ac:dyDescent="0.3">
      <c r="B31" s="317"/>
      <c r="C31" s="320"/>
      <c r="D31" s="131" t="s">
        <v>140</v>
      </c>
      <c r="E31" s="126">
        <v>12593</v>
      </c>
      <c r="F31" s="127">
        <v>158</v>
      </c>
      <c r="G31" s="126">
        <v>1727</v>
      </c>
      <c r="H31" s="126">
        <v>3376</v>
      </c>
      <c r="I31" s="126">
        <v>26428</v>
      </c>
      <c r="J31" s="127">
        <v>632</v>
      </c>
      <c r="K31" s="126">
        <v>13243</v>
      </c>
      <c r="L31" s="126">
        <v>6137</v>
      </c>
      <c r="M31" s="299">
        <v>64294</v>
      </c>
      <c r="N31" s="300"/>
      <c r="O31" s="299">
        <v>11805</v>
      </c>
      <c r="P31" s="300"/>
      <c r="Q31" s="308">
        <v>76099</v>
      </c>
      <c r="R31" s="309"/>
      <c r="S31" s="120"/>
    </row>
    <row r="32" spans="2:19" ht="16.5" thickBot="1" x14ac:dyDescent="0.3">
      <c r="B32" s="317"/>
      <c r="C32" s="321"/>
      <c r="D32" s="130" t="s">
        <v>135</v>
      </c>
      <c r="E32" s="132">
        <v>76729</v>
      </c>
      <c r="F32" s="132">
        <v>1011</v>
      </c>
      <c r="G32" s="132">
        <v>12138</v>
      </c>
      <c r="H32" s="132">
        <v>22325</v>
      </c>
      <c r="I32" s="132">
        <v>161607</v>
      </c>
      <c r="J32" s="132">
        <v>3432</v>
      </c>
      <c r="K32" s="132">
        <v>88010</v>
      </c>
      <c r="L32" s="132">
        <v>32800</v>
      </c>
      <c r="M32" s="322">
        <v>398052</v>
      </c>
      <c r="N32" s="323"/>
      <c r="O32" s="322">
        <v>76172</v>
      </c>
      <c r="P32" s="323"/>
      <c r="Q32" s="324">
        <v>474224</v>
      </c>
      <c r="R32" s="325"/>
      <c r="S32" s="120"/>
    </row>
    <row r="33" spans="2:19" ht="16.5" thickBot="1" x14ac:dyDescent="0.3">
      <c r="B33" s="317"/>
      <c r="C33" s="328" t="s">
        <v>141</v>
      </c>
      <c r="D33" s="329"/>
      <c r="E33" s="126">
        <v>130525</v>
      </c>
      <c r="F33" s="126">
        <v>1682</v>
      </c>
      <c r="G33" s="126">
        <v>18606</v>
      </c>
      <c r="H33" s="126">
        <v>33282</v>
      </c>
      <c r="I33" s="126">
        <v>242753</v>
      </c>
      <c r="J33" s="126">
        <v>4556</v>
      </c>
      <c r="K33" s="126">
        <v>127723</v>
      </c>
      <c r="L33" s="126">
        <v>46493</v>
      </c>
      <c r="M33" s="299">
        <v>605620</v>
      </c>
      <c r="N33" s="300"/>
      <c r="O33" s="299">
        <v>96458</v>
      </c>
      <c r="P33" s="300"/>
      <c r="Q33" s="308">
        <v>702078</v>
      </c>
      <c r="R33" s="309"/>
      <c r="S33" s="120"/>
    </row>
    <row r="34" spans="2:19" ht="16.5" thickBot="1" x14ac:dyDescent="0.3">
      <c r="B34" s="317"/>
      <c r="C34" s="330" t="s">
        <v>142</v>
      </c>
      <c r="D34" s="331"/>
      <c r="E34" s="124">
        <v>50332</v>
      </c>
      <c r="F34" s="124">
        <v>2890</v>
      </c>
      <c r="G34" s="124">
        <v>9591</v>
      </c>
      <c r="H34" s="124">
        <v>9779</v>
      </c>
      <c r="I34" s="124">
        <v>73223</v>
      </c>
      <c r="J34" s="124">
        <v>1636</v>
      </c>
      <c r="K34" s="124">
        <v>35217</v>
      </c>
      <c r="L34" s="124">
        <v>15230</v>
      </c>
      <c r="M34" s="295">
        <v>197898</v>
      </c>
      <c r="N34" s="296"/>
      <c r="O34" s="295">
        <v>45200</v>
      </c>
      <c r="P34" s="296"/>
      <c r="Q34" s="297">
        <v>243098</v>
      </c>
      <c r="R34" s="298"/>
      <c r="S34" s="120"/>
    </row>
    <row r="35" spans="2:19" ht="16.5" thickBot="1" x14ac:dyDescent="0.3">
      <c r="B35" s="318"/>
      <c r="C35" s="328" t="s">
        <v>119</v>
      </c>
      <c r="D35" s="329"/>
      <c r="E35" s="128">
        <v>180857</v>
      </c>
      <c r="F35" s="128">
        <v>4572</v>
      </c>
      <c r="G35" s="128">
        <v>28197</v>
      </c>
      <c r="H35" s="128">
        <v>43061</v>
      </c>
      <c r="I35" s="128">
        <v>315976</v>
      </c>
      <c r="J35" s="128">
        <v>6192</v>
      </c>
      <c r="K35" s="128">
        <v>162940</v>
      </c>
      <c r="L35" s="128">
        <v>61723</v>
      </c>
      <c r="M35" s="310">
        <v>803518</v>
      </c>
      <c r="N35" s="311"/>
      <c r="O35" s="310">
        <v>141658</v>
      </c>
      <c r="P35" s="311"/>
      <c r="Q35" s="312">
        <v>945176</v>
      </c>
      <c r="R35" s="313"/>
      <c r="S35" s="120"/>
    </row>
    <row r="39" spans="2:19" ht="15.75" thickBot="1" x14ac:dyDescent="0.3">
      <c r="B39" s="135" t="s">
        <v>144</v>
      </c>
    </row>
    <row r="40" spans="2:19" ht="15.75" thickBot="1" x14ac:dyDescent="0.3">
      <c r="B40" s="352" t="s">
        <v>145</v>
      </c>
      <c r="C40" s="352" t="s">
        <v>114</v>
      </c>
      <c r="D40" s="347" t="s">
        <v>146</v>
      </c>
      <c r="E40" s="354"/>
      <c r="F40" s="354"/>
      <c r="G40" s="354"/>
      <c r="H40" s="354"/>
      <c r="I40" s="354"/>
      <c r="J40" s="354"/>
      <c r="K40" s="354"/>
      <c r="L40" s="355"/>
      <c r="M40" s="356" t="s">
        <v>147</v>
      </c>
      <c r="N40" s="358" t="s">
        <v>118</v>
      </c>
      <c r="O40" s="360" t="s">
        <v>148</v>
      </c>
      <c r="P40" s="345" t="s">
        <v>149</v>
      </c>
      <c r="Q40" s="345" t="s">
        <v>150</v>
      </c>
    </row>
    <row r="41" spans="2:19" ht="15.75" thickBot="1" x14ac:dyDescent="0.3">
      <c r="B41" s="353"/>
      <c r="C41" s="353"/>
      <c r="D41" s="136" t="s">
        <v>120</v>
      </c>
      <c r="E41" s="136" t="s">
        <v>121</v>
      </c>
      <c r="F41" s="136" t="s">
        <v>122</v>
      </c>
      <c r="G41" s="136" t="s">
        <v>123</v>
      </c>
      <c r="H41" s="136" t="s">
        <v>124</v>
      </c>
      <c r="I41" s="347" t="s">
        <v>125</v>
      </c>
      <c r="J41" s="348"/>
      <c r="K41" s="136" t="s">
        <v>126</v>
      </c>
      <c r="L41" s="136" t="s">
        <v>127</v>
      </c>
      <c r="M41" s="357"/>
      <c r="N41" s="359"/>
      <c r="O41" s="361"/>
      <c r="P41" s="346"/>
      <c r="Q41" s="346"/>
    </row>
    <row r="42" spans="2:19" ht="15.75" thickBot="1" x14ac:dyDescent="0.3">
      <c r="B42" s="336" t="s">
        <v>3</v>
      </c>
      <c r="C42" s="137" t="s">
        <v>151</v>
      </c>
      <c r="D42" s="138">
        <v>500</v>
      </c>
      <c r="E42" s="139">
        <v>541</v>
      </c>
      <c r="F42" s="139">
        <v>796</v>
      </c>
      <c r="G42" s="139">
        <v>99</v>
      </c>
      <c r="H42" s="139">
        <v>49</v>
      </c>
      <c r="I42" s="338">
        <v>16</v>
      </c>
      <c r="J42" s="339"/>
      <c r="K42" s="139">
        <v>30</v>
      </c>
      <c r="L42" s="139">
        <v>196</v>
      </c>
      <c r="M42" s="139">
        <v>2227</v>
      </c>
      <c r="N42" s="139">
        <v>3718</v>
      </c>
      <c r="O42" s="140">
        <v>5945</v>
      </c>
      <c r="P42" s="141">
        <v>6.8</v>
      </c>
      <c r="Q42" s="349" t="s">
        <v>152</v>
      </c>
    </row>
    <row r="43" spans="2:19" ht="15.75" thickBot="1" x14ac:dyDescent="0.3">
      <c r="B43" s="320"/>
      <c r="C43" s="137" t="s">
        <v>10</v>
      </c>
      <c r="D43" s="138">
        <v>9027</v>
      </c>
      <c r="E43" s="139">
        <v>11562</v>
      </c>
      <c r="F43" s="139">
        <v>17668</v>
      </c>
      <c r="G43" s="139">
        <v>2661</v>
      </c>
      <c r="H43" s="139">
        <v>1222</v>
      </c>
      <c r="I43" s="338">
        <v>305</v>
      </c>
      <c r="J43" s="339"/>
      <c r="K43" s="139">
        <v>138</v>
      </c>
      <c r="L43" s="139">
        <v>2387</v>
      </c>
      <c r="M43" s="139">
        <v>44970</v>
      </c>
      <c r="N43" s="139">
        <v>8501</v>
      </c>
      <c r="O43" s="140">
        <v>53471</v>
      </c>
      <c r="P43" s="141">
        <v>61</v>
      </c>
      <c r="Q43" s="350"/>
    </row>
    <row r="44" spans="2:19" ht="15.75" thickBot="1" x14ac:dyDescent="0.3">
      <c r="B44" s="320"/>
      <c r="C44" s="137" t="s">
        <v>11</v>
      </c>
      <c r="D44" s="138">
        <v>5148</v>
      </c>
      <c r="E44" s="139">
        <v>4530</v>
      </c>
      <c r="F44" s="139">
        <v>9036</v>
      </c>
      <c r="G44" s="139">
        <v>1365</v>
      </c>
      <c r="H44" s="139">
        <v>701</v>
      </c>
      <c r="I44" s="338">
        <v>185</v>
      </c>
      <c r="J44" s="339"/>
      <c r="K44" s="139">
        <v>52</v>
      </c>
      <c r="L44" s="139">
        <v>1390</v>
      </c>
      <c r="M44" s="139">
        <v>22407</v>
      </c>
      <c r="N44" s="139">
        <v>5833</v>
      </c>
      <c r="O44" s="140">
        <v>28240</v>
      </c>
      <c r="P44" s="141">
        <v>32.200000000000003</v>
      </c>
      <c r="Q44" s="350"/>
    </row>
    <row r="45" spans="2:19" ht="15.75" thickBot="1" x14ac:dyDescent="0.3">
      <c r="B45" s="320"/>
      <c r="C45" s="142" t="s">
        <v>153</v>
      </c>
      <c r="D45" s="138">
        <v>14675</v>
      </c>
      <c r="E45" s="139">
        <v>16633</v>
      </c>
      <c r="F45" s="139">
        <v>27500</v>
      </c>
      <c r="G45" s="139">
        <v>4125</v>
      </c>
      <c r="H45" s="139">
        <v>1972</v>
      </c>
      <c r="I45" s="338">
        <v>506</v>
      </c>
      <c r="J45" s="339"/>
      <c r="K45" s="139">
        <v>220</v>
      </c>
      <c r="L45" s="139">
        <v>3973</v>
      </c>
      <c r="M45" s="139">
        <v>69604</v>
      </c>
      <c r="N45" s="139">
        <v>18052</v>
      </c>
      <c r="O45" s="25">
        <v>87656</v>
      </c>
      <c r="P45" s="143">
        <v>1</v>
      </c>
      <c r="Q45" s="350"/>
    </row>
    <row r="46" spans="2:19" ht="15.75" thickBot="1" x14ac:dyDescent="0.3">
      <c r="B46" s="337"/>
      <c r="C46" s="144" t="s">
        <v>154</v>
      </c>
      <c r="D46" s="145">
        <v>16.7</v>
      </c>
      <c r="E46" s="146">
        <v>19</v>
      </c>
      <c r="F46" s="146">
        <v>31.4</v>
      </c>
      <c r="G46" s="146">
        <v>4.7</v>
      </c>
      <c r="H46" s="146">
        <v>2.2000000000000002</v>
      </c>
      <c r="I46" s="343">
        <v>0.6</v>
      </c>
      <c r="J46" s="344"/>
      <c r="K46" s="146">
        <v>0.3</v>
      </c>
      <c r="L46" s="146">
        <v>4.5</v>
      </c>
      <c r="M46" s="146">
        <v>79.400000000000006</v>
      </c>
      <c r="N46" s="146">
        <v>20.6</v>
      </c>
      <c r="O46" s="146">
        <v>100</v>
      </c>
      <c r="P46" s="147"/>
      <c r="Q46" s="351"/>
    </row>
    <row r="47" spans="2:19" ht="15.75" thickBot="1" x14ac:dyDescent="0.3">
      <c r="B47" s="336" t="s">
        <v>4</v>
      </c>
      <c r="C47" s="137" t="s">
        <v>151</v>
      </c>
      <c r="D47" s="138">
        <v>1336</v>
      </c>
      <c r="E47" s="139">
        <v>1658</v>
      </c>
      <c r="F47" s="139">
        <v>1933</v>
      </c>
      <c r="G47" s="139">
        <v>236</v>
      </c>
      <c r="H47" s="139">
        <v>123</v>
      </c>
      <c r="I47" s="338">
        <v>42</v>
      </c>
      <c r="J47" s="339"/>
      <c r="K47" s="139">
        <v>78</v>
      </c>
      <c r="L47" s="139">
        <v>493</v>
      </c>
      <c r="M47" s="139">
        <v>5899</v>
      </c>
      <c r="N47" s="139">
        <v>9972</v>
      </c>
      <c r="O47" s="140">
        <v>15871</v>
      </c>
      <c r="P47" s="139">
        <v>2.5</v>
      </c>
      <c r="Q47" s="340" t="s">
        <v>155</v>
      </c>
    </row>
    <row r="48" spans="2:19" ht="15.75" thickBot="1" x14ac:dyDescent="0.3">
      <c r="B48" s="320"/>
      <c r="C48" s="137" t="s">
        <v>10</v>
      </c>
      <c r="D48" s="138">
        <v>60606</v>
      </c>
      <c r="E48" s="139">
        <v>96570</v>
      </c>
      <c r="F48" s="139">
        <v>116819</v>
      </c>
      <c r="G48" s="139">
        <v>16745</v>
      </c>
      <c r="H48" s="139">
        <v>7425</v>
      </c>
      <c r="I48" s="338">
        <v>2309</v>
      </c>
      <c r="J48" s="339"/>
      <c r="K48" s="139">
        <v>1006</v>
      </c>
      <c r="L48" s="139">
        <v>14968</v>
      </c>
      <c r="M48" s="139">
        <v>316448</v>
      </c>
      <c r="N48" s="139">
        <v>56894</v>
      </c>
      <c r="O48" s="140">
        <v>373342</v>
      </c>
      <c r="P48" s="139">
        <v>58.3</v>
      </c>
      <c r="Q48" s="341"/>
    </row>
    <row r="49" spans="2:17" ht="15.75" thickBot="1" x14ac:dyDescent="0.3">
      <c r="B49" s="320"/>
      <c r="C49" s="137" t="s">
        <v>11</v>
      </c>
      <c r="D49" s="138">
        <v>41305</v>
      </c>
      <c r="E49" s="139">
        <v>44217</v>
      </c>
      <c r="F49" s="139">
        <v>68763</v>
      </c>
      <c r="G49" s="139">
        <v>10223</v>
      </c>
      <c r="H49" s="139">
        <v>4683</v>
      </c>
      <c r="I49" s="338">
        <v>1727</v>
      </c>
      <c r="J49" s="339"/>
      <c r="K49" s="139">
        <v>604</v>
      </c>
      <c r="L49" s="139">
        <v>9985</v>
      </c>
      <c r="M49" s="139">
        <v>181507</v>
      </c>
      <c r="N49" s="139">
        <v>70192</v>
      </c>
      <c r="O49" s="140">
        <v>251699</v>
      </c>
      <c r="P49" s="139">
        <v>39.299999999999997</v>
      </c>
      <c r="Q49" s="341"/>
    </row>
    <row r="50" spans="2:17" ht="15.75" thickBot="1" x14ac:dyDescent="0.3">
      <c r="B50" s="320"/>
      <c r="C50" s="142" t="s">
        <v>153</v>
      </c>
      <c r="D50" s="138">
        <v>103247</v>
      </c>
      <c r="E50" s="139">
        <v>142445</v>
      </c>
      <c r="F50" s="139">
        <v>187515</v>
      </c>
      <c r="G50" s="139">
        <v>27204</v>
      </c>
      <c r="H50" s="139">
        <v>12231</v>
      </c>
      <c r="I50" s="338">
        <v>4078</v>
      </c>
      <c r="J50" s="339"/>
      <c r="K50" s="139">
        <v>1688</v>
      </c>
      <c r="L50" s="139">
        <v>25446</v>
      </c>
      <c r="M50" s="139">
        <v>503854</v>
      </c>
      <c r="N50" s="139">
        <v>137058</v>
      </c>
      <c r="O50" s="25">
        <v>640912</v>
      </c>
      <c r="P50" s="148">
        <v>1</v>
      </c>
      <c r="Q50" s="341"/>
    </row>
    <row r="51" spans="2:17" ht="15.75" thickBot="1" x14ac:dyDescent="0.3">
      <c r="B51" s="337"/>
      <c r="C51" s="144" t="s">
        <v>154</v>
      </c>
      <c r="D51" s="145">
        <v>16.100000000000001</v>
      </c>
      <c r="E51" s="146">
        <v>22.2</v>
      </c>
      <c r="F51" s="146">
        <v>29.3</v>
      </c>
      <c r="G51" s="146">
        <v>4.2</v>
      </c>
      <c r="H51" s="146">
        <v>1.9</v>
      </c>
      <c r="I51" s="343">
        <v>0.6</v>
      </c>
      <c r="J51" s="344"/>
      <c r="K51" s="146">
        <v>0.3</v>
      </c>
      <c r="L51" s="146">
        <v>4</v>
      </c>
      <c r="M51" s="146">
        <v>78.599999999999994</v>
      </c>
      <c r="N51" s="146">
        <v>21.4</v>
      </c>
      <c r="O51" s="146">
        <v>100</v>
      </c>
      <c r="P51" s="147"/>
      <c r="Q51" s="342"/>
    </row>
    <row r="52" spans="2:17" ht="15.75" thickBot="1" x14ac:dyDescent="0.3">
      <c r="B52" s="336" t="s">
        <v>5</v>
      </c>
      <c r="C52" s="137" t="s">
        <v>151</v>
      </c>
      <c r="D52" s="138">
        <v>58872</v>
      </c>
      <c r="E52" s="139">
        <v>63639</v>
      </c>
      <c r="F52" s="139">
        <v>77062</v>
      </c>
      <c r="G52" s="139">
        <v>11694</v>
      </c>
      <c r="H52" s="139">
        <v>5344</v>
      </c>
      <c r="I52" s="338">
        <v>1084</v>
      </c>
      <c r="J52" s="339"/>
      <c r="K52" s="139">
        <v>1118</v>
      </c>
      <c r="L52" s="139">
        <v>15109</v>
      </c>
      <c r="M52" s="139">
        <v>233922</v>
      </c>
      <c r="N52" s="141">
        <v>233559</v>
      </c>
      <c r="O52" s="149">
        <v>467481</v>
      </c>
      <c r="P52" s="141">
        <v>2</v>
      </c>
      <c r="Q52" s="367" t="s">
        <v>156</v>
      </c>
    </row>
    <row r="53" spans="2:17" ht="15.75" thickBot="1" x14ac:dyDescent="0.3">
      <c r="B53" s="320"/>
      <c r="C53" s="137" t="s">
        <v>10</v>
      </c>
      <c r="D53" s="138">
        <v>2817686</v>
      </c>
      <c r="E53" s="141">
        <v>4470943</v>
      </c>
      <c r="F53" s="139">
        <v>5283734</v>
      </c>
      <c r="G53" s="139">
        <v>754398</v>
      </c>
      <c r="H53" s="141">
        <v>308870</v>
      </c>
      <c r="I53" s="338">
        <v>82355</v>
      </c>
      <c r="J53" s="339"/>
      <c r="K53" s="139">
        <v>34482</v>
      </c>
      <c r="L53" s="25">
        <v>567019</v>
      </c>
      <c r="M53" s="139">
        <v>14319487</v>
      </c>
      <c r="N53" s="141">
        <v>2489926</v>
      </c>
      <c r="O53" s="149">
        <v>16809413</v>
      </c>
      <c r="P53" s="141">
        <v>72.2</v>
      </c>
      <c r="Q53" s="368"/>
    </row>
    <row r="54" spans="2:17" ht="15.75" thickBot="1" x14ac:dyDescent="0.3">
      <c r="B54" s="320"/>
      <c r="C54" s="137" t="s">
        <v>11</v>
      </c>
      <c r="D54" s="138">
        <v>1022008</v>
      </c>
      <c r="E54" s="141">
        <v>1276328</v>
      </c>
      <c r="F54" s="139">
        <v>1779377</v>
      </c>
      <c r="G54" s="139">
        <v>234234</v>
      </c>
      <c r="H54" s="141">
        <v>105982</v>
      </c>
      <c r="I54" s="338">
        <v>41800</v>
      </c>
      <c r="J54" s="339"/>
      <c r="K54" s="139">
        <v>13560</v>
      </c>
      <c r="L54" s="25">
        <v>179331</v>
      </c>
      <c r="M54" s="139">
        <v>4652620</v>
      </c>
      <c r="N54" s="141">
        <v>1347071</v>
      </c>
      <c r="O54" s="149">
        <v>5999691</v>
      </c>
      <c r="P54" s="141">
        <v>25.8</v>
      </c>
      <c r="Q54" s="368"/>
    </row>
    <row r="55" spans="2:17" ht="15.75" thickBot="1" x14ac:dyDescent="0.3">
      <c r="B55" s="320"/>
      <c r="C55" s="150" t="s">
        <v>153</v>
      </c>
      <c r="D55" s="138">
        <v>3898566</v>
      </c>
      <c r="E55" s="141">
        <v>5810910</v>
      </c>
      <c r="F55" s="139">
        <v>7140173</v>
      </c>
      <c r="G55" s="139">
        <v>1000326</v>
      </c>
      <c r="H55" s="141">
        <v>420196</v>
      </c>
      <c r="I55" s="370">
        <v>125239</v>
      </c>
      <c r="J55" s="371"/>
      <c r="K55" s="139">
        <v>49160</v>
      </c>
      <c r="L55" s="25">
        <v>761459</v>
      </c>
      <c r="M55" s="139">
        <v>19206029</v>
      </c>
      <c r="N55" s="141">
        <v>4070556</v>
      </c>
      <c r="O55" s="151">
        <v>23276585</v>
      </c>
      <c r="P55" s="143">
        <v>1</v>
      </c>
      <c r="Q55" s="368"/>
    </row>
    <row r="56" spans="2:17" ht="15.75" thickBot="1" x14ac:dyDescent="0.3">
      <c r="B56" s="337"/>
      <c r="C56" s="152" t="s">
        <v>154</v>
      </c>
      <c r="D56" s="145">
        <v>16.7</v>
      </c>
      <c r="E56" s="146">
        <v>25</v>
      </c>
      <c r="F56" s="146">
        <v>30.7</v>
      </c>
      <c r="G56" s="146">
        <v>4.3</v>
      </c>
      <c r="H56" s="146">
        <v>1.8</v>
      </c>
      <c r="I56" s="343">
        <v>0.5</v>
      </c>
      <c r="J56" s="344"/>
      <c r="K56" s="146">
        <v>0.2</v>
      </c>
      <c r="L56" s="146">
        <v>3.3</v>
      </c>
      <c r="M56" s="146">
        <v>82.5</v>
      </c>
      <c r="N56" s="146">
        <v>17.5</v>
      </c>
      <c r="O56" s="153">
        <v>100</v>
      </c>
      <c r="P56" s="147"/>
      <c r="Q56" s="369"/>
    </row>
    <row r="57" spans="2:17" ht="15.75" thickBot="1" x14ac:dyDescent="0.3">
      <c r="B57" s="336" t="s">
        <v>6</v>
      </c>
      <c r="C57" s="137" t="s">
        <v>151</v>
      </c>
      <c r="D57" s="138">
        <v>1945</v>
      </c>
      <c r="E57" s="139">
        <v>2129</v>
      </c>
      <c r="F57" s="139">
        <v>2578</v>
      </c>
      <c r="G57" s="139">
        <v>334</v>
      </c>
      <c r="H57" s="139">
        <v>166</v>
      </c>
      <c r="I57" s="338">
        <v>48</v>
      </c>
      <c r="J57" s="339"/>
      <c r="K57" s="139">
        <v>63</v>
      </c>
      <c r="L57" s="139">
        <v>619</v>
      </c>
      <c r="M57" s="139">
        <v>7882</v>
      </c>
      <c r="N57" s="139">
        <v>10340</v>
      </c>
      <c r="O57" s="140">
        <v>18222</v>
      </c>
      <c r="P57" s="139">
        <v>1.9</v>
      </c>
      <c r="Q57" s="362" t="s">
        <v>157</v>
      </c>
    </row>
    <row r="58" spans="2:17" ht="15.75" thickBot="1" x14ac:dyDescent="0.3">
      <c r="B58" s="320"/>
      <c r="C58" s="137" t="s">
        <v>10</v>
      </c>
      <c r="D58" s="154">
        <v>90173</v>
      </c>
      <c r="E58" s="155">
        <v>138107</v>
      </c>
      <c r="F58" s="156">
        <v>173842</v>
      </c>
      <c r="G58" s="156">
        <v>26074</v>
      </c>
      <c r="H58" s="156">
        <v>10839</v>
      </c>
      <c r="I58" s="365">
        <v>2723</v>
      </c>
      <c r="J58" s="366"/>
      <c r="K58" s="156">
        <v>1260</v>
      </c>
      <c r="L58" s="156">
        <v>17919</v>
      </c>
      <c r="M58" s="156">
        <v>460937</v>
      </c>
      <c r="N58" s="156">
        <v>83102</v>
      </c>
      <c r="O58" s="157">
        <v>544039</v>
      </c>
      <c r="P58" s="139">
        <v>57.8</v>
      </c>
      <c r="Q58" s="363"/>
    </row>
    <row r="59" spans="2:17" ht="15.75" thickBot="1" x14ac:dyDescent="0.3">
      <c r="B59" s="320"/>
      <c r="C59" s="137" t="s">
        <v>11</v>
      </c>
      <c r="D59" s="138">
        <v>70850</v>
      </c>
      <c r="E59" s="139">
        <v>69350</v>
      </c>
      <c r="F59" s="139">
        <v>120601</v>
      </c>
      <c r="G59" s="139">
        <v>18794</v>
      </c>
      <c r="H59" s="139">
        <v>7761</v>
      </c>
      <c r="I59" s="338">
        <v>2714</v>
      </c>
      <c r="J59" s="339"/>
      <c r="K59" s="139">
        <v>792</v>
      </c>
      <c r="L59" s="139">
        <v>13561</v>
      </c>
      <c r="M59" s="139">
        <v>304423</v>
      </c>
      <c r="N59" s="139">
        <v>73851</v>
      </c>
      <c r="O59" s="140">
        <v>378274</v>
      </c>
      <c r="P59" s="139">
        <v>40.200000000000003</v>
      </c>
      <c r="Q59" s="363"/>
    </row>
    <row r="60" spans="2:17" ht="15.75" thickBot="1" x14ac:dyDescent="0.3">
      <c r="B60" s="320"/>
      <c r="C60" s="158" t="s">
        <v>153</v>
      </c>
      <c r="D60" s="25">
        <v>162968</v>
      </c>
      <c r="E60" s="25">
        <v>209586</v>
      </c>
      <c r="F60" s="25">
        <v>297021</v>
      </c>
      <c r="G60" s="25">
        <v>45202</v>
      </c>
      <c r="H60" s="25">
        <v>18766</v>
      </c>
      <c r="I60" s="241">
        <v>5485</v>
      </c>
      <c r="J60" s="242"/>
      <c r="K60" s="25">
        <v>2115</v>
      </c>
      <c r="L60" s="25">
        <v>32099</v>
      </c>
      <c r="M60" s="25">
        <v>773242</v>
      </c>
      <c r="N60" s="25">
        <v>167293</v>
      </c>
      <c r="O60" s="25">
        <v>940535</v>
      </c>
      <c r="P60" s="148">
        <v>1</v>
      </c>
      <c r="Q60" s="363"/>
    </row>
    <row r="61" spans="2:17" ht="15.75" thickBot="1" x14ac:dyDescent="0.3">
      <c r="B61" s="321"/>
      <c r="C61" s="159" t="s">
        <v>154</v>
      </c>
      <c r="D61" s="146">
        <v>17.3</v>
      </c>
      <c r="E61" s="146">
        <v>22.3</v>
      </c>
      <c r="F61" s="146">
        <v>31.6</v>
      </c>
      <c r="G61" s="146">
        <v>4.8</v>
      </c>
      <c r="H61" s="146">
        <v>2</v>
      </c>
      <c r="I61" s="343">
        <v>0.6</v>
      </c>
      <c r="J61" s="344"/>
      <c r="K61" s="146">
        <v>0.2</v>
      </c>
      <c r="L61" s="146">
        <v>3.4</v>
      </c>
      <c r="M61" s="146">
        <v>82.2</v>
      </c>
      <c r="N61" s="146">
        <v>17.8</v>
      </c>
      <c r="O61" s="146">
        <v>100</v>
      </c>
      <c r="P61" s="147"/>
      <c r="Q61" s="364"/>
    </row>
    <row r="62" spans="2:17" ht="17.25" thickBot="1" x14ac:dyDescent="0.3">
      <c r="B62" s="375" t="s">
        <v>158</v>
      </c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7"/>
    </row>
    <row r="63" spans="2:17" x14ac:dyDescent="0.25">
      <c r="B63" s="378" t="s">
        <v>159</v>
      </c>
      <c r="C63" s="379"/>
      <c r="D63" s="379"/>
      <c r="E63" s="379"/>
      <c r="F63" s="379"/>
      <c r="G63" s="379"/>
      <c r="H63" s="379"/>
      <c r="I63" s="380"/>
      <c r="J63" s="378" t="s">
        <v>164</v>
      </c>
      <c r="K63" s="379"/>
      <c r="L63" s="379"/>
      <c r="M63" s="379"/>
      <c r="N63" s="379"/>
      <c r="O63" s="379"/>
      <c r="P63" s="379"/>
      <c r="Q63" s="380"/>
    </row>
    <row r="64" spans="2:17" x14ac:dyDescent="0.25">
      <c r="B64" s="381" t="s">
        <v>160</v>
      </c>
      <c r="C64" s="382"/>
      <c r="D64" s="382"/>
      <c r="E64" s="382"/>
      <c r="F64" s="382"/>
      <c r="G64" s="382"/>
      <c r="H64" s="382"/>
      <c r="I64" s="383"/>
      <c r="J64" s="381" t="s">
        <v>165</v>
      </c>
      <c r="K64" s="382"/>
      <c r="L64" s="382"/>
      <c r="M64" s="382"/>
      <c r="N64" s="382"/>
      <c r="O64" s="382"/>
      <c r="P64" s="382"/>
      <c r="Q64" s="383"/>
    </row>
    <row r="65" spans="2:17" x14ac:dyDescent="0.25">
      <c r="B65" s="381" t="s">
        <v>161</v>
      </c>
      <c r="C65" s="382"/>
      <c r="D65" s="382"/>
      <c r="E65" s="382"/>
      <c r="F65" s="382"/>
      <c r="G65" s="382"/>
      <c r="H65" s="382"/>
      <c r="I65" s="383"/>
      <c r="J65" s="381" t="s">
        <v>166</v>
      </c>
      <c r="K65" s="382"/>
      <c r="L65" s="382"/>
      <c r="M65" s="382"/>
      <c r="N65" s="382"/>
      <c r="O65" s="382"/>
      <c r="P65" s="382"/>
      <c r="Q65" s="383"/>
    </row>
    <row r="66" spans="2:17" x14ac:dyDescent="0.25">
      <c r="B66" s="381" t="s">
        <v>162</v>
      </c>
      <c r="C66" s="382"/>
      <c r="D66" s="382"/>
      <c r="E66" s="382"/>
      <c r="F66" s="382"/>
      <c r="G66" s="382"/>
      <c r="H66" s="382"/>
      <c r="I66" s="383"/>
      <c r="J66" s="381" t="s">
        <v>167</v>
      </c>
      <c r="K66" s="382"/>
      <c r="L66" s="382"/>
      <c r="M66" s="382"/>
      <c r="N66" s="382"/>
      <c r="O66" s="382"/>
      <c r="P66" s="382"/>
      <c r="Q66" s="383"/>
    </row>
    <row r="67" spans="2:17" ht="16.5" thickBot="1" x14ac:dyDescent="0.3">
      <c r="B67" s="384" t="s">
        <v>163</v>
      </c>
      <c r="C67" s="385"/>
      <c r="D67" s="385"/>
      <c r="E67" s="385"/>
      <c r="F67" s="385"/>
      <c r="G67" s="385"/>
      <c r="H67" s="385"/>
      <c r="I67" s="386"/>
      <c r="J67" s="372"/>
      <c r="K67" s="373"/>
      <c r="L67" s="373"/>
      <c r="M67" s="373"/>
      <c r="N67" s="373"/>
      <c r="O67" s="373"/>
      <c r="P67" s="373"/>
      <c r="Q67" s="374"/>
    </row>
  </sheetData>
  <mergeCells count="170">
    <mergeCell ref="J67:Q67"/>
    <mergeCell ref="B62:Q62"/>
    <mergeCell ref="B63:I63"/>
    <mergeCell ref="B64:I64"/>
    <mergeCell ref="B65:I65"/>
    <mergeCell ref="B66:I66"/>
    <mergeCell ref="B67:I67"/>
    <mergeCell ref="J63:Q63"/>
    <mergeCell ref="J64:Q64"/>
    <mergeCell ref="J65:Q65"/>
    <mergeCell ref="J66:Q66"/>
    <mergeCell ref="B57:B61"/>
    <mergeCell ref="I57:J57"/>
    <mergeCell ref="Q57:Q61"/>
    <mergeCell ref="I58:J58"/>
    <mergeCell ref="I59:J59"/>
    <mergeCell ref="I60:J60"/>
    <mergeCell ref="I61:J61"/>
    <mergeCell ref="B52:B56"/>
    <mergeCell ref="I52:J52"/>
    <mergeCell ref="Q52:Q56"/>
    <mergeCell ref="I53:J53"/>
    <mergeCell ref="I54:J54"/>
    <mergeCell ref="I55:J55"/>
    <mergeCell ref="I56:J56"/>
    <mergeCell ref="Q47:Q51"/>
    <mergeCell ref="I48:J48"/>
    <mergeCell ref="I49:J49"/>
    <mergeCell ref="I50:J50"/>
    <mergeCell ref="I51:J51"/>
    <mergeCell ref="P40:P41"/>
    <mergeCell ref="Q40:Q41"/>
    <mergeCell ref="I41:J41"/>
    <mergeCell ref="B42:B46"/>
    <mergeCell ref="I42:J42"/>
    <mergeCell ref="Q42:Q46"/>
    <mergeCell ref="I43:J43"/>
    <mergeCell ref="I44:J44"/>
    <mergeCell ref="I45:J45"/>
    <mergeCell ref="I46:J46"/>
    <mergeCell ref="B40:B41"/>
    <mergeCell ref="C40:C41"/>
    <mergeCell ref="D40:L40"/>
    <mergeCell ref="M40:M41"/>
    <mergeCell ref="N40:N41"/>
    <mergeCell ref="O40:O41"/>
    <mergeCell ref="B24:B35"/>
    <mergeCell ref="B47:B51"/>
    <mergeCell ref="I47:J47"/>
    <mergeCell ref="C33:D33"/>
    <mergeCell ref="M33:N33"/>
    <mergeCell ref="O33:P33"/>
    <mergeCell ref="Q33:R33"/>
    <mergeCell ref="C34:D34"/>
    <mergeCell ref="M34:N34"/>
    <mergeCell ref="O34:P34"/>
    <mergeCell ref="Q34:R34"/>
    <mergeCell ref="C35:D35"/>
    <mergeCell ref="M35:N35"/>
    <mergeCell ref="O35:P35"/>
    <mergeCell ref="Q35:R35"/>
    <mergeCell ref="C30:C32"/>
    <mergeCell ref="M30:N30"/>
    <mergeCell ref="O30:P30"/>
    <mergeCell ref="Q30:R30"/>
    <mergeCell ref="M31:N31"/>
    <mergeCell ref="O31:P31"/>
    <mergeCell ref="Q31:R31"/>
    <mergeCell ref="M32:N32"/>
    <mergeCell ref="O32:P32"/>
    <mergeCell ref="Q32:R32"/>
    <mergeCell ref="Q26:R26"/>
    <mergeCell ref="C27:C29"/>
    <mergeCell ref="M27:N27"/>
    <mergeCell ref="O27:P27"/>
    <mergeCell ref="Q27:R27"/>
    <mergeCell ref="M28:N28"/>
    <mergeCell ref="O28:P28"/>
    <mergeCell ref="Q28:R28"/>
    <mergeCell ref="M29:N29"/>
    <mergeCell ref="O29:P29"/>
    <mergeCell ref="C24:C26"/>
    <mergeCell ref="M24:N24"/>
    <mergeCell ref="O24:P24"/>
    <mergeCell ref="Q24:R24"/>
    <mergeCell ref="M25:N25"/>
    <mergeCell ref="O25:P25"/>
    <mergeCell ref="Q25:R25"/>
    <mergeCell ref="M26:N26"/>
    <mergeCell ref="O26:P26"/>
    <mergeCell ref="Q29:R29"/>
    <mergeCell ref="C23:D23"/>
    <mergeCell ref="M23:N23"/>
    <mergeCell ref="O23:P23"/>
    <mergeCell ref="Q23:R23"/>
    <mergeCell ref="Q19:R19"/>
    <mergeCell ref="M20:N20"/>
    <mergeCell ref="O20:P20"/>
    <mergeCell ref="Q20:R20"/>
    <mergeCell ref="C21:D21"/>
    <mergeCell ref="M21:N21"/>
    <mergeCell ref="O21:P21"/>
    <mergeCell ref="Q21:R21"/>
    <mergeCell ref="C18:C20"/>
    <mergeCell ref="M18:N18"/>
    <mergeCell ref="O18:P18"/>
    <mergeCell ref="Q18:R18"/>
    <mergeCell ref="M19:N19"/>
    <mergeCell ref="O19:P19"/>
    <mergeCell ref="C22:D22"/>
    <mergeCell ref="M22:N22"/>
    <mergeCell ref="O22:P22"/>
    <mergeCell ref="Q22:R22"/>
    <mergeCell ref="C15:C17"/>
    <mergeCell ref="M15:N15"/>
    <mergeCell ref="O15:P15"/>
    <mergeCell ref="Q15:R15"/>
    <mergeCell ref="M16:N16"/>
    <mergeCell ref="O16:P16"/>
    <mergeCell ref="Q16:R16"/>
    <mergeCell ref="M17:N17"/>
    <mergeCell ref="O17:P17"/>
    <mergeCell ref="Q17:R17"/>
    <mergeCell ref="M11:N11"/>
    <mergeCell ref="O11:P11"/>
    <mergeCell ref="Q11:R11"/>
    <mergeCell ref="B12:B23"/>
    <mergeCell ref="C12:C14"/>
    <mergeCell ref="M12:N12"/>
    <mergeCell ref="O12:P12"/>
    <mergeCell ref="Q12:R12"/>
    <mergeCell ref="M13:N13"/>
    <mergeCell ref="O13:P13"/>
    <mergeCell ref="B8:B11"/>
    <mergeCell ref="M8:N8"/>
    <mergeCell ref="O8:P8"/>
    <mergeCell ref="Q8:R8"/>
    <mergeCell ref="M9:N9"/>
    <mergeCell ref="O9:P9"/>
    <mergeCell ref="Q9:R9"/>
    <mergeCell ref="M10:N10"/>
    <mergeCell ref="O10:P10"/>
    <mergeCell ref="Q10:R10"/>
    <mergeCell ref="Q13:R13"/>
    <mergeCell ref="M14:N14"/>
    <mergeCell ref="O14:P14"/>
    <mergeCell ref="Q14:R14"/>
    <mergeCell ref="B4:B7"/>
    <mergeCell ref="M4:N4"/>
    <mergeCell ref="O4:P4"/>
    <mergeCell ref="Q4:R4"/>
    <mergeCell ref="M5:N5"/>
    <mergeCell ref="O5:P5"/>
    <mergeCell ref="B2:B3"/>
    <mergeCell ref="C2:C3"/>
    <mergeCell ref="D2:D3"/>
    <mergeCell ref="E2:M2"/>
    <mergeCell ref="N2:O2"/>
    <mergeCell ref="P2:Q2"/>
    <mergeCell ref="Q5:R5"/>
    <mergeCell ref="M6:N6"/>
    <mergeCell ref="O6:P6"/>
    <mergeCell ref="Q6:R6"/>
    <mergeCell ref="M7:N7"/>
    <mergeCell ref="O7:P7"/>
    <mergeCell ref="Q7:R7"/>
    <mergeCell ref="R2:S2"/>
    <mergeCell ref="M3:N3"/>
    <mergeCell ref="O3:P3"/>
    <mergeCell ref="Q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selection activeCell="F4" sqref="F4:F15"/>
    </sheetView>
  </sheetViews>
  <sheetFormatPr baseColWidth="10" defaultRowHeight="15" x14ac:dyDescent="0.25"/>
  <sheetData>
    <row r="1" spans="1:6" ht="15.75" thickBot="1" x14ac:dyDescent="0.3">
      <c r="D1" s="134" t="s">
        <v>143</v>
      </c>
    </row>
    <row r="2" spans="1:6" ht="15.75" thickBot="1" x14ac:dyDescent="0.3">
      <c r="D2" s="301" t="s">
        <v>113</v>
      </c>
      <c r="E2" s="301" t="s">
        <v>114</v>
      </c>
      <c r="F2" s="165" t="s">
        <v>119</v>
      </c>
    </row>
    <row r="3" spans="1:6" ht="15.75" thickBot="1" x14ac:dyDescent="0.3">
      <c r="D3" s="302"/>
      <c r="E3" s="302"/>
      <c r="F3" s="160"/>
    </row>
    <row r="4" spans="1:6" ht="15.75" thickBot="1" x14ac:dyDescent="0.3">
      <c r="A4" s="272" t="s">
        <v>69</v>
      </c>
      <c r="B4" s="387" t="s">
        <v>70</v>
      </c>
      <c r="C4" s="387"/>
      <c r="D4" s="169" t="s">
        <v>3</v>
      </c>
      <c r="E4" s="121" t="s">
        <v>128</v>
      </c>
      <c r="F4" s="161">
        <v>8250</v>
      </c>
    </row>
    <row r="5" spans="1:6" ht="15.75" thickBot="1" x14ac:dyDescent="0.3">
      <c r="A5" s="273"/>
      <c r="B5" s="285" t="s">
        <v>71</v>
      </c>
      <c r="C5" s="285"/>
      <c r="D5" s="169" t="s">
        <v>3</v>
      </c>
      <c r="E5" s="125" t="s">
        <v>10</v>
      </c>
      <c r="F5" s="162">
        <v>59987</v>
      </c>
    </row>
    <row r="6" spans="1:6" ht="15.75" thickBot="1" x14ac:dyDescent="0.3">
      <c r="A6" s="274"/>
      <c r="B6" s="285" t="s">
        <v>72</v>
      </c>
      <c r="C6" s="285"/>
      <c r="D6" s="169" t="s">
        <v>3</v>
      </c>
      <c r="E6" s="121" t="s">
        <v>11</v>
      </c>
      <c r="F6" s="161">
        <v>32787</v>
      </c>
    </row>
    <row r="7" spans="1:6" ht="15.6" customHeight="1" thickBot="1" x14ac:dyDescent="0.3">
      <c r="A7" s="272" t="s">
        <v>73</v>
      </c>
      <c r="B7" s="387" t="s">
        <v>70</v>
      </c>
      <c r="C7" s="387"/>
      <c r="D7" s="168" t="s">
        <v>130</v>
      </c>
      <c r="E7" s="121" t="s">
        <v>128</v>
      </c>
      <c r="F7" s="161">
        <v>24829</v>
      </c>
    </row>
    <row r="8" spans="1:6" ht="27.75" thickBot="1" x14ac:dyDescent="0.3">
      <c r="A8" s="273"/>
      <c r="B8" s="285" t="s">
        <v>71</v>
      </c>
      <c r="C8" s="285"/>
      <c r="D8" s="168" t="s">
        <v>130</v>
      </c>
      <c r="E8" s="125" t="s">
        <v>10</v>
      </c>
      <c r="F8" s="162">
        <v>457087</v>
      </c>
    </row>
    <row r="9" spans="1:6" ht="27.75" thickBot="1" x14ac:dyDescent="0.3">
      <c r="A9" s="274"/>
      <c r="B9" s="285" t="s">
        <v>72</v>
      </c>
      <c r="C9" s="285"/>
      <c r="D9" s="168" t="s">
        <v>130</v>
      </c>
      <c r="E9" s="121" t="s">
        <v>11</v>
      </c>
      <c r="F9" s="161">
        <v>327740</v>
      </c>
    </row>
    <row r="10" spans="1:6" ht="15.75" thickBot="1" x14ac:dyDescent="0.3">
      <c r="A10" s="272" t="s">
        <v>74</v>
      </c>
      <c r="B10" s="387" t="s">
        <v>70</v>
      </c>
      <c r="C10" s="387"/>
      <c r="D10" s="168" t="s">
        <v>132</v>
      </c>
      <c r="E10" s="167" t="s">
        <v>128</v>
      </c>
      <c r="F10" s="164">
        <v>602526</v>
      </c>
    </row>
    <row r="11" spans="1:6" ht="15.75" thickBot="1" x14ac:dyDescent="0.3">
      <c r="A11" s="273"/>
      <c r="B11" s="285" t="s">
        <v>71</v>
      </c>
      <c r="C11" s="285"/>
      <c r="D11" s="168" t="s">
        <v>132</v>
      </c>
      <c r="E11" s="167" t="s">
        <v>10</v>
      </c>
      <c r="F11" s="163">
        <v>18789020</v>
      </c>
    </row>
    <row r="12" spans="1:6" ht="15.75" thickBot="1" x14ac:dyDescent="0.3">
      <c r="A12" s="274"/>
      <c r="B12" s="285" t="s">
        <v>72</v>
      </c>
      <c r="C12" s="285"/>
      <c r="D12" s="168" t="s">
        <v>132</v>
      </c>
      <c r="E12" s="166" t="s">
        <v>11</v>
      </c>
      <c r="F12" s="164">
        <v>6805229</v>
      </c>
    </row>
    <row r="13" spans="1:6" ht="27.75" thickBot="1" x14ac:dyDescent="0.3">
      <c r="A13" s="269" t="s">
        <v>75</v>
      </c>
      <c r="B13" s="387" t="s">
        <v>70</v>
      </c>
      <c r="C13" s="387"/>
      <c r="D13" s="168" t="s">
        <v>138</v>
      </c>
      <c r="E13" s="166" t="s">
        <v>128</v>
      </c>
      <c r="F13" s="164">
        <v>24747</v>
      </c>
    </row>
    <row r="14" spans="1:6" ht="27.75" thickBot="1" x14ac:dyDescent="0.3">
      <c r="A14" s="270"/>
      <c r="B14" s="285" t="s">
        <v>71</v>
      </c>
      <c r="C14" s="285"/>
      <c r="D14" s="168" t="s">
        <v>138</v>
      </c>
      <c r="E14" s="167" t="s">
        <v>10</v>
      </c>
      <c r="F14" s="163">
        <v>446205</v>
      </c>
    </row>
    <row r="15" spans="1:6" ht="27.75" thickBot="1" x14ac:dyDescent="0.3">
      <c r="A15" s="271"/>
      <c r="B15" s="285" t="s">
        <v>72</v>
      </c>
      <c r="C15" s="285"/>
      <c r="D15" s="168" t="s">
        <v>138</v>
      </c>
      <c r="E15" s="166" t="s">
        <v>11</v>
      </c>
      <c r="F15" s="164">
        <v>474224</v>
      </c>
    </row>
    <row r="19" spans="1:6" ht="15.75" thickBot="1" x14ac:dyDescent="0.3">
      <c r="D19" s="135" t="s">
        <v>144</v>
      </c>
    </row>
    <row r="20" spans="1:6" x14ac:dyDescent="0.25">
      <c r="D20" s="352" t="s">
        <v>145</v>
      </c>
      <c r="E20" s="352" t="s">
        <v>114</v>
      </c>
      <c r="F20" s="360" t="s">
        <v>148</v>
      </c>
    </row>
    <row r="21" spans="1:6" ht="15.75" thickBot="1" x14ac:dyDescent="0.3">
      <c r="D21" s="353"/>
      <c r="E21" s="353"/>
      <c r="F21" s="361"/>
    </row>
    <row r="22" spans="1:6" ht="15.75" thickBot="1" x14ac:dyDescent="0.3">
      <c r="A22" s="272" t="s">
        <v>69</v>
      </c>
      <c r="B22" s="387" t="s">
        <v>70</v>
      </c>
      <c r="C22" s="387"/>
      <c r="D22" s="170" t="s">
        <v>3</v>
      </c>
      <c r="E22" s="137" t="s">
        <v>151</v>
      </c>
      <c r="F22" s="140">
        <v>5945</v>
      </c>
    </row>
    <row r="23" spans="1:6" ht="15.75" thickBot="1" x14ac:dyDescent="0.3">
      <c r="A23" s="273"/>
      <c r="B23" s="285" t="s">
        <v>71</v>
      </c>
      <c r="C23" s="285"/>
      <c r="D23" s="170" t="s">
        <v>3</v>
      </c>
      <c r="E23" s="137" t="s">
        <v>10</v>
      </c>
      <c r="F23" s="140">
        <v>53471</v>
      </c>
    </row>
    <row r="24" spans="1:6" ht="15.75" thickBot="1" x14ac:dyDescent="0.3">
      <c r="A24" s="274"/>
      <c r="B24" s="285" t="s">
        <v>72</v>
      </c>
      <c r="C24" s="285"/>
      <c r="D24" s="170" t="s">
        <v>3</v>
      </c>
      <c r="E24" s="137" t="s">
        <v>11</v>
      </c>
      <c r="F24" s="140">
        <v>28240</v>
      </c>
    </row>
    <row r="25" spans="1:6" ht="15.75" thickBot="1" x14ac:dyDescent="0.3">
      <c r="A25" s="272" t="s">
        <v>73</v>
      </c>
      <c r="B25" s="387" t="s">
        <v>70</v>
      </c>
      <c r="C25" s="387"/>
      <c r="D25" s="170" t="s">
        <v>4</v>
      </c>
      <c r="E25" s="137" t="s">
        <v>151</v>
      </c>
      <c r="F25" s="140">
        <v>15871</v>
      </c>
    </row>
    <row r="26" spans="1:6" ht="15.75" thickBot="1" x14ac:dyDescent="0.3">
      <c r="A26" s="273"/>
      <c r="B26" s="285" t="s">
        <v>71</v>
      </c>
      <c r="C26" s="285"/>
      <c r="D26" s="170" t="s">
        <v>4</v>
      </c>
      <c r="E26" s="137" t="s">
        <v>10</v>
      </c>
      <c r="F26" s="140">
        <v>373342</v>
      </c>
    </row>
    <row r="27" spans="1:6" ht="15.75" thickBot="1" x14ac:dyDescent="0.3">
      <c r="A27" s="274"/>
      <c r="B27" s="285" t="s">
        <v>72</v>
      </c>
      <c r="C27" s="285"/>
      <c r="D27" s="170" t="s">
        <v>4</v>
      </c>
      <c r="E27" s="137" t="s">
        <v>11</v>
      </c>
      <c r="F27" s="140">
        <v>251699</v>
      </c>
    </row>
    <row r="28" spans="1:6" ht="15.75" thickBot="1" x14ac:dyDescent="0.3">
      <c r="A28" s="272" t="s">
        <v>74</v>
      </c>
      <c r="B28" s="387" t="s">
        <v>70</v>
      </c>
      <c r="C28" s="387"/>
      <c r="D28" s="170" t="s">
        <v>5</v>
      </c>
      <c r="E28" s="137" t="s">
        <v>151</v>
      </c>
      <c r="F28" s="149">
        <v>467481</v>
      </c>
    </row>
    <row r="29" spans="1:6" ht="15.75" thickBot="1" x14ac:dyDescent="0.3">
      <c r="A29" s="273"/>
      <c r="B29" s="285" t="s">
        <v>71</v>
      </c>
      <c r="C29" s="285"/>
      <c r="D29" s="170" t="s">
        <v>5</v>
      </c>
      <c r="E29" s="137" t="s">
        <v>10</v>
      </c>
      <c r="F29" s="149">
        <v>16809413</v>
      </c>
    </row>
    <row r="30" spans="1:6" ht="15.75" thickBot="1" x14ac:dyDescent="0.3">
      <c r="A30" s="274"/>
      <c r="B30" s="285" t="s">
        <v>72</v>
      </c>
      <c r="C30" s="285"/>
      <c r="D30" s="170" t="s">
        <v>5</v>
      </c>
      <c r="E30" s="137" t="s">
        <v>11</v>
      </c>
      <c r="F30" s="149">
        <v>5999691</v>
      </c>
    </row>
    <row r="31" spans="1:6" ht="15.75" thickBot="1" x14ac:dyDescent="0.3">
      <c r="A31" s="269" t="s">
        <v>75</v>
      </c>
      <c r="B31" s="387" t="s">
        <v>70</v>
      </c>
      <c r="C31" s="387"/>
      <c r="D31" s="170" t="s">
        <v>6</v>
      </c>
      <c r="E31" s="137" t="s">
        <v>151</v>
      </c>
      <c r="F31" s="140">
        <v>18222</v>
      </c>
    </row>
    <row r="32" spans="1:6" ht="15.75" thickBot="1" x14ac:dyDescent="0.3">
      <c r="A32" s="270"/>
      <c r="B32" s="285" t="s">
        <v>71</v>
      </c>
      <c r="C32" s="285"/>
      <c r="D32" s="170" t="s">
        <v>6</v>
      </c>
      <c r="E32" s="137" t="s">
        <v>10</v>
      </c>
      <c r="F32" s="157">
        <v>544039</v>
      </c>
    </row>
    <row r="33" spans="1:6" ht="15.75" thickBot="1" x14ac:dyDescent="0.3">
      <c r="A33" s="271"/>
      <c r="B33" s="285" t="s">
        <v>72</v>
      </c>
      <c r="C33" s="285"/>
      <c r="D33" s="170" t="s">
        <v>6</v>
      </c>
      <c r="E33" s="137" t="s">
        <v>11</v>
      </c>
      <c r="F33" s="140">
        <v>378274</v>
      </c>
    </row>
  </sheetData>
  <mergeCells count="37">
    <mergeCell ref="B29:C29"/>
    <mergeCell ref="B30:C30"/>
    <mergeCell ref="B31:C31"/>
    <mergeCell ref="A22:A24"/>
    <mergeCell ref="A25:A27"/>
    <mergeCell ref="A28:A30"/>
    <mergeCell ref="A31:A33"/>
    <mergeCell ref="B32:C32"/>
    <mergeCell ref="B33:C33"/>
    <mergeCell ref="B23:C23"/>
    <mergeCell ref="B24:C24"/>
    <mergeCell ref="B25:C25"/>
    <mergeCell ref="B26:C26"/>
    <mergeCell ref="B27:C27"/>
    <mergeCell ref="B28:C28"/>
    <mergeCell ref="A10:A12"/>
    <mergeCell ref="B10:C10"/>
    <mergeCell ref="B11:C11"/>
    <mergeCell ref="B12:C12"/>
    <mergeCell ref="A13:A15"/>
    <mergeCell ref="B13:C13"/>
    <mergeCell ref="B14:C14"/>
    <mergeCell ref="B15:C15"/>
    <mergeCell ref="A4:A6"/>
    <mergeCell ref="B4:C4"/>
    <mergeCell ref="B5:C5"/>
    <mergeCell ref="B6:C6"/>
    <mergeCell ref="A7:A9"/>
    <mergeCell ref="B7:C7"/>
    <mergeCell ref="B8:C8"/>
    <mergeCell ref="B9:C9"/>
    <mergeCell ref="D20:D21"/>
    <mergeCell ref="E20:E21"/>
    <mergeCell ref="F20:F21"/>
    <mergeCell ref="B22:C22"/>
    <mergeCell ref="D2:D3"/>
    <mergeCell ref="E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"/>
  <sheetViews>
    <sheetView topLeftCell="D1" workbookViewId="0">
      <selection activeCell="F10" sqref="F10"/>
    </sheetView>
  </sheetViews>
  <sheetFormatPr baseColWidth="10" defaultColWidth="11.42578125" defaultRowHeight="15.75" x14ac:dyDescent="0.25"/>
  <cols>
    <col min="1" max="1" width="30.42578125" style="65" customWidth="1"/>
    <col min="2" max="2" width="16.140625" style="65" customWidth="1"/>
    <col min="3" max="3" width="21.140625" style="65" customWidth="1"/>
    <col min="4" max="7" width="16.42578125" style="65" customWidth="1"/>
    <col min="8" max="8" width="12.85546875" style="65" bestFit="1" customWidth="1"/>
    <col min="9" max="12" width="12.5703125" style="65" bestFit="1" customWidth="1"/>
    <col min="13" max="13" width="11.42578125" style="65"/>
    <col min="14" max="17" width="12.5703125" style="65" bestFit="1" customWidth="1"/>
    <col min="18" max="16384" width="11.42578125" style="65"/>
  </cols>
  <sheetData>
    <row r="2" spans="1:17" ht="16.5" thickBot="1" x14ac:dyDescent="0.3">
      <c r="C2" s="65" t="s">
        <v>62</v>
      </c>
    </row>
    <row r="3" spans="1:17" ht="16.5" thickBot="1" x14ac:dyDescent="0.3">
      <c r="C3" s="65" t="s">
        <v>66</v>
      </c>
      <c r="I3" s="66">
        <v>15871</v>
      </c>
      <c r="J3" s="67">
        <v>373342</v>
      </c>
      <c r="K3" s="66">
        <v>251699</v>
      </c>
      <c r="L3" s="66">
        <v>467481</v>
      </c>
      <c r="M3" s="66">
        <v>16809413</v>
      </c>
      <c r="N3" s="66">
        <v>5999691</v>
      </c>
      <c r="O3" s="66">
        <v>18222</v>
      </c>
      <c r="P3" s="66">
        <v>544039</v>
      </c>
      <c r="Q3" s="68">
        <v>378274</v>
      </c>
    </row>
    <row r="4" spans="1:17" x14ac:dyDescent="0.25">
      <c r="C4" s="65" t="s">
        <v>63</v>
      </c>
    </row>
    <row r="5" spans="1:17" x14ac:dyDescent="0.25">
      <c r="C5" s="65" t="s">
        <v>64</v>
      </c>
    </row>
    <row r="6" spans="1:17" x14ac:dyDescent="0.25">
      <c r="C6" s="65" t="s">
        <v>65</v>
      </c>
    </row>
    <row r="7" spans="1:17" x14ac:dyDescent="0.25">
      <c r="C7" s="65" t="s">
        <v>77</v>
      </c>
    </row>
    <row r="8" spans="1:17" ht="23.85" customHeight="1" x14ac:dyDescent="0.25">
      <c r="A8" s="65" t="s">
        <v>78</v>
      </c>
    </row>
    <row r="9" spans="1:17" ht="16.5" thickBot="1" x14ac:dyDescent="0.3">
      <c r="C9" s="65" t="s">
        <v>67</v>
      </c>
      <c r="D9" s="65" t="s">
        <v>43</v>
      </c>
      <c r="F9" s="65" t="s">
        <v>76</v>
      </c>
      <c r="G9" s="65" t="s">
        <v>68</v>
      </c>
      <c r="H9" s="65" t="s">
        <v>44</v>
      </c>
      <c r="I9" s="65" t="s">
        <v>45</v>
      </c>
      <c r="J9" s="65" t="s">
        <v>46</v>
      </c>
      <c r="K9" s="65" t="s">
        <v>47</v>
      </c>
      <c r="L9" s="65" t="s">
        <v>48</v>
      </c>
      <c r="M9" s="65" t="s">
        <v>49</v>
      </c>
      <c r="N9" s="65" t="s">
        <v>50</v>
      </c>
      <c r="O9" s="65" t="s">
        <v>51</v>
      </c>
      <c r="P9" s="65" t="s">
        <v>52</v>
      </c>
      <c r="Q9" s="65" t="s">
        <v>53</v>
      </c>
    </row>
    <row r="10" spans="1:17" ht="16.5" thickBot="1" x14ac:dyDescent="0.3">
      <c r="A10" s="65" t="s">
        <v>69</v>
      </c>
      <c r="B10" s="65" t="s">
        <v>70</v>
      </c>
      <c r="C10" s="69">
        <v>5945</v>
      </c>
      <c r="D10" s="69">
        <v>8250</v>
      </c>
      <c r="E10" s="71">
        <f>+D10/C10</f>
        <v>1.3877207737594617</v>
      </c>
      <c r="F10" s="71">
        <f>POWER(E10,1/2)</f>
        <v>1.1780156084532418</v>
      </c>
      <c r="G10" s="71">
        <f>F10-1</f>
        <v>0.17801560845324182</v>
      </c>
      <c r="H10" s="67">
        <f>D10*F10</f>
        <v>9718.6287697392454</v>
      </c>
      <c r="I10" s="73">
        <f>H10*$F10</f>
        <v>11448.696383515558</v>
      </c>
      <c r="J10" s="73">
        <f t="shared" ref="J10:Q10" si="0">I10*$F10</f>
        <v>13486.74303622351</v>
      </c>
      <c r="K10" s="73">
        <f t="shared" si="0"/>
        <v>15887.59380386936</v>
      </c>
      <c r="L10" s="73">
        <f t="shared" si="0"/>
        <v>18715.833481723119</v>
      </c>
      <c r="M10" s="73">
        <f t="shared" si="0"/>
        <v>22047.543966681616</v>
      </c>
      <c r="N10" s="73">
        <f t="shared" si="0"/>
        <v>25972.350920810044</v>
      </c>
      <c r="O10" s="73">
        <f t="shared" si="0"/>
        <v>30595.834772939161</v>
      </c>
      <c r="P10" s="73">
        <f t="shared" si="0"/>
        <v>36042.370916178777</v>
      </c>
      <c r="Q10" s="73">
        <f t="shared" si="0"/>
        <v>42458.47550491977</v>
      </c>
    </row>
    <row r="11" spans="1:17" ht="16.5" thickBot="1" x14ac:dyDescent="0.3">
      <c r="B11" s="65" t="s">
        <v>71</v>
      </c>
      <c r="C11" s="67">
        <v>53471</v>
      </c>
      <c r="D11" s="69">
        <v>59987</v>
      </c>
      <c r="E11" s="71">
        <f t="shared" ref="E11:E21" si="1">+D11/C11</f>
        <v>1.1218604477193246</v>
      </c>
      <c r="F11" s="71">
        <f t="shared" ref="F11:F21" si="2">POWER(E11,1/2)</f>
        <v>1.0591791386348792</v>
      </c>
      <c r="G11" s="71">
        <f t="shared" ref="G11:G21" si="3">F11-1</f>
        <v>5.9179138634879225E-2</v>
      </c>
      <c r="H11" s="67">
        <f t="shared" ref="H11:H21" si="4">D11*F11</f>
        <v>63536.978989290503</v>
      </c>
      <c r="I11" s="73">
        <f t="shared" ref="I11:Q21" si="5">H11*$F11</f>
        <v>67297.042677339137</v>
      </c>
      <c r="J11" s="73">
        <f t="shared" si="5"/>
        <v>71279.623695658767</v>
      </c>
      <c r="K11" s="73">
        <f t="shared" si="5"/>
        <v>75497.890428186176</v>
      </c>
      <c r="L11" s="73">
        <f t="shared" si="5"/>
        <v>79965.790552476727</v>
      </c>
      <c r="M11" s="73">
        <f t="shared" si="5"/>
        <v>84698.097157629469</v>
      </c>
      <c r="N11" s="73">
        <f t="shared" si="5"/>
        <v>89710.457591431288</v>
      </c>
      <c r="O11" s="73">
        <f t="shared" si="5"/>
        <v>95019.44519823305</v>
      </c>
      <c r="P11" s="73">
        <f t="shared" si="5"/>
        <v>100642.6141186286</v>
      </c>
      <c r="Q11" s="73">
        <f t="shared" si="5"/>
        <v>106598.55733213158</v>
      </c>
    </row>
    <row r="12" spans="1:17" ht="16.5" thickBot="1" x14ac:dyDescent="0.3">
      <c r="B12" s="65" t="s">
        <v>72</v>
      </c>
      <c r="C12" s="67">
        <v>28240</v>
      </c>
      <c r="D12" s="69">
        <v>32787</v>
      </c>
      <c r="E12" s="71">
        <f t="shared" si="1"/>
        <v>1.161012747875354</v>
      </c>
      <c r="F12" s="71">
        <f t="shared" si="2"/>
        <v>1.0775030152511658</v>
      </c>
      <c r="G12" s="71">
        <f t="shared" si="3"/>
        <v>7.7503015251165763E-2</v>
      </c>
      <c r="H12" s="67">
        <f t="shared" si="4"/>
        <v>35328.091361039973</v>
      </c>
      <c r="I12" s="73">
        <f t="shared" si="5"/>
        <v>38066.124964589231</v>
      </c>
      <c r="J12" s="73">
        <f t="shared" si="5"/>
        <v>41016.364428272573</v>
      </c>
      <c r="K12" s="73">
        <f t="shared" si="5"/>
        <v>44195.256346104354</v>
      </c>
      <c r="L12" s="73">
        <f t="shared" si="5"/>
        <v>47620.521972725663</v>
      </c>
      <c r="M12" s="73">
        <f t="shared" si="5"/>
        <v>51311.256013446291</v>
      </c>
      <c r="N12" s="73">
        <f t="shared" si="5"/>
        <v>55288.033070812889</v>
      </c>
      <c r="O12" s="73">
        <f t="shared" si="5"/>
        <v>59573.022341107055</v>
      </c>
      <c r="P12" s="73">
        <f t="shared" si="5"/>
        <v>64190.111200167914</v>
      </c>
      <c r="Q12" s="73">
        <f t="shared" si="5"/>
        <v>69165.038367488552</v>
      </c>
    </row>
    <row r="13" spans="1:17" ht="16.5" thickBot="1" x14ac:dyDescent="0.3">
      <c r="A13" s="65" t="s">
        <v>73</v>
      </c>
      <c r="B13" s="65" t="s">
        <v>70</v>
      </c>
      <c r="C13" s="67">
        <v>15871</v>
      </c>
      <c r="D13" s="69">
        <v>24829</v>
      </c>
      <c r="E13" s="71">
        <f t="shared" si="1"/>
        <v>1.5644256820616218</v>
      </c>
      <c r="F13" s="71">
        <f t="shared" si="2"/>
        <v>1.2507700356426923</v>
      </c>
      <c r="G13" s="71">
        <f t="shared" si="3"/>
        <v>0.25077003564269229</v>
      </c>
      <c r="H13" s="67">
        <f t="shared" si="4"/>
        <v>31055.369214972408</v>
      </c>
      <c r="I13" s="73">
        <f t="shared" si="5"/>
        <v>38843.125259908011</v>
      </c>
      <c r="J13" s="73">
        <f t="shared" si="5"/>
        <v>48583.817165808701</v>
      </c>
      <c r="K13" s="73">
        <f t="shared" si="5"/>
        <v>60767.182728136591</v>
      </c>
      <c r="L13" s="73">
        <f t="shared" si="5"/>
        <v>76005.771306777402</v>
      </c>
      <c r="M13" s="73">
        <f t="shared" si="5"/>
        <v>95065.741286428296</v>
      </c>
      <c r="N13" s="73">
        <f t="shared" si="5"/>
        <v>118905.38061722489</v>
      </c>
      <c r="O13" s="73">
        <f t="shared" si="5"/>
        <v>148723.28715271427</v>
      </c>
      <c r="P13" s="73">
        <f t="shared" si="5"/>
        <v>186018.63117289878</v>
      </c>
      <c r="Q13" s="73">
        <f t="shared" si="5"/>
        <v>232666.52994233143</v>
      </c>
    </row>
    <row r="14" spans="1:17" ht="16.5" thickBot="1" x14ac:dyDescent="0.3">
      <c r="B14" s="65" t="s">
        <v>71</v>
      </c>
      <c r="C14" s="67">
        <v>373342</v>
      </c>
      <c r="D14" s="69">
        <v>457087</v>
      </c>
      <c r="E14" s="71">
        <f t="shared" si="1"/>
        <v>1.2243117570484972</v>
      </c>
      <c r="F14" s="71">
        <f t="shared" si="2"/>
        <v>1.1064862209031332</v>
      </c>
      <c r="G14" s="71">
        <f t="shared" si="3"/>
        <v>0.1064862209031332</v>
      </c>
      <c r="H14" s="67">
        <f t="shared" si="4"/>
        <v>505760.46725395042</v>
      </c>
      <c r="I14" s="73">
        <f t="shared" si="5"/>
        <v>559616.98809402646</v>
      </c>
      <c r="J14" s="73">
        <f t="shared" si="5"/>
        <v>619208.48630935303</v>
      </c>
      <c r="K14" s="73">
        <f t="shared" si="5"/>
        <v>685145.65796758549</v>
      </c>
      <c r="L14" s="73">
        <f t="shared" si="5"/>
        <v>758104.22985274438</v>
      </c>
      <c r="M14" s="73">
        <f t="shared" si="5"/>
        <v>838831.88434044342</v>
      </c>
      <c r="N14" s="73">
        <f t="shared" si="5"/>
        <v>928155.9216769113</v>
      </c>
      <c r="O14" s="73">
        <f t="shared" si="5"/>
        <v>1026991.7381851501</v>
      </c>
      <c r="P14" s="73">
        <f t="shared" si="5"/>
        <v>1136352.2072832268</v>
      </c>
      <c r="Q14" s="73">
        <f t="shared" si="5"/>
        <v>1257358.0594517514</v>
      </c>
    </row>
    <row r="15" spans="1:17" ht="16.5" thickBot="1" x14ac:dyDescent="0.3">
      <c r="B15" s="65" t="s">
        <v>72</v>
      </c>
      <c r="C15" s="67">
        <v>251699</v>
      </c>
      <c r="D15" s="69">
        <v>327740</v>
      </c>
      <c r="E15" s="71">
        <f t="shared" si="1"/>
        <v>1.3021108546319216</v>
      </c>
      <c r="F15" s="71">
        <f t="shared" si="2"/>
        <v>1.1411007206342136</v>
      </c>
      <c r="G15" s="71">
        <f t="shared" si="3"/>
        <v>0.14110072063421364</v>
      </c>
      <c r="H15" s="67">
        <f t="shared" si="4"/>
        <v>373984.35018065717</v>
      </c>
      <c r="I15" s="73">
        <f t="shared" si="5"/>
        <v>426753.811497066</v>
      </c>
      <c r="J15" s="73">
        <f t="shared" si="5"/>
        <v>486969.08183269936</v>
      </c>
      <c r="K15" s="73">
        <f t="shared" si="5"/>
        <v>555680.77020587458</v>
      </c>
      <c r="L15" s="73">
        <f t="shared" si="5"/>
        <v>634087.72732449835</v>
      </c>
      <c r="M15" s="73">
        <f t="shared" si="5"/>
        <v>723557.96259529586</v>
      </c>
      <c r="N15" s="73">
        <f t="shared" si="5"/>
        <v>825652.51253811549</v>
      </c>
      <c r="O15" s="73">
        <f t="shared" si="5"/>
        <v>942152.67705069273</v>
      </c>
      <c r="P15" s="73">
        <f t="shared" si="5"/>
        <v>1075091.098729999</v>
      </c>
      <c r="Q15" s="73">
        <f t="shared" si="5"/>
        <v>1226787.2275082304</v>
      </c>
    </row>
    <row r="16" spans="1:17" ht="16.5" thickBot="1" x14ac:dyDescent="0.3">
      <c r="A16" s="65" t="s">
        <v>74</v>
      </c>
      <c r="B16" s="65" t="s">
        <v>70</v>
      </c>
      <c r="C16" s="67">
        <v>467481</v>
      </c>
      <c r="D16" s="69">
        <v>602526</v>
      </c>
      <c r="E16" s="71">
        <f t="shared" si="1"/>
        <v>1.2888780506587434</v>
      </c>
      <c r="F16" s="71">
        <f t="shared" si="2"/>
        <v>1.1352876510641448</v>
      </c>
      <c r="G16" s="71">
        <f t="shared" si="3"/>
        <v>0.13528765106414475</v>
      </c>
      <c r="H16" s="67">
        <f t="shared" si="4"/>
        <v>684040.32724507491</v>
      </c>
      <c r="I16" s="73">
        <f t="shared" si="5"/>
        <v>776582.53635120997</v>
      </c>
      <c r="J16" s="73">
        <f t="shared" si="5"/>
        <v>881644.56355160102</v>
      </c>
      <c r="K16" s="73">
        <f t="shared" si="5"/>
        <v>1000920.1856279703</v>
      </c>
      <c r="L16" s="73">
        <f t="shared" si="5"/>
        <v>1136332.3264442661</v>
      </c>
      <c r="M16" s="73">
        <f t="shared" si="5"/>
        <v>1290064.0577171659</v>
      </c>
      <c r="N16" s="73">
        <f t="shared" si="5"/>
        <v>1464593.7938080006</v>
      </c>
      <c r="O16" s="73">
        <f t="shared" si="5"/>
        <v>1662735.2479354094</v>
      </c>
      <c r="P16" s="73">
        <f t="shared" si="5"/>
        <v>1887682.7939701492</v>
      </c>
      <c r="Q16" s="73">
        <f t="shared" si="5"/>
        <v>2143062.9651205726</v>
      </c>
    </row>
    <row r="17" spans="1:17" ht="16.5" thickBot="1" x14ac:dyDescent="0.3">
      <c r="B17" s="65" t="s">
        <v>71</v>
      </c>
      <c r="C17" s="67">
        <v>16809413</v>
      </c>
      <c r="D17" s="69">
        <v>18789020</v>
      </c>
      <c r="E17" s="71">
        <f t="shared" si="1"/>
        <v>1.1177677650016691</v>
      </c>
      <c r="F17" s="71">
        <f t="shared" si="2"/>
        <v>1.057245366507543</v>
      </c>
      <c r="G17" s="71">
        <f t="shared" si="3"/>
        <v>5.7245366507542972E-2</v>
      </c>
      <c r="H17" s="67">
        <f>D17*F17</f>
        <v>19864604.336217556</v>
      </c>
      <c r="I17" s="73">
        <f t="shared" si="5"/>
        <v>21001760.891971659</v>
      </c>
      <c r="J17" s="73">
        <f t="shared" si="5"/>
        <v>22204014.391536359</v>
      </c>
      <c r="K17" s="73">
        <f t="shared" si="5"/>
        <v>23475091.333318617</v>
      </c>
      <c r="L17" s="73">
        <f t="shared" si="5"/>
        <v>24818931.540492486</v>
      </c>
      <c r="M17" s="73">
        <f t="shared" si="5"/>
        <v>26239700.372853596</v>
      </c>
      <c r="N17" s="73">
        <f t="shared" si="5"/>
        <v>27741801.637745712</v>
      </c>
      <c r="O17" s="73">
        <f t="shared" si="5"/>
        <v>29329891.240078021</v>
      </c>
      <c r="P17" s="73">
        <f t="shared" si="5"/>
        <v>31008891.613742661</v>
      </c>
      <c r="Q17" s="73">
        <f t="shared" si="5"/>
        <v>32784006.979164034</v>
      </c>
    </row>
    <row r="18" spans="1:17" ht="16.5" thickBot="1" x14ac:dyDescent="0.3">
      <c r="B18" s="65" t="s">
        <v>72</v>
      </c>
      <c r="C18" s="67">
        <v>5999691</v>
      </c>
      <c r="D18" s="69">
        <v>6805229</v>
      </c>
      <c r="E18" s="71">
        <f t="shared" si="1"/>
        <v>1.1342632478905996</v>
      </c>
      <c r="F18" s="71">
        <f t="shared" si="2"/>
        <v>1.0650179566047699</v>
      </c>
      <c r="G18" s="71">
        <f t="shared" si="3"/>
        <v>6.5017956604769944E-2</v>
      </c>
      <c r="H18" s="67">
        <f t="shared" si="4"/>
        <v>7247691.0838075215</v>
      </c>
      <c r="I18" s="73">
        <f t="shared" si="5"/>
        <v>7718921.1481792973</v>
      </c>
      <c r="J18" s="73">
        <f t="shared" si="5"/>
        <v>8220789.6284272596</v>
      </c>
      <c r="K18" s="73">
        <f t="shared" si="5"/>
        <v>8755288.5717452858</v>
      </c>
      <c r="L18" s="73">
        <f t="shared" si="5"/>
        <v>9324539.5441652592</v>
      </c>
      <c r="M18" s="73">
        <f t="shared" si="5"/>
        <v>9930802.0516072568</v>
      </c>
      <c r="N18" s="73">
        <f t="shared" si="5"/>
        <v>10576482.508449217</v>
      </c>
      <c r="O18" s="73">
        <f t="shared" si="5"/>
        <v>11264143.789214676</v>
      </c>
      <c r="P18" s="73">
        <f t="shared" si="5"/>
        <v>11996515.401291724</v>
      </c>
      <c r="Q18" s="73">
        <f t="shared" si="5"/>
        <v>12776504.319061363</v>
      </c>
    </row>
    <row r="19" spans="1:17" ht="16.5" thickBot="1" x14ac:dyDescent="0.3">
      <c r="A19" s="65" t="s">
        <v>75</v>
      </c>
      <c r="B19" s="65" t="s">
        <v>70</v>
      </c>
      <c r="C19" s="67">
        <v>18222</v>
      </c>
      <c r="D19" s="69">
        <v>24747</v>
      </c>
      <c r="E19" s="71">
        <f t="shared" si="1"/>
        <v>1.3580836351662826</v>
      </c>
      <c r="F19" s="71">
        <f t="shared" si="2"/>
        <v>1.1653684546813006</v>
      </c>
      <c r="G19" s="71">
        <f t="shared" si="3"/>
        <v>0.16536845468130057</v>
      </c>
      <c r="H19" s="67">
        <f t="shared" si="4"/>
        <v>28839.373147998143</v>
      </c>
      <c r="I19" s="73">
        <f t="shared" si="5"/>
        <v>33608.495719459992</v>
      </c>
      <c r="J19" s="73">
        <f t="shared" si="5"/>
        <v>39166.280720750197</v>
      </c>
      <c r="K19" s="73">
        <f t="shared" si="5"/>
        <v>45643.148039154672</v>
      </c>
      <c r="L19" s="73">
        <f t="shared" si="5"/>
        <v>53191.084897179513</v>
      </c>
      <c r="M19" s="73">
        <f t="shared" si="5"/>
        <v>61987.212409447951</v>
      </c>
      <c r="N19" s="73">
        <f t="shared" si="5"/>
        <v>72237.941935599898</v>
      </c>
      <c r="O19" s="73">
        <f t="shared" si="5"/>
        <v>84183.818762847572</v>
      </c>
      <c r="P19" s="73">
        <f t="shared" si="5"/>
        <v>98105.166780830346</v>
      </c>
      <c r="Q19" s="73">
        <f t="shared" si="5"/>
        <v>114328.66660762753</v>
      </c>
    </row>
    <row r="20" spans="1:17" s="75" customFormat="1" ht="16.5" thickBot="1" x14ac:dyDescent="0.3">
      <c r="B20" s="75" t="s">
        <v>71</v>
      </c>
      <c r="C20" s="76">
        <v>544039</v>
      </c>
      <c r="D20" s="77">
        <v>446205</v>
      </c>
      <c r="E20" s="78">
        <f t="shared" si="1"/>
        <v>0.82017098038927361</v>
      </c>
      <c r="F20" s="78">
        <f>(F19+F21)/2</f>
        <v>1.1425172637463177</v>
      </c>
      <c r="G20" s="78">
        <f t="shared" si="3"/>
        <v>0.14251726374631768</v>
      </c>
      <c r="H20" s="76">
        <f t="shared" si="4"/>
        <v>509796.91566992569</v>
      </c>
      <c r="I20" s="74">
        <f t="shared" si="5"/>
        <v>582451.77715751575</v>
      </c>
      <c r="J20" s="74">
        <f t="shared" si="5"/>
        <v>665461.21070218482</v>
      </c>
      <c r="K20" s="74">
        <f t="shared" si="5"/>
        <v>760300.92158077203</v>
      </c>
      <c r="L20" s="74">
        <f t="shared" si="5"/>
        <v>868656.92854826734</v>
      </c>
      <c r="M20" s="74">
        <f t="shared" si="5"/>
        <v>992455.53713924694</v>
      </c>
      <c r="N20" s="74">
        <f t="shared" si="5"/>
        <v>1133897.5846822143</v>
      </c>
      <c r="O20" s="74">
        <f t="shared" si="5"/>
        <v>1295497.5658196821</v>
      </c>
      <c r="P20" s="74">
        <f t="shared" si="5"/>
        <v>1480128.3340903183</v>
      </c>
      <c r="Q20" s="74">
        <f>P20*$F20</f>
        <v>1691072.1742582661</v>
      </c>
    </row>
    <row r="21" spans="1:17" ht="16.5" thickBot="1" x14ac:dyDescent="0.3">
      <c r="B21" s="65" t="s">
        <v>72</v>
      </c>
      <c r="C21" s="70">
        <v>378274</v>
      </c>
      <c r="D21" s="69">
        <v>474224</v>
      </c>
      <c r="E21" s="71">
        <f t="shared" si="1"/>
        <v>1.2536521146047575</v>
      </c>
      <c r="F21" s="71">
        <f t="shared" si="2"/>
        <v>1.1196660728113348</v>
      </c>
      <c r="G21" s="71">
        <f t="shared" si="3"/>
        <v>0.11966607281133479</v>
      </c>
      <c r="H21" s="67">
        <f t="shared" si="4"/>
        <v>530972.52371288242</v>
      </c>
      <c r="I21" s="73">
        <f t="shared" si="5"/>
        <v>594511.92039632634</v>
      </c>
      <c r="J21" s="73">
        <f t="shared" si="5"/>
        <v>665654.82714967965</v>
      </c>
      <c r="K21" s="73">
        <f t="shared" si="5"/>
        <v>745311.12616258964</v>
      </c>
      <c r="L21" s="73">
        <f t="shared" si="5"/>
        <v>834499.58165306004</v>
      </c>
      <c r="M21" s="73">
        <f t="shared" si="5"/>
        <v>934360.86935218354</v>
      </c>
      <c r="N21" s="73">
        <f t="shared" si="5"/>
        <v>1046172.165176144</v>
      </c>
      <c r="O21" s="73">
        <f t="shared" si="5"/>
        <v>1171363.4796673041</v>
      </c>
      <c r="P21" s="73">
        <f t="shared" si="5"/>
        <v>1311535.9471137102</v>
      </c>
      <c r="Q21" s="73">
        <f t="shared" si="5"/>
        <v>1468482.3032557024</v>
      </c>
    </row>
    <row r="23" spans="1:17" x14ac:dyDescent="0.25">
      <c r="C23" s="72">
        <f>C17/C20</f>
        <v>30.897441176092155</v>
      </c>
      <c r="D23" s="72">
        <f>D17/D20</f>
        <v>42.108492733160766</v>
      </c>
      <c r="H23" s="72">
        <f>H17/H20</f>
        <v>38.965720908910207</v>
      </c>
      <c r="I23" s="72">
        <f t="shared" ref="I23:P23" si="6">I17/I20</f>
        <v>36.057510193315167</v>
      </c>
      <c r="J23" s="72">
        <f t="shared" si="6"/>
        <v>33.366354093136415</v>
      </c>
      <c r="K23" s="72">
        <f t="shared" si="6"/>
        <v>30.876052714115637</v>
      </c>
      <c r="L23" s="72">
        <f t="shared" si="6"/>
        <v>28.571615242821849</v>
      </c>
      <c r="M23" s="72">
        <f t="shared" si="6"/>
        <v>26.439169706775512</v>
      </c>
      <c r="N23" s="72">
        <f t="shared" si="6"/>
        <v>24.465879469635361</v>
      </c>
      <c r="O23" s="72">
        <f t="shared" si="6"/>
        <v>22.639865958775868</v>
      </c>
      <c r="P23" s="72">
        <f t="shared" si="6"/>
        <v>20.95013716010012</v>
      </c>
      <c r="Q23" s="72">
        <f>Q17/Q20</f>
        <v>19.386521449649937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2"/>
  <sheetViews>
    <sheetView workbookViewId="0">
      <selection activeCell="B20" sqref="B20:B22"/>
    </sheetView>
  </sheetViews>
  <sheetFormatPr baseColWidth="10" defaultColWidth="11.42578125" defaultRowHeight="12.75" x14ac:dyDescent="0.2"/>
  <cols>
    <col min="1" max="1" width="11.42578125" style="79"/>
    <col min="2" max="2" width="30.42578125" style="79" customWidth="1"/>
    <col min="3" max="3" width="16.140625" style="79" customWidth="1"/>
    <col min="4" max="4" width="16.42578125" style="79" customWidth="1"/>
    <col min="5" max="5" width="12.85546875" style="79" bestFit="1" customWidth="1"/>
    <col min="6" max="9" width="12.5703125" style="79" bestFit="1" customWidth="1"/>
    <col min="10" max="16384" width="11.42578125" style="79"/>
  </cols>
  <sheetData>
    <row r="2" spans="2:9" ht="13.5" thickBot="1" x14ac:dyDescent="0.25">
      <c r="C2" s="79" t="s">
        <v>62</v>
      </c>
    </row>
    <row r="3" spans="2:9" ht="13.5" thickBot="1" x14ac:dyDescent="0.25">
      <c r="C3" s="79" t="s">
        <v>66</v>
      </c>
      <c r="F3" s="80">
        <v>15871</v>
      </c>
      <c r="G3" s="81">
        <v>373342</v>
      </c>
      <c r="H3" s="80">
        <v>251699</v>
      </c>
      <c r="I3" s="80">
        <v>467481</v>
      </c>
    </row>
    <row r="4" spans="2:9" x14ac:dyDescent="0.2">
      <c r="C4" s="79" t="s">
        <v>63</v>
      </c>
    </row>
    <row r="5" spans="2:9" x14ac:dyDescent="0.2">
      <c r="C5" s="79" t="s">
        <v>64</v>
      </c>
    </row>
    <row r="6" spans="2:9" x14ac:dyDescent="0.2">
      <c r="C6" s="79" t="s">
        <v>65</v>
      </c>
    </row>
    <row r="7" spans="2:9" x14ac:dyDescent="0.2">
      <c r="C7" s="79" t="s">
        <v>77</v>
      </c>
    </row>
    <row r="8" spans="2:9" ht="23.85" customHeight="1" thickBot="1" x14ac:dyDescent="0.25">
      <c r="B8" s="97" t="s">
        <v>83</v>
      </c>
    </row>
    <row r="9" spans="2:9" ht="23.85" customHeight="1" x14ac:dyDescent="0.2">
      <c r="B9" s="398" t="s">
        <v>82</v>
      </c>
      <c r="C9" s="396" t="s">
        <v>81</v>
      </c>
      <c r="D9" s="394" t="s">
        <v>79</v>
      </c>
      <c r="E9" s="391" t="s">
        <v>80</v>
      </c>
      <c r="F9" s="392"/>
      <c r="G9" s="392"/>
      <c r="H9" s="392"/>
      <c r="I9" s="393"/>
    </row>
    <row r="10" spans="2:9" ht="13.5" thickBot="1" x14ac:dyDescent="0.25">
      <c r="B10" s="399"/>
      <c r="C10" s="397"/>
      <c r="D10" s="395"/>
      <c r="E10" s="95" t="s">
        <v>44</v>
      </c>
      <c r="F10" s="95" t="s">
        <v>45</v>
      </c>
      <c r="G10" s="95" t="s">
        <v>46</v>
      </c>
      <c r="H10" s="95" t="s">
        <v>47</v>
      </c>
      <c r="I10" s="96" t="s">
        <v>48</v>
      </c>
    </row>
    <row r="11" spans="2:9" x14ac:dyDescent="0.2">
      <c r="B11" s="388" t="s">
        <v>69</v>
      </c>
      <c r="C11" s="91" t="s">
        <v>70</v>
      </c>
      <c r="D11" s="92">
        <v>8250</v>
      </c>
      <c r="E11" s="92">
        <v>9718.6287697392454</v>
      </c>
      <c r="F11" s="93">
        <v>11448.696383515558</v>
      </c>
      <c r="G11" s="93">
        <v>13486.74303622351</v>
      </c>
      <c r="H11" s="93">
        <v>15887.59380386936</v>
      </c>
      <c r="I11" s="94">
        <v>18715.833481723119</v>
      </c>
    </row>
    <row r="12" spans="2:9" ht="14.25" customHeight="1" x14ac:dyDescent="0.2">
      <c r="B12" s="389"/>
      <c r="C12" s="82" t="s">
        <v>71</v>
      </c>
      <c r="D12" s="83">
        <v>59987</v>
      </c>
      <c r="E12" s="83">
        <v>63536.978989290503</v>
      </c>
      <c r="F12" s="84">
        <v>67297.042677339137</v>
      </c>
      <c r="G12" s="84">
        <v>71279.623695658767</v>
      </c>
      <c r="H12" s="84">
        <v>75497.890428186176</v>
      </c>
      <c r="I12" s="85">
        <v>79965.790552476727</v>
      </c>
    </row>
    <row r="13" spans="2:9" ht="14.85" customHeight="1" thickBot="1" x14ac:dyDescent="0.25">
      <c r="B13" s="390"/>
      <c r="C13" s="87" t="s">
        <v>72</v>
      </c>
      <c r="D13" s="88">
        <v>32787</v>
      </c>
      <c r="E13" s="88">
        <v>35328.091361039973</v>
      </c>
      <c r="F13" s="89">
        <v>38066.124964589231</v>
      </c>
      <c r="G13" s="89">
        <v>41016.364428272573</v>
      </c>
      <c r="H13" s="89">
        <v>44195.256346104354</v>
      </c>
      <c r="I13" s="90">
        <v>47620.521972725663</v>
      </c>
    </row>
    <row r="14" spans="2:9" x14ac:dyDescent="0.2">
      <c r="B14" s="388" t="s">
        <v>73</v>
      </c>
      <c r="C14" s="91" t="s">
        <v>70</v>
      </c>
      <c r="D14" s="92">
        <v>24829</v>
      </c>
      <c r="E14" s="92">
        <v>31055.369214972408</v>
      </c>
      <c r="F14" s="93">
        <v>38843.125259908011</v>
      </c>
      <c r="G14" s="93">
        <v>48583.817165808701</v>
      </c>
      <c r="H14" s="93">
        <v>60767.182728136591</v>
      </c>
      <c r="I14" s="94">
        <v>76005.771306777402</v>
      </c>
    </row>
    <row r="15" spans="2:9" x14ac:dyDescent="0.2">
      <c r="B15" s="389"/>
      <c r="C15" s="82" t="s">
        <v>71</v>
      </c>
      <c r="D15" s="83">
        <v>457087</v>
      </c>
      <c r="E15" s="83">
        <v>505760.46725395042</v>
      </c>
      <c r="F15" s="84">
        <v>559616.98809402646</v>
      </c>
      <c r="G15" s="84">
        <v>619208.48630935303</v>
      </c>
      <c r="H15" s="84">
        <v>685145.65796758549</v>
      </c>
      <c r="I15" s="85">
        <v>758104.22985274438</v>
      </c>
    </row>
    <row r="16" spans="2:9" ht="13.5" thickBot="1" x14ac:dyDescent="0.25">
      <c r="B16" s="390"/>
      <c r="C16" s="87" t="s">
        <v>72</v>
      </c>
      <c r="D16" s="88">
        <v>327740</v>
      </c>
      <c r="E16" s="88">
        <v>373984.35018065717</v>
      </c>
      <c r="F16" s="89">
        <v>426753.811497066</v>
      </c>
      <c r="G16" s="89">
        <v>486969.08183269936</v>
      </c>
      <c r="H16" s="89">
        <v>555680.77020587458</v>
      </c>
      <c r="I16" s="90">
        <v>634087.72732449835</v>
      </c>
    </row>
    <row r="17" spans="2:9" x14ac:dyDescent="0.2">
      <c r="B17" s="388" t="s">
        <v>74</v>
      </c>
      <c r="C17" s="91" t="s">
        <v>70</v>
      </c>
      <c r="D17" s="92">
        <v>602526</v>
      </c>
      <c r="E17" s="92">
        <v>684040.32724507491</v>
      </c>
      <c r="F17" s="93">
        <v>776582.53635120997</v>
      </c>
      <c r="G17" s="93">
        <v>881644.56355160102</v>
      </c>
      <c r="H17" s="93">
        <v>1000920.1856279703</v>
      </c>
      <c r="I17" s="94">
        <v>1136332.3264442661</v>
      </c>
    </row>
    <row r="18" spans="2:9" x14ac:dyDescent="0.2">
      <c r="B18" s="389"/>
      <c r="C18" s="82" t="s">
        <v>71</v>
      </c>
      <c r="D18" s="83">
        <v>18789020</v>
      </c>
      <c r="E18" s="83">
        <v>19864604.336217556</v>
      </c>
      <c r="F18" s="84">
        <v>21001760.891971659</v>
      </c>
      <c r="G18" s="84">
        <v>22204014.391536359</v>
      </c>
      <c r="H18" s="84">
        <v>23475091.333318617</v>
      </c>
      <c r="I18" s="85">
        <v>24818931.540492486</v>
      </c>
    </row>
    <row r="19" spans="2:9" ht="13.5" thickBot="1" x14ac:dyDescent="0.25">
      <c r="B19" s="390"/>
      <c r="C19" s="87" t="s">
        <v>72</v>
      </c>
      <c r="D19" s="88">
        <v>6805229</v>
      </c>
      <c r="E19" s="88">
        <v>7247691.0838075215</v>
      </c>
      <c r="F19" s="89">
        <v>7718921.1481792973</v>
      </c>
      <c r="G19" s="89">
        <v>8220789.6284272596</v>
      </c>
      <c r="H19" s="89">
        <v>8755288.5717452858</v>
      </c>
      <c r="I19" s="90">
        <v>9324539.5441652592</v>
      </c>
    </row>
    <row r="20" spans="2:9" x14ac:dyDescent="0.2">
      <c r="B20" s="388" t="s">
        <v>75</v>
      </c>
      <c r="C20" s="91" t="s">
        <v>70</v>
      </c>
      <c r="D20" s="92">
        <v>24747</v>
      </c>
      <c r="E20" s="92">
        <v>28839.373147998143</v>
      </c>
      <c r="F20" s="93">
        <v>33608.495719459992</v>
      </c>
      <c r="G20" s="93">
        <v>39166.280720750197</v>
      </c>
      <c r="H20" s="93">
        <v>45643.148039154672</v>
      </c>
      <c r="I20" s="94">
        <v>53191.084897179513</v>
      </c>
    </row>
    <row r="21" spans="2:9" s="86" customFormat="1" x14ac:dyDescent="0.2">
      <c r="B21" s="389"/>
      <c r="C21" s="82" t="s">
        <v>71</v>
      </c>
      <c r="D21" s="83">
        <v>446205</v>
      </c>
      <c r="E21" s="83">
        <v>509796.91566992569</v>
      </c>
      <c r="F21" s="84">
        <v>582451.77715751575</v>
      </c>
      <c r="G21" s="84">
        <v>665461.21070218482</v>
      </c>
      <c r="H21" s="84">
        <v>760300.92158077203</v>
      </c>
      <c r="I21" s="85">
        <v>868656.92854826734</v>
      </c>
    </row>
    <row r="22" spans="2:9" ht="13.5" thickBot="1" x14ac:dyDescent="0.25">
      <c r="B22" s="390"/>
      <c r="C22" s="87" t="s">
        <v>72</v>
      </c>
      <c r="D22" s="88">
        <v>474224</v>
      </c>
      <c r="E22" s="88">
        <v>530972.52371288242</v>
      </c>
      <c r="F22" s="89">
        <v>594511.92039632634</v>
      </c>
      <c r="G22" s="89">
        <v>665654.82714967965</v>
      </c>
      <c r="H22" s="89">
        <v>745311.12616258964</v>
      </c>
      <c r="I22" s="90">
        <v>834499.58165306004</v>
      </c>
    </row>
  </sheetData>
  <mergeCells count="8">
    <mergeCell ref="B17:B19"/>
    <mergeCell ref="B20:B22"/>
    <mergeCell ref="E9:I9"/>
    <mergeCell ref="D9:D10"/>
    <mergeCell ref="C9:C10"/>
    <mergeCell ref="B9:B10"/>
    <mergeCell ref="B11:B13"/>
    <mergeCell ref="B14:B16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7"/>
  <sheetViews>
    <sheetView topLeftCell="A10" workbookViewId="0">
      <selection activeCell="A10" sqref="A1:XFD1048576"/>
    </sheetView>
  </sheetViews>
  <sheetFormatPr baseColWidth="10" defaultRowHeight="15" x14ac:dyDescent="0.25"/>
  <cols>
    <col min="2" max="2" width="18.140625" customWidth="1"/>
    <col min="3" max="3" width="13.85546875" customWidth="1"/>
    <col min="8" max="8" width="9.140625" bestFit="1" customWidth="1"/>
    <col min="9" max="9" width="1.5703125" bestFit="1" customWidth="1"/>
    <col min="10" max="11" width="9.140625" bestFit="1" customWidth="1"/>
    <col min="12" max="12" width="1.5703125" bestFit="1" customWidth="1"/>
    <col min="13" max="14" width="9.140625" bestFit="1" customWidth="1"/>
    <col min="15" max="15" width="1.5703125" bestFit="1" customWidth="1"/>
    <col min="16" max="17" width="9.140625" bestFit="1" customWidth="1"/>
    <col min="18" max="18" width="1.5703125" bestFit="1" customWidth="1"/>
    <col min="19" max="20" width="9.140625" bestFit="1" customWidth="1"/>
    <col min="21" max="21" width="1.5703125" bestFit="1" customWidth="1"/>
    <col min="22" max="23" width="9.140625" bestFit="1" customWidth="1"/>
    <col min="24" max="24" width="1.5703125" bestFit="1" customWidth="1"/>
    <col min="25" max="26" width="9.140625" bestFit="1" customWidth="1"/>
    <col min="27" max="27" width="1.5703125" bestFit="1" customWidth="1"/>
    <col min="28" max="29" width="9.140625" bestFit="1" customWidth="1"/>
    <col min="30" max="30" width="1.5703125" bestFit="1" customWidth="1"/>
    <col min="31" max="32" width="9.140625" bestFit="1" customWidth="1"/>
    <col min="33" max="33" width="1.5703125" bestFit="1" customWidth="1"/>
    <col min="34" max="34" width="9.140625" bestFit="1" customWidth="1"/>
  </cols>
  <sheetData>
    <row r="1" spans="1:34" ht="31.35" customHeight="1" x14ac:dyDescent="0.25">
      <c r="B1" s="275" t="s">
        <v>108</v>
      </c>
      <c r="C1" s="275"/>
      <c r="D1" s="275"/>
      <c r="E1" s="275"/>
      <c r="F1" s="275"/>
      <c r="G1" s="275"/>
      <c r="H1" s="275"/>
      <c r="I1" s="275"/>
      <c r="J1" s="275"/>
    </row>
    <row r="2" spans="1:34" s="100" customFormat="1" x14ac:dyDescent="0.25">
      <c r="B2" s="287" t="s">
        <v>103</v>
      </c>
      <c r="C2" s="287"/>
      <c r="D2" s="101" t="s">
        <v>67</v>
      </c>
      <c r="E2" s="118">
        <f>VALUE(RIGHT(D2, 4))</f>
        <v>2018</v>
      </c>
      <c r="F2" s="291" t="s">
        <v>109</v>
      </c>
    </row>
    <row r="3" spans="1:34" x14ac:dyDescent="0.25">
      <c r="B3" s="288" t="s">
        <v>104</v>
      </c>
      <c r="C3" s="288"/>
      <c r="D3" s="102" t="s">
        <v>43</v>
      </c>
      <c r="E3" s="103">
        <f>VALUE(RIGHT(D3, 4))</f>
        <v>2020</v>
      </c>
      <c r="F3" s="291"/>
      <c r="H3" t="s">
        <v>67</v>
      </c>
    </row>
    <row r="4" spans="1:34" x14ac:dyDescent="0.25">
      <c r="B4" s="288" t="s">
        <v>105</v>
      </c>
      <c r="C4" s="288"/>
      <c r="D4">
        <f>E3-E2</f>
        <v>2</v>
      </c>
      <c r="H4" t="s">
        <v>43</v>
      </c>
    </row>
    <row r="5" spans="1:34" x14ac:dyDescent="0.25">
      <c r="B5" s="288"/>
      <c r="C5" s="288"/>
    </row>
    <row r="6" spans="1:34" s="100" customFormat="1" x14ac:dyDescent="0.25">
      <c r="A6" s="104" t="s">
        <v>111</v>
      </c>
      <c r="B6" s="174" t="s">
        <v>168</v>
      </c>
      <c r="C6" s="105" t="s">
        <v>170</v>
      </c>
      <c r="D6" s="104" t="str">
        <f>D2</f>
        <v>2017-2018</v>
      </c>
      <c r="E6" s="104" t="str">
        <f>D3</f>
        <v>2019-2020</v>
      </c>
      <c r="F6" s="104" t="s">
        <v>106</v>
      </c>
      <c r="G6" s="104" t="s">
        <v>68</v>
      </c>
      <c r="H6" s="104">
        <f>VALUE(LEFT(D2, 4))+1</f>
        <v>2018</v>
      </c>
      <c r="I6" s="107" t="s">
        <v>107</v>
      </c>
      <c r="J6" s="108">
        <f>VALUE(RIGHT(D2, 4))+1</f>
        <v>2019</v>
      </c>
      <c r="K6" s="104">
        <f>H6+1</f>
        <v>2019</v>
      </c>
      <c r="L6" s="107" t="s">
        <v>107</v>
      </c>
      <c r="M6" s="108">
        <f>J6+1</f>
        <v>2020</v>
      </c>
      <c r="N6" s="104">
        <f>K6+1</f>
        <v>2020</v>
      </c>
      <c r="O6" s="107" t="s">
        <v>107</v>
      </c>
      <c r="P6" s="108">
        <f>M6+1</f>
        <v>2021</v>
      </c>
      <c r="Q6" s="104">
        <f>N6+1</f>
        <v>2021</v>
      </c>
      <c r="R6" s="107" t="s">
        <v>107</v>
      </c>
      <c r="S6" s="108">
        <f>P6+1</f>
        <v>2022</v>
      </c>
      <c r="T6" s="104">
        <f t="shared" ref="T6" si="0">Q6+1</f>
        <v>2022</v>
      </c>
      <c r="U6" s="107" t="s">
        <v>107</v>
      </c>
      <c r="V6" s="108">
        <f t="shared" ref="V6:W6" si="1">S6+1</f>
        <v>2023</v>
      </c>
      <c r="W6" s="104">
        <f t="shared" si="1"/>
        <v>2023</v>
      </c>
      <c r="X6" s="107" t="s">
        <v>107</v>
      </c>
      <c r="Y6" s="108">
        <f t="shared" ref="Y6:Z6" si="2">V6+1</f>
        <v>2024</v>
      </c>
      <c r="Z6" s="104">
        <f t="shared" si="2"/>
        <v>2024</v>
      </c>
      <c r="AA6" s="107" t="s">
        <v>107</v>
      </c>
      <c r="AB6" s="108">
        <f t="shared" ref="AB6:AC6" si="3">Y6+1</f>
        <v>2025</v>
      </c>
      <c r="AC6" s="104">
        <f t="shared" si="3"/>
        <v>2025</v>
      </c>
      <c r="AD6" s="107" t="s">
        <v>107</v>
      </c>
      <c r="AE6" s="108">
        <f t="shared" ref="AE6:AF6" si="4">AB6+1</f>
        <v>2026</v>
      </c>
      <c r="AF6" s="104">
        <f t="shared" si="4"/>
        <v>2026</v>
      </c>
      <c r="AG6" s="107" t="s">
        <v>107</v>
      </c>
      <c r="AH6" s="108">
        <f t="shared" ref="AH6" si="5">AE6+1</f>
        <v>2027</v>
      </c>
    </row>
    <row r="7" spans="1:34" ht="15.75" x14ac:dyDescent="0.25">
      <c r="A7" s="175"/>
      <c r="B7" s="172" t="s">
        <v>198</v>
      </c>
      <c r="C7" s="181" t="s">
        <v>171</v>
      </c>
      <c r="D7" s="109">
        <v>61651</v>
      </c>
      <c r="E7" s="110">
        <v>52244</v>
      </c>
      <c r="F7" s="112">
        <f t="shared" ref="F7:F18" si="6">POWER(E7/D7,1/n)</f>
        <v>0.97278317204440212</v>
      </c>
      <c r="G7" s="112">
        <f>F7-1</f>
        <v>-2.7216827955597878E-2</v>
      </c>
      <c r="H7" s="276">
        <f>D7*(G7+1)</f>
        <v>59973.055339709434</v>
      </c>
      <c r="I7" s="276"/>
      <c r="J7" s="276"/>
      <c r="K7" s="276">
        <f>H7*($G$7+1)</f>
        <v>58340.779010557009</v>
      </c>
      <c r="L7" s="276"/>
      <c r="M7" s="276"/>
      <c r="N7" s="276">
        <f t="shared" ref="N7" si="7">K7*($G$7+1)</f>
        <v>56752.928065431122</v>
      </c>
      <c r="O7" s="276"/>
      <c r="P7" s="276"/>
      <c r="Q7" s="276">
        <f t="shared" ref="Q7" si="8">N7*($G$7+1)</f>
        <v>55208.293386297861</v>
      </c>
      <c r="R7" s="276"/>
      <c r="S7" s="276"/>
      <c r="T7" s="276">
        <f t="shared" ref="T7" si="9">Q7*($G$7+1)</f>
        <v>53705.698763480817</v>
      </c>
      <c r="U7" s="276"/>
      <c r="V7" s="276"/>
      <c r="W7" s="276">
        <f t="shared" ref="W7" si="10">T7*($G$7+1)</f>
        <v>52243.999999999993</v>
      </c>
      <c r="X7" s="276"/>
      <c r="Y7" s="276"/>
      <c r="Z7" s="276">
        <f t="shared" ref="Z7" si="11">W7*($G$7+1)</f>
        <v>50822.084040287737</v>
      </c>
      <c r="AA7" s="276"/>
      <c r="AB7" s="276"/>
      <c r="AC7" s="276">
        <f t="shared" ref="AC7" si="12">Z7*($G$7+1)</f>
        <v>49438.868122618289</v>
      </c>
      <c r="AD7" s="276"/>
      <c r="AE7" s="276"/>
      <c r="AF7" s="276">
        <f t="shared" ref="AF7" si="13">AC7*($G$7+1)</f>
        <v>48093.298954605496</v>
      </c>
      <c r="AG7" s="276"/>
      <c r="AH7" s="276"/>
    </row>
    <row r="8" spans="1:34" ht="15.75" x14ac:dyDescent="0.25">
      <c r="A8" s="176"/>
      <c r="B8" s="173" t="s">
        <v>199</v>
      </c>
      <c r="C8" s="182" t="s">
        <v>172</v>
      </c>
      <c r="D8" s="109">
        <v>6691</v>
      </c>
      <c r="E8" s="110">
        <v>8728</v>
      </c>
      <c r="F8" s="111">
        <f t="shared" si="6"/>
        <v>1.0452911769022624</v>
      </c>
      <c r="G8" s="111">
        <f t="shared" ref="G8:G18" si="14">F8-1</f>
        <v>4.5291176902262364E-2</v>
      </c>
      <c r="H8" s="277">
        <f t="shared" ref="H8:H18" si="15">D8*(G8+1)</f>
        <v>6994.0432646530371</v>
      </c>
      <c r="I8" s="277"/>
      <c r="J8" s="277"/>
      <c r="K8" s="277">
        <f>H8*($G$8+1)</f>
        <v>7310.8117154145148</v>
      </c>
      <c r="L8" s="277"/>
      <c r="M8" s="277"/>
      <c r="N8" s="277">
        <f>K8*($G$8+1)</f>
        <v>7641.9269821164853</v>
      </c>
      <c r="O8" s="277"/>
      <c r="P8" s="277"/>
      <c r="Q8" s="277">
        <f t="shared" ref="Q8" si="16">N8*($G$8+1)</f>
        <v>7988.0388489376946</v>
      </c>
      <c r="R8" s="277"/>
      <c r="S8" s="277"/>
      <c r="T8" s="277">
        <f t="shared" ref="T8" si="17">Q8*($G$8+1)</f>
        <v>8349.8265295470756</v>
      </c>
      <c r="U8" s="277"/>
      <c r="V8" s="277"/>
      <c r="W8" s="277">
        <f t="shared" ref="W8" si="18">T8*($G$8+1)</f>
        <v>8727.9999999999964</v>
      </c>
      <c r="X8" s="277"/>
      <c r="Y8" s="277"/>
      <c r="Z8" s="277">
        <f t="shared" ref="Z8" si="19">W8*($G$8+1)</f>
        <v>9123.3013920029425</v>
      </c>
      <c r="AA8" s="277"/>
      <c r="AB8" s="277"/>
      <c r="AC8" s="277">
        <f t="shared" ref="AC8" si="20">Z8*($G$8+1)</f>
        <v>9536.5064492808051</v>
      </c>
      <c r="AD8" s="277"/>
      <c r="AE8" s="277"/>
      <c r="AF8" s="277">
        <f t="shared" ref="AF8" si="21">AC8*($G$8+1)</f>
        <v>9968.4260499047487</v>
      </c>
      <c r="AG8" s="277"/>
      <c r="AH8" s="277"/>
    </row>
    <row r="9" spans="1:34" ht="15.75" x14ac:dyDescent="0.25">
      <c r="A9" s="177"/>
      <c r="B9" s="173" t="s">
        <v>200</v>
      </c>
      <c r="C9" s="182" t="s">
        <v>173</v>
      </c>
      <c r="D9" s="109">
        <v>2847</v>
      </c>
      <c r="E9" s="110">
        <v>5362</v>
      </c>
      <c r="F9" s="111">
        <f t="shared" si="6"/>
        <v>1.1112792974630612</v>
      </c>
      <c r="G9" s="111">
        <f t="shared" si="14"/>
        <v>0.1112792974630612</v>
      </c>
      <c r="H9" s="277">
        <f t="shared" si="15"/>
        <v>3163.812159877335</v>
      </c>
      <c r="I9" s="277"/>
      <c r="J9" s="277"/>
      <c r="K9" s="277">
        <f>H9*($G$9+1)</f>
        <v>3515.8789543335752</v>
      </c>
      <c r="L9" s="277"/>
      <c r="M9" s="277"/>
      <c r="N9" s="277">
        <f>K9*($G$9+1)</f>
        <v>3907.1234943369777</v>
      </c>
      <c r="O9" s="277"/>
      <c r="P9" s="277"/>
      <c r="Q9" s="277">
        <f t="shared" ref="Q9" si="22">N9*($G$9+1)</f>
        <v>4341.9054518882176</v>
      </c>
      <c r="R9" s="277"/>
      <c r="S9" s="277"/>
      <c r="T9" s="277">
        <f t="shared" ref="T9" si="23">Q9*($G$9+1)</f>
        <v>4825.0696402253734</v>
      </c>
      <c r="U9" s="277"/>
      <c r="V9" s="277"/>
      <c r="W9" s="277">
        <f t="shared" ref="W9" si="24">T9*($G$9+1)</f>
        <v>5361.9999999999982</v>
      </c>
      <c r="X9" s="277"/>
      <c r="Y9" s="277"/>
      <c r="Z9" s="277">
        <f t="shared" ref="Z9" si="25">W9*($G$9+1)</f>
        <v>5958.6795929969321</v>
      </c>
      <c r="AA9" s="277"/>
      <c r="AB9" s="277"/>
      <c r="AC9" s="277">
        <f t="shared" ref="AC9" si="26">Z9*($G$9+1)</f>
        <v>6621.7572719131103</v>
      </c>
      <c r="AD9" s="277"/>
      <c r="AE9" s="277"/>
      <c r="AF9" s="277">
        <f t="shared" ref="AF9" si="27">AC9*($G$9+1)</f>
        <v>7358.6217691025176</v>
      </c>
      <c r="AG9" s="277"/>
      <c r="AH9" s="277"/>
    </row>
    <row r="10" spans="1:34" ht="15.75" x14ac:dyDescent="0.25">
      <c r="A10" s="175"/>
      <c r="B10" s="172" t="s">
        <v>201</v>
      </c>
      <c r="C10" s="181" t="s">
        <v>174</v>
      </c>
      <c r="D10" s="109">
        <v>24647</v>
      </c>
      <c r="E10" s="110">
        <v>33460</v>
      </c>
      <c r="F10" s="112">
        <f t="shared" si="6"/>
        <v>1.0522694903617316</v>
      </c>
      <c r="G10" s="112">
        <f t="shared" si="14"/>
        <v>5.2269490361731563E-2</v>
      </c>
      <c r="H10" s="276">
        <f t="shared" si="15"/>
        <v>25935.286128945598</v>
      </c>
      <c r="I10" s="276"/>
      <c r="J10" s="276"/>
      <c r="K10" s="276">
        <f>H10*($G$10+1)</f>
        <v>27290.910317291269</v>
      </c>
      <c r="L10" s="276"/>
      <c r="M10" s="276"/>
      <c r="N10" s="276">
        <f>K10*($G$10+1)</f>
        <v>28717.392291083805</v>
      </c>
      <c r="O10" s="276"/>
      <c r="P10" s="276"/>
      <c r="Q10" s="276">
        <f t="shared" ref="Q10" si="28">N10*($G$10+1)</f>
        <v>30218.435750656674</v>
      </c>
      <c r="R10" s="276"/>
      <c r="S10" s="276"/>
      <c r="T10" s="276">
        <f t="shared" ref="T10" si="29">Q10*($G$10+1)</f>
        <v>31797.937986872228</v>
      </c>
      <c r="U10" s="276"/>
      <c r="V10" s="276"/>
      <c r="W10" s="276">
        <f t="shared" ref="W10" si="30">T10*($G$10+1)</f>
        <v>33459.999999999985</v>
      </c>
      <c r="X10" s="276"/>
      <c r="Y10" s="276"/>
      <c r="Z10" s="276">
        <f t="shared" ref="Z10" si="31">W10*($G$10+1)</f>
        <v>35208.937147503522</v>
      </c>
      <c r="AA10" s="276"/>
      <c r="AB10" s="276"/>
      <c r="AC10" s="276">
        <f t="shared" ref="AC10" si="32">Z10*($G$10+1)</f>
        <v>37049.290348381772</v>
      </c>
      <c r="AD10" s="276"/>
      <c r="AE10" s="276"/>
      <c r="AF10" s="276">
        <f t="shared" ref="AF10" si="33">AC10*($G$10+1)</f>
        <v>38985.837873155506</v>
      </c>
      <c r="AG10" s="276"/>
      <c r="AH10" s="276"/>
    </row>
    <row r="11" spans="1:34" ht="15.75" x14ac:dyDescent="0.25">
      <c r="A11" s="176"/>
      <c r="B11" s="173" t="s">
        <v>202</v>
      </c>
      <c r="C11" s="182" t="s">
        <v>175</v>
      </c>
      <c r="D11" s="109">
        <v>10892</v>
      </c>
      <c r="E11" s="110">
        <v>17186</v>
      </c>
      <c r="F11" s="111">
        <f t="shared" si="6"/>
        <v>1.0789745370556156</v>
      </c>
      <c r="G11" s="111">
        <f t="shared" si="14"/>
        <v>7.8974537055615635E-2</v>
      </c>
      <c r="H11" s="277">
        <f t="shared" si="15"/>
        <v>11752.190657609766</v>
      </c>
      <c r="I11" s="277"/>
      <c r="J11" s="277"/>
      <c r="K11" s="277">
        <f>H11*($G11+1)</f>
        <v>12680.314474183828</v>
      </c>
      <c r="L11" s="277"/>
      <c r="M11" s="277"/>
      <c r="N11" s="277">
        <f>K11*($G11+1)</f>
        <v>13681.736439502118</v>
      </c>
      <c r="O11" s="277"/>
      <c r="P11" s="277"/>
      <c r="Q11" s="277">
        <f t="shared" ref="Q11" si="34">N11*($G11+1)</f>
        <v>14762.245240928745</v>
      </c>
      <c r="R11" s="277"/>
      <c r="S11" s="277"/>
      <c r="T11" s="277">
        <f t="shared" ref="T11" si="35">Q11*($G11+1)</f>
        <v>15928.086724732559</v>
      </c>
      <c r="U11" s="277"/>
      <c r="V11" s="277"/>
      <c r="W11" s="277">
        <f t="shared" ref="W11" si="36">T11*($G11+1)</f>
        <v>17186.000000000011</v>
      </c>
      <c r="X11" s="277"/>
      <c r="Y11" s="277"/>
      <c r="Z11" s="277">
        <f t="shared" ref="Z11" si="37">W11*($G11+1)</f>
        <v>18543.256393837823</v>
      </c>
      <c r="AA11" s="277"/>
      <c r="AB11" s="277"/>
      <c r="AC11" s="277">
        <f t="shared" ref="AC11" si="38">Z11*($G11+1)</f>
        <v>20007.701483044748</v>
      </c>
      <c r="AD11" s="277"/>
      <c r="AE11" s="277"/>
      <c r="AF11" s="277">
        <f t="shared" ref="AF11" si="39">AC11*($G11+1)</f>
        <v>21587.800445215162</v>
      </c>
      <c r="AG11" s="277"/>
      <c r="AH11" s="277"/>
    </row>
    <row r="12" spans="1:34" ht="15.75" x14ac:dyDescent="0.25">
      <c r="A12" s="177"/>
      <c r="B12" s="173" t="s">
        <v>203</v>
      </c>
      <c r="C12" s="182" t="s">
        <v>176</v>
      </c>
      <c r="D12" s="109">
        <v>8194</v>
      </c>
      <c r="E12" s="110">
        <v>14073</v>
      </c>
      <c r="F12" s="111">
        <f t="shared" si="6"/>
        <v>1.0943303767736183</v>
      </c>
      <c r="G12" s="111">
        <f t="shared" si="14"/>
        <v>9.433037677361833E-2</v>
      </c>
      <c r="H12" s="277">
        <f t="shared" si="15"/>
        <v>8966.9431072830284</v>
      </c>
      <c r="I12" s="277"/>
      <c r="J12" s="277"/>
      <c r="K12" s="277">
        <f>H12*($G$12+1)</f>
        <v>9812.7982291006356</v>
      </c>
      <c r="L12" s="277"/>
      <c r="M12" s="277"/>
      <c r="N12" s="277">
        <f>K12*($G$12+1)</f>
        <v>10738.443183255193</v>
      </c>
      <c r="O12" s="277"/>
      <c r="P12" s="277"/>
      <c r="Q12" s="277">
        <f t="shared" ref="Q12" si="40">N12*($G$12+1)</f>
        <v>11751.404574693748</v>
      </c>
      <c r="R12" s="277"/>
      <c r="S12" s="277"/>
      <c r="T12" s="277">
        <f t="shared" ref="T12" si="41">Q12*($G$12+1)</f>
        <v>12859.918995843831</v>
      </c>
      <c r="U12" s="277"/>
      <c r="V12" s="277"/>
      <c r="W12" s="277">
        <f t="shared" ref="W12" si="42">T12*($G$12+1)</f>
        <v>14072.999999999991</v>
      </c>
      <c r="X12" s="277"/>
      <c r="Y12" s="277"/>
      <c r="Z12" s="277">
        <f t="shared" ref="Z12" si="43">W12*($G$12+1)</f>
        <v>15400.51139233512</v>
      </c>
      <c r="AA12" s="277"/>
      <c r="AB12" s="277"/>
      <c r="AC12" s="277">
        <f t="shared" ref="AC12" si="44">Z12*($G$12+1)</f>
        <v>16853.247434480494</v>
      </c>
      <c r="AD12" s="277"/>
      <c r="AE12" s="277"/>
      <c r="AF12" s="277">
        <f t="shared" ref="AF12" si="45">AC12*($G$12+1)</f>
        <v>18443.020614834055</v>
      </c>
      <c r="AG12" s="277"/>
      <c r="AH12" s="277"/>
    </row>
    <row r="13" spans="1:34" ht="15.75" x14ac:dyDescent="0.25">
      <c r="A13" s="175"/>
      <c r="B13" s="172" t="s">
        <v>204</v>
      </c>
      <c r="C13" s="181" t="s">
        <v>177</v>
      </c>
      <c r="D13" s="109">
        <v>4487</v>
      </c>
      <c r="E13" s="110">
        <v>8377</v>
      </c>
      <c r="F13" s="112">
        <f t="shared" si="6"/>
        <v>1.1096569587217133</v>
      </c>
      <c r="G13" s="112">
        <f t="shared" si="14"/>
        <v>0.10965695872171333</v>
      </c>
      <c r="H13" s="276">
        <f t="shared" si="15"/>
        <v>4979.0307737843277</v>
      </c>
      <c r="I13" s="276"/>
      <c r="J13" s="276"/>
      <c r="K13" s="276">
        <f>H13*($G$13+1)</f>
        <v>5525.0161458193361</v>
      </c>
      <c r="L13" s="276"/>
      <c r="M13" s="276"/>
      <c r="N13" s="276">
        <f>K13*($G$13+1)</f>
        <v>6130.8726132582469</v>
      </c>
      <c r="O13" s="276"/>
      <c r="P13" s="276"/>
      <c r="Q13" s="276">
        <f t="shared" ref="Q13" si="46">N13*($G$13+1)</f>
        <v>6803.1654583383888</v>
      </c>
      <c r="R13" s="276"/>
      <c r="S13" s="276"/>
      <c r="T13" s="276">
        <f t="shared" ref="T13" si="47">Q13*($G$13+1)</f>
        <v>7549.1798921803875</v>
      </c>
      <c r="U13" s="276"/>
      <c r="V13" s="276"/>
      <c r="W13" s="276">
        <f t="shared" ref="W13" si="48">T13*($G$13+1)</f>
        <v>8377</v>
      </c>
      <c r="X13" s="276"/>
      <c r="Y13" s="276"/>
      <c r="Z13" s="276">
        <f t="shared" ref="Z13" si="49">W13*($G$13+1)</f>
        <v>9295.5963432117933</v>
      </c>
      <c r="AA13" s="276"/>
      <c r="AB13" s="276"/>
      <c r="AC13" s="276">
        <f t="shared" ref="AC13" si="50">Z13*($G$13+1)</f>
        <v>10314.923167713077</v>
      </c>
      <c r="AD13" s="276"/>
      <c r="AE13" s="276"/>
      <c r="AF13" s="276">
        <f t="shared" ref="AF13" si="51">AC13*($G$13+1)</f>
        <v>11446.026271732635</v>
      </c>
      <c r="AG13" s="276"/>
      <c r="AH13" s="276"/>
    </row>
    <row r="14" spans="1:34" ht="15.75" x14ac:dyDescent="0.25">
      <c r="A14" s="176"/>
      <c r="B14" s="173" t="s">
        <v>205</v>
      </c>
      <c r="C14" s="182" t="s">
        <v>178</v>
      </c>
      <c r="D14" s="109">
        <v>3623</v>
      </c>
      <c r="E14" s="110">
        <v>4503</v>
      </c>
      <c r="F14" s="111">
        <f t="shared" si="6"/>
        <v>1.036904920778567</v>
      </c>
      <c r="G14" s="111">
        <f t="shared" si="14"/>
        <v>3.6904920778566996E-2</v>
      </c>
      <c r="H14" s="277">
        <f t="shared" si="15"/>
        <v>3756.7065279807484</v>
      </c>
      <c r="I14" s="277"/>
      <c r="J14" s="277"/>
      <c r="K14" s="277">
        <f>H14*($G$14+1)</f>
        <v>3895.3474847842035</v>
      </c>
      <c r="L14" s="277"/>
      <c r="M14" s="277"/>
      <c r="N14" s="277">
        <f>K14*($G$14+1)</f>
        <v>4039.104975115155</v>
      </c>
      <c r="O14" s="277"/>
      <c r="P14" s="277"/>
      <c r="Q14" s="277">
        <f t="shared" ref="Q14" si="52">N14*($G$14+1)</f>
        <v>4188.1678242380958</v>
      </c>
      <c r="R14" s="277"/>
      <c r="S14" s="277"/>
      <c r="T14" s="277">
        <f t="shared" ref="T14" si="53">Q14*($G$14+1)</f>
        <v>4342.7318259989461</v>
      </c>
      <c r="U14" s="277"/>
      <c r="V14" s="277"/>
      <c r="W14" s="277">
        <f t="shared" ref="W14" si="54">T14*($G$14+1)</f>
        <v>4502.9999999999991</v>
      </c>
      <c r="X14" s="277"/>
      <c r="Y14" s="277"/>
      <c r="Z14" s="277">
        <f t="shared" ref="Z14" si="55">W14*($G$14+1)</f>
        <v>4669.1828582658864</v>
      </c>
      <c r="AA14" s="277"/>
      <c r="AB14" s="277"/>
      <c r="AC14" s="277">
        <f t="shared" ref="AC14" si="56">Z14*($G$14+1)</f>
        <v>4841.4986817508316</v>
      </c>
      <c r="AD14" s="277"/>
      <c r="AE14" s="277"/>
      <c r="AF14" s="277">
        <f t="shared" ref="AF14" si="57">AC14*($G$14+1)</f>
        <v>5020.1738070503825</v>
      </c>
      <c r="AG14" s="277"/>
      <c r="AH14" s="277"/>
    </row>
    <row r="15" spans="1:34" ht="15.75" x14ac:dyDescent="0.25">
      <c r="A15" s="177"/>
      <c r="B15" s="173" t="s">
        <v>206</v>
      </c>
      <c r="C15" s="182" t="s">
        <v>179</v>
      </c>
      <c r="D15" s="109">
        <v>6466</v>
      </c>
      <c r="E15" s="110">
        <v>6693</v>
      </c>
      <c r="F15" s="111">
        <f t="shared" si="6"/>
        <v>1.0057673214654306</v>
      </c>
      <c r="G15" s="111">
        <f t="shared" si="14"/>
        <v>5.7673214654305749E-3</v>
      </c>
      <c r="H15" s="277">
        <f t="shared" si="15"/>
        <v>6503.2915005954737</v>
      </c>
      <c r="I15" s="277"/>
      <c r="J15" s="277"/>
      <c r="K15" s="277">
        <f>H15*($G$15+1)</f>
        <v>6540.7980732628102</v>
      </c>
      <c r="L15" s="277"/>
      <c r="M15" s="277"/>
      <c r="N15" s="277">
        <f>K15*($G$15+1)</f>
        <v>6578.5209583917858</v>
      </c>
      <c r="O15" s="277"/>
      <c r="P15" s="277"/>
      <c r="Q15" s="277">
        <f t="shared" ref="Q15" si="58">N15*($G$15+1)</f>
        <v>6616.4614035259037</v>
      </c>
      <c r="R15" s="277"/>
      <c r="S15" s="277"/>
      <c r="T15" s="277">
        <f t="shared" ref="T15" si="59">Q15*($G$15+1)</f>
        <v>6654.6206634036516</v>
      </c>
      <c r="U15" s="277"/>
      <c r="V15" s="277"/>
      <c r="W15" s="277">
        <f t="shared" ref="W15" si="60">T15*($G$15+1)</f>
        <v>6692.9999999999973</v>
      </c>
      <c r="X15" s="277"/>
      <c r="Y15" s="277"/>
      <c r="Z15" s="277">
        <f t="shared" ref="Z15" si="61">W15*($G$15+1)</f>
        <v>6731.6006825681243</v>
      </c>
      <c r="AA15" s="277"/>
      <c r="AB15" s="277"/>
      <c r="AC15" s="277">
        <f t="shared" ref="AC15" si="62">Z15*($G$15+1)</f>
        <v>6770.4239876814063</v>
      </c>
      <c r="AD15" s="277"/>
      <c r="AE15" s="277"/>
      <c r="AF15" s="277">
        <f t="shared" ref="AF15" si="63">AC15*($G$15+1)</f>
        <v>6809.4711992756274</v>
      </c>
      <c r="AG15" s="277"/>
      <c r="AH15" s="277"/>
    </row>
    <row r="16" spans="1:34" ht="15.75" x14ac:dyDescent="0.25">
      <c r="A16" s="178"/>
      <c r="B16" s="172" t="s">
        <v>207</v>
      </c>
      <c r="C16" s="181" t="s">
        <v>180</v>
      </c>
      <c r="D16" s="109">
        <v>3919</v>
      </c>
      <c r="E16" s="110">
        <v>7857</v>
      </c>
      <c r="F16" s="112">
        <f t="shared" si="6"/>
        <v>1.1229150820328309</v>
      </c>
      <c r="G16" s="112">
        <f t="shared" si="14"/>
        <v>0.12291508203283086</v>
      </c>
      <c r="H16" s="276">
        <f t="shared" si="15"/>
        <v>4400.7042064866637</v>
      </c>
      <c r="I16" s="276"/>
      <c r="J16" s="276"/>
      <c r="K16" s="276">
        <f>H16*($G$16+1)</f>
        <v>4941.6171250291954</v>
      </c>
      <c r="L16" s="276"/>
      <c r="M16" s="276"/>
      <c r="N16" s="276">
        <f>K16*($G$16+1)</f>
        <v>5549.0163993270007</v>
      </c>
      <c r="O16" s="276"/>
      <c r="P16" s="276"/>
      <c r="Q16" s="276">
        <f t="shared" ref="Q16" si="64">N16*($G$16+1)</f>
        <v>6231.0742052518026</v>
      </c>
      <c r="R16" s="276"/>
      <c r="S16" s="276"/>
      <c r="T16" s="276">
        <f t="shared" ref="T16" si="65">Q16*($G$16+1)</f>
        <v>6996.9672023429839</v>
      </c>
      <c r="U16" s="276"/>
      <c r="V16" s="276"/>
      <c r="W16" s="276">
        <f t="shared" ref="W16" si="66">T16*($G$16+1)</f>
        <v>7856.9999999999991</v>
      </c>
      <c r="X16" s="276"/>
      <c r="Y16" s="276"/>
      <c r="Z16" s="276">
        <f t="shared" ref="Z16" si="67">W16*($G$16+1)</f>
        <v>8822.7437995319506</v>
      </c>
      <c r="AA16" s="276"/>
      <c r="AB16" s="276"/>
      <c r="AC16" s="276">
        <f t="shared" ref="AC16" si="68">Z16*($G$16+1)</f>
        <v>9907.1920774060709</v>
      </c>
      <c r="AD16" s="276"/>
      <c r="AE16" s="276"/>
      <c r="AF16" s="276">
        <f t="shared" ref="AF16" si="69">AC16*($G$16+1)</f>
        <v>11124.935404315451</v>
      </c>
      <c r="AG16" s="276"/>
      <c r="AH16" s="276"/>
    </row>
    <row r="17" spans="1:34" ht="15.75" x14ac:dyDescent="0.25">
      <c r="A17" s="179"/>
      <c r="B17" s="173" t="s">
        <v>208</v>
      </c>
      <c r="C17" s="182" t="s">
        <v>181</v>
      </c>
      <c r="D17" s="109">
        <v>5903</v>
      </c>
      <c r="E17" s="110">
        <v>7002</v>
      </c>
      <c r="F17" s="111">
        <f t="shared" si="6"/>
        <v>1.0288645899657027</v>
      </c>
      <c r="G17" s="111">
        <f t="shared" si="14"/>
        <v>2.8864589965702736E-2</v>
      </c>
      <c r="H17" s="277">
        <f t="shared" si="15"/>
        <v>6073.3876745675434</v>
      </c>
      <c r="I17" s="277"/>
      <c r="J17" s="277"/>
      <c r="K17" s="277">
        <f>H17*($G$17+1)</f>
        <v>6248.6935194966882</v>
      </c>
      <c r="L17" s="277"/>
      <c r="M17" s="277"/>
      <c r="N17" s="277">
        <f>K17*($G$17+1)</f>
        <v>6429.0594957583044</v>
      </c>
      <c r="O17" s="277"/>
      <c r="P17" s="277"/>
      <c r="Q17" s="277">
        <f t="shared" ref="Q17" si="70">N17*($G$17+1)</f>
        <v>6614.6316619684758</v>
      </c>
      <c r="R17" s="277"/>
      <c r="S17" s="277"/>
      <c r="T17" s="277">
        <f t="shared" ref="T17" si="71">Q17*($G$17+1)</f>
        <v>6805.560292665351</v>
      </c>
      <c r="U17" s="277"/>
      <c r="V17" s="277"/>
      <c r="W17" s="277">
        <f t="shared" ref="W17" si="72">T17*($G$17+1)</f>
        <v>7002.0000000000045</v>
      </c>
      <c r="X17" s="277"/>
      <c r="Y17" s="277"/>
      <c r="Z17" s="277">
        <f t="shared" ref="Z17" si="73">W17*($G$17+1)</f>
        <v>7204.1098589398553</v>
      </c>
      <c r="AA17" s="277"/>
      <c r="AB17" s="277"/>
      <c r="AC17" s="277">
        <f t="shared" ref="AC17" si="74">Z17*($G$17+1)</f>
        <v>7412.0535360860304</v>
      </c>
      <c r="AD17" s="277"/>
      <c r="AE17" s="277"/>
      <c r="AF17" s="277">
        <f t="shared" ref="AF17" si="75">AC17*($G$17+1)</f>
        <v>7625.9994222089908</v>
      </c>
      <c r="AG17" s="277"/>
      <c r="AH17" s="277"/>
    </row>
    <row r="18" spans="1:34" ht="15.75" x14ac:dyDescent="0.25">
      <c r="A18" s="180"/>
      <c r="B18" s="173" t="s">
        <v>209</v>
      </c>
      <c r="C18" s="182" t="s">
        <v>182</v>
      </c>
      <c r="D18" s="109">
        <v>6730</v>
      </c>
      <c r="E18" s="110">
        <v>8112</v>
      </c>
      <c r="F18" s="111">
        <f t="shared" si="6"/>
        <v>1.0316177665473218</v>
      </c>
      <c r="G18" s="111">
        <f t="shared" si="14"/>
        <v>3.1617766547321846E-2</v>
      </c>
      <c r="H18" s="277">
        <f t="shared" si="15"/>
        <v>6942.7875688634758</v>
      </c>
      <c r="I18" s="277"/>
      <c r="J18" s="277"/>
      <c r="K18" s="277">
        <f>H18*($G$18+1)</f>
        <v>7162.3030054034498</v>
      </c>
      <c r="L18" s="277"/>
      <c r="M18" s="277"/>
      <c r="N18" s="277">
        <f>K18*($G$18+1)</f>
        <v>7388.7590297694778</v>
      </c>
      <c r="O18" s="277"/>
      <c r="P18" s="277"/>
      <c r="Q18" s="277">
        <f t="shared" ref="Q18" si="76">N18*($G$18+1)</f>
        <v>7622.3750878471456</v>
      </c>
      <c r="R18" s="277"/>
      <c r="S18" s="277"/>
      <c r="T18" s="277">
        <f t="shared" ref="T18" si="77">Q18*($G$18+1)</f>
        <v>7863.377563910818</v>
      </c>
      <c r="U18" s="277"/>
      <c r="V18" s="277"/>
      <c r="W18" s="277">
        <f t="shared" ref="W18" si="78">T18*($G$18+1)</f>
        <v>8111.9999999999991</v>
      </c>
      <c r="X18" s="277"/>
      <c r="Y18" s="277"/>
      <c r="Z18" s="277">
        <f t="shared" ref="Z18" si="79">W18*($G$18+1)</f>
        <v>8368.4833222318739</v>
      </c>
      <c r="AA18" s="277"/>
      <c r="AB18" s="277"/>
      <c r="AC18" s="277">
        <f t="shared" ref="AC18" si="80">Z18*($G$18+1)</f>
        <v>8633.0760742693583</v>
      </c>
      <c r="AD18" s="277"/>
      <c r="AE18" s="277"/>
      <c r="AF18" s="277">
        <f t="shared" ref="AF18" si="81">AC18*($G$18+1)</f>
        <v>8906.0346581708764</v>
      </c>
      <c r="AG18" s="277"/>
      <c r="AH18" s="277"/>
    </row>
    <row r="19" spans="1:34" ht="15.75" x14ac:dyDescent="0.25">
      <c r="A19" s="175"/>
      <c r="B19" s="172" t="s">
        <v>210</v>
      </c>
      <c r="C19" s="181" t="s">
        <v>183</v>
      </c>
      <c r="D19" s="109">
        <v>1872</v>
      </c>
      <c r="E19" s="110">
        <v>3182</v>
      </c>
      <c r="F19" s="112">
        <f t="shared" ref="F19:F30" si="82">POWER(E19/D19,1/n)</f>
        <v>1.0924436765100016</v>
      </c>
      <c r="G19" s="112">
        <f>F19-1</f>
        <v>9.2443676510001627E-2</v>
      </c>
      <c r="H19" s="276">
        <f>D19*(G19+1)</f>
        <v>2045.0545624267231</v>
      </c>
      <c r="I19" s="276"/>
      <c r="J19" s="276"/>
      <c r="K19" s="276">
        <f>H19*($G$7+1)</f>
        <v>1989.3946642413446</v>
      </c>
      <c r="L19" s="276"/>
      <c r="M19" s="276"/>
      <c r="N19" s="276">
        <f t="shared" ref="N19" si="83">K19*($G$7+1)</f>
        <v>1935.2496519289034</v>
      </c>
      <c r="O19" s="276"/>
      <c r="P19" s="276"/>
      <c r="Q19" s="276">
        <f t="shared" ref="Q19" si="84">N19*($G$7+1)</f>
        <v>1882.5782951012238</v>
      </c>
      <c r="R19" s="276"/>
      <c r="S19" s="276"/>
      <c r="T19" s="276">
        <f t="shared" ref="T19" si="85">Q19*($G$7+1)</f>
        <v>1831.3404855305112</v>
      </c>
      <c r="U19" s="276"/>
      <c r="V19" s="276"/>
      <c r="W19" s="276">
        <f t="shared" ref="W19" si="86">T19*($G$7+1)</f>
        <v>1781.4972066077062</v>
      </c>
      <c r="X19" s="276"/>
      <c r="Y19" s="276"/>
      <c r="Z19" s="276">
        <f t="shared" ref="Z19" si="87">W19*($G$7+1)</f>
        <v>1733.0105036320861</v>
      </c>
      <c r="AA19" s="276"/>
      <c r="AB19" s="276"/>
      <c r="AC19" s="276">
        <f t="shared" ref="AC19" si="88">Z19*($G$7+1)</f>
        <v>1685.8434549094875</v>
      </c>
      <c r="AD19" s="276"/>
      <c r="AE19" s="276"/>
      <c r="AF19" s="276">
        <f t="shared" ref="AF19" si="89">AC19*($G$7+1)</f>
        <v>1639.9601436371452</v>
      </c>
      <c r="AG19" s="276"/>
      <c r="AH19" s="276"/>
    </row>
    <row r="20" spans="1:34" ht="15.75" x14ac:dyDescent="0.25">
      <c r="A20" s="176"/>
      <c r="B20" s="173" t="s">
        <v>211</v>
      </c>
      <c r="C20" s="182" t="s">
        <v>184</v>
      </c>
      <c r="D20" s="109">
        <v>1817</v>
      </c>
      <c r="E20" s="110">
        <v>2266</v>
      </c>
      <c r="F20" s="111">
        <f t="shared" si="82"/>
        <v>1.0374905820423401</v>
      </c>
      <c r="G20" s="111">
        <f t="shared" ref="G20:G30" si="90">F20-1</f>
        <v>3.7490582042340126E-2</v>
      </c>
      <c r="H20" s="277">
        <f t="shared" ref="H20:H30" si="91">D20*(G20+1)</f>
        <v>1885.1203875709321</v>
      </c>
      <c r="I20" s="277"/>
      <c r="J20" s="277"/>
      <c r="K20" s="277">
        <f>H20*($G$8+1)</f>
        <v>1970.4997085264686</v>
      </c>
      <c r="L20" s="277"/>
      <c r="M20" s="277"/>
      <c r="N20" s="277">
        <f>K20*($G$8+1)</f>
        <v>2059.7459594111974</v>
      </c>
      <c r="O20" s="277"/>
      <c r="P20" s="277"/>
      <c r="Q20" s="277">
        <f t="shared" ref="Q20" si="92">N20*($G$8+1)</f>
        <v>2153.03427803261</v>
      </c>
      <c r="R20" s="277"/>
      <c r="S20" s="277"/>
      <c r="T20" s="277">
        <f t="shared" ref="T20" si="93">Q20*($G$8+1)</f>
        <v>2250.5477343956195</v>
      </c>
      <c r="U20" s="277"/>
      <c r="V20" s="277"/>
      <c r="W20" s="277">
        <f t="shared" ref="W20" si="94">T20*($G$8+1)</f>
        <v>2352.4776899611174</v>
      </c>
      <c r="X20" s="277"/>
      <c r="Y20" s="277"/>
      <c r="Z20" s="277">
        <f t="shared" ref="Z20" si="95">W20*($G$8+1)</f>
        <v>2459.0241731757719</v>
      </c>
      <c r="AA20" s="277"/>
      <c r="AB20" s="277"/>
      <c r="AC20" s="277">
        <f t="shared" ref="AC20" si="96">Z20*($G$8+1)</f>
        <v>2570.3962720100153</v>
      </c>
      <c r="AD20" s="277"/>
      <c r="AE20" s="277"/>
      <c r="AF20" s="277">
        <f t="shared" ref="AF20" si="97">AC20*($G$8+1)</f>
        <v>2686.8125442745368</v>
      </c>
      <c r="AG20" s="277"/>
      <c r="AH20" s="277"/>
    </row>
    <row r="21" spans="1:34" ht="15.75" x14ac:dyDescent="0.25">
      <c r="A21" s="177"/>
      <c r="B21" s="173" t="s">
        <v>212</v>
      </c>
      <c r="C21" s="182" t="s">
        <v>185</v>
      </c>
      <c r="D21" s="109">
        <v>9498</v>
      </c>
      <c r="E21" s="110">
        <v>12345</v>
      </c>
      <c r="F21" s="111">
        <f t="shared" si="82"/>
        <v>1.0446636617005363</v>
      </c>
      <c r="G21" s="111">
        <f t="shared" si="90"/>
        <v>4.4663661700536261E-2</v>
      </c>
      <c r="H21" s="277">
        <f t="shared" si="91"/>
        <v>9922.2154588316935</v>
      </c>
      <c r="I21" s="277"/>
      <c r="J21" s="277"/>
      <c r="K21" s="277">
        <f>H21*($G$9+1)</f>
        <v>11026.35262436761</v>
      </c>
      <c r="L21" s="277"/>
      <c r="M21" s="277"/>
      <c r="N21" s="277">
        <f>K21*($G$9+1)</f>
        <v>12253.357397987218</v>
      </c>
      <c r="O21" s="277"/>
      <c r="P21" s="277"/>
      <c r="Q21" s="277">
        <f t="shared" ref="Q21" si="98">N21*($G$9+1)</f>
        <v>13616.902400799039</v>
      </c>
      <c r="R21" s="277"/>
      <c r="S21" s="277"/>
      <c r="T21" s="277">
        <f t="shared" ref="T21" si="99">Q21*($G$9+1)</f>
        <v>15132.181733583027</v>
      </c>
      <c r="U21" s="277"/>
      <c r="V21" s="277"/>
      <c r="W21" s="277">
        <f t="shared" ref="W21" si="100">T21*($G$9+1)</f>
        <v>16816.080285979515</v>
      </c>
      <c r="X21" s="277"/>
      <c r="Y21" s="277"/>
      <c r="Z21" s="277">
        <f t="shared" ref="Z21" si="101">W21*($G$9+1)</f>
        <v>18687.361886285747</v>
      </c>
      <c r="AA21" s="277"/>
      <c r="AB21" s="277"/>
      <c r="AC21" s="277">
        <f t="shared" ref="AC21" si="102">Z21*($G$9+1)</f>
        <v>20766.87838842961</v>
      </c>
      <c r="AD21" s="277"/>
      <c r="AE21" s="277"/>
      <c r="AF21" s="277">
        <f t="shared" ref="AF21" si="103">AC21*($G$9+1)</f>
        <v>23077.802025994886</v>
      </c>
      <c r="AG21" s="277"/>
      <c r="AH21" s="277"/>
    </row>
    <row r="22" spans="1:34" ht="15.75" x14ac:dyDescent="0.25">
      <c r="A22" s="175"/>
      <c r="B22" s="172" t="s">
        <v>213</v>
      </c>
      <c r="C22" s="181" t="s">
        <v>186</v>
      </c>
      <c r="D22" s="109">
        <v>16589</v>
      </c>
      <c r="E22" s="110">
        <v>10779</v>
      </c>
      <c r="F22" s="112">
        <f t="shared" si="82"/>
        <v>0.93066427707406429</v>
      </c>
      <c r="G22" s="112">
        <f t="shared" si="90"/>
        <v>-6.9335722925935706E-2</v>
      </c>
      <c r="H22" s="276">
        <f t="shared" si="91"/>
        <v>15438.789692381653</v>
      </c>
      <c r="I22" s="276"/>
      <c r="J22" s="276"/>
      <c r="K22" s="276">
        <f>H22*($G$10+1)</f>
        <v>16245.767361404396</v>
      </c>
      <c r="L22" s="276"/>
      <c r="M22" s="276"/>
      <c r="N22" s="276">
        <f>K22*($G$10+1)</f>
        <v>17094.925341920258</v>
      </c>
      <c r="O22" s="276"/>
      <c r="P22" s="276"/>
      <c r="Q22" s="276">
        <f t="shared" ref="Q22" si="104">N22*($G$10+1)</f>
        <v>17988.468377314279</v>
      </c>
      <c r="R22" s="276"/>
      <c r="S22" s="276"/>
      <c r="T22" s="276">
        <f t="shared" ref="T22" si="105">Q22*($G$10+1)</f>
        <v>18928.716451784621</v>
      </c>
      <c r="U22" s="276"/>
      <c r="V22" s="276"/>
      <c r="W22" s="276">
        <f t="shared" ref="W22" si="106">T22*($G$10+1)</f>
        <v>19918.110813921128</v>
      </c>
      <c r="X22" s="276"/>
      <c r="Y22" s="276"/>
      <c r="Z22" s="276">
        <f t="shared" ref="Z22" si="107">W22*($G$10+1)</f>
        <v>20959.22031513328</v>
      </c>
      <c r="AA22" s="276"/>
      <c r="AB22" s="276"/>
      <c r="AC22" s="276">
        <f t="shared" ref="AC22" si="108">Z22*($G$10+1)</f>
        <v>22054.748079384546</v>
      </c>
      <c r="AD22" s="276"/>
      <c r="AE22" s="276"/>
      <c r="AF22" s="276">
        <f t="shared" ref="AF22" si="109">AC22*($G$10+1)</f>
        <v>23207.538521550356</v>
      </c>
      <c r="AG22" s="276"/>
      <c r="AH22" s="276"/>
    </row>
    <row r="23" spans="1:34" ht="15.75" x14ac:dyDescent="0.25">
      <c r="A23" s="176"/>
      <c r="B23" s="173" t="s">
        <v>214</v>
      </c>
      <c r="C23" s="182" t="s">
        <v>187</v>
      </c>
      <c r="D23" s="109">
        <v>5499</v>
      </c>
      <c r="E23" s="110">
        <v>4700</v>
      </c>
      <c r="F23" s="111">
        <f t="shared" si="82"/>
        <v>0.97417210529433718</v>
      </c>
      <c r="G23" s="111">
        <f t="shared" si="90"/>
        <v>-2.5827894705662824E-2</v>
      </c>
      <c r="H23" s="277">
        <f t="shared" si="91"/>
        <v>5356.9724070135599</v>
      </c>
      <c r="I23" s="277"/>
      <c r="J23" s="277"/>
      <c r="K23" s="277">
        <f>H23*($G23+1)</f>
        <v>5218.6130877440728</v>
      </c>
      <c r="L23" s="277"/>
      <c r="M23" s="277"/>
      <c r="N23" s="277">
        <f>K23*($G23+1)</f>
        <v>5083.8272984042251</v>
      </c>
      <c r="O23" s="277"/>
      <c r="P23" s="277"/>
      <c r="Q23" s="277">
        <f t="shared" ref="Q23" si="110">N23*($G23+1)</f>
        <v>4952.5227422392663</v>
      </c>
      <c r="R23" s="277"/>
      <c r="S23" s="277"/>
      <c r="T23" s="277">
        <f t="shared" ref="T23" si="111">Q23*($G23+1)</f>
        <v>4824.6095063253097</v>
      </c>
      <c r="U23" s="277"/>
      <c r="V23" s="277"/>
      <c r="W23" s="277">
        <f t="shared" ref="W23" si="112">T23*($G23+1)</f>
        <v>4700</v>
      </c>
      <c r="X23" s="277"/>
      <c r="Y23" s="277"/>
      <c r="Z23" s="277">
        <f t="shared" ref="Z23" si="113">W23*($G23+1)</f>
        <v>4578.6088948833849</v>
      </c>
      <c r="AA23" s="277"/>
      <c r="AB23" s="277"/>
      <c r="AC23" s="277">
        <f t="shared" ref="AC23" si="114">Z23*($G23+1)</f>
        <v>4460.3530664479258</v>
      </c>
      <c r="AD23" s="277"/>
      <c r="AE23" s="277"/>
      <c r="AF23" s="277">
        <f t="shared" ref="AF23" si="115">AC23*($G23+1)</f>
        <v>4345.1515370976285</v>
      </c>
      <c r="AG23" s="277"/>
      <c r="AH23" s="277"/>
    </row>
    <row r="24" spans="1:34" ht="15.75" x14ac:dyDescent="0.25">
      <c r="A24" s="177"/>
      <c r="B24" s="173" t="s">
        <v>215</v>
      </c>
      <c r="C24" s="182" t="s">
        <v>188</v>
      </c>
      <c r="D24" s="109">
        <v>2680</v>
      </c>
      <c r="E24" s="110">
        <v>15739</v>
      </c>
      <c r="F24" s="111">
        <f t="shared" si="82"/>
        <v>1.3431990940923932</v>
      </c>
      <c r="G24" s="111">
        <f t="shared" si="90"/>
        <v>0.34319909409239324</v>
      </c>
      <c r="H24" s="277">
        <f t="shared" si="91"/>
        <v>3599.773572167614</v>
      </c>
      <c r="I24" s="277"/>
      <c r="J24" s="277"/>
      <c r="K24" s="277">
        <f>H24*($G$12+1)</f>
        <v>3939.3415695298991</v>
      </c>
      <c r="L24" s="277"/>
      <c r="M24" s="277"/>
      <c r="N24" s="277">
        <f>K24*($G$12+1)</f>
        <v>4310.9411440236318</v>
      </c>
      <c r="O24" s="277"/>
      <c r="P24" s="277"/>
      <c r="Q24" s="277">
        <f t="shared" ref="Q24" si="116">N24*($G$12+1)</f>
        <v>4717.593846388274</v>
      </c>
      <c r="R24" s="277"/>
      <c r="S24" s="277"/>
      <c r="T24" s="277">
        <f t="shared" ref="T24" si="117">Q24*($G$12+1)</f>
        <v>5162.6062513829829</v>
      </c>
      <c r="U24" s="277"/>
      <c r="V24" s="277"/>
      <c r="W24" s="277">
        <f t="shared" ref="W24" si="118">T24*($G$12+1)</f>
        <v>5649.5968442097774</v>
      </c>
      <c r="X24" s="277"/>
      <c r="Y24" s="277"/>
      <c r="Z24" s="277">
        <f t="shared" ref="Z24" si="119">W24*($G$12+1)</f>
        <v>6182.5254431431304</v>
      </c>
      <c r="AA24" s="277"/>
      <c r="AB24" s="277"/>
      <c r="AC24" s="277">
        <f t="shared" ref="AC24" si="120">Z24*($G$12+1)</f>
        <v>6765.7253976073034</v>
      </c>
      <c r="AD24" s="277"/>
      <c r="AE24" s="277"/>
      <c r="AF24" s="277">
        <f t="shared" ref="AF24" si="121">AC24*($G$12+1)</f>
        <v>7403.9388235104389</v>
      </c>
      <c r="AG24" s="277"/>
      <c r="AH24" s="277"/>
    </row>
    <row r="25" spans="1:34" ht="15.75" x14ac:dyDescent="0.25">
      <c r="A25" s="175"/>
      <c r="B25" s="172" t="s">
        <v>216</v>
      </c>
      <c r="C25" s="181" t="s">
        <v>189</v>
      </c>
      <c r="D25" s="109">
        <v>6318</v>
      </c>
      <c r="E25" s="110">
        <v>9926</v>
      </c>
      <c r="F25" s="112">
        <f t="shared" si="82"/>
        <v>1.0781994556120638</v>
      </c>
      <c r="G25" s="112">
        <f t="shared" si="90"/>
        <v>7.8199455612063762E-2</v>
      </c>
      <c r="H25" s="276">
        <f t="shared" si="91"/>
        <v>6812.064160557019</v>
      </c>
      <c r="I25" s="276"/>
      <c r="J25" s="276"/>
      <c r="K25" s="276">
        <f>H25*($G$13+1)</f>
        <v>7559.0543990208826</v>
      </c>
      <c r="L25" s="276"/>
      <c r="M25" s="276"/>
      <c r="N25" s="276">
        <f>K25*($G$13+1)</f>
        <v>8387.9573152295015</v>
      </c>
      <c r="O25" s="276"/>
      <c r="P25" s="276"/>
      <c r="Q25" s="276">
        <f t="shared" ref="Q25" si="122">N25*($G$13+1)</f>
        <v>9307.7552043051164</v>
      </c>
      <c r="R25" s="276"/>
      <c r="S25" s="276"/>
      <c r="T25" s="276">
        <f t="shared" ref="T25" si="123">Q25*($G$13+1)</f>
        <v>10328.415332535415</v>
      </c>
      <c r="U25" s="276"/>
      <c r="V25" s="276"/>
      <c r="W25" s="276">
        <f t="shared" ref="W25" si="124">T25*($G$13+1)</f>
        <v>11460.997946315962</v>
      </c>
      <c r="X25" s="276"/>
      <c r="Y25" s="276"/>
      <c r="Z25" s="276">
        <f t="shared" ref="Z25" si="125">W25*($G$13+1)</f>
        <v>12717.776125024771</v>
      </c>
      <c r="AA25" s="276"/>
      <c r="AB25" s="276"/>
      <c r="AC25" s="276">
        <f t="shared" ref="AC25" si="126">Z25*($G$13+1)</f>
        <v>14112.368776598603</v>
      </c>
      <c r="AD25" s="276"/>
      <c r="AE25" s="276"/>
      <c r="AF25" s="276">
        <f t="shared" ref="AF25" si="127">AC25*($G$13+1)</f>
        <v>15659.888216999672</v>
      </c>
      <c r="AG25" s="276"/>
      <c r="AH25" s="276"/>
    </row>
    <row r="26" spans="1:34" ht="15.75" x14ac:dyDescent="0.25">
      <c r="A26" s="176"/>
      <c r="B26" s="173" t="s">
        <v>217</v>
      </c>
      <c r="C26" s="182" t="s">
        <v>190</v>
      </c>
      <c r="D26" s="109">
        <v>4920</v>
      </c>
      <c r="E26" s="110">
        <v>3690</v>
      </c>
      <c r="F26" s="111">
        <f t="shared" si="82"/>
        <v>0.95318429299693663</v>
      </c>
      <c r="G26" s="111">
        <f t="shared" si="90"/>
        <v>-4.6815707003063367E-2</v>
      </c>
      <c r="H26" s="277">
        <f t="shared" si="91"/>
        <v>4689.6667215449279</v>
      </c>
      <c r="I26" s="277"/>
      <c r="J26" s="277"/>
      <c r="K26" s="277">
        <f>H26*($G$14+1)</f>
        <v>4862.7385003814252</v>
      </c>
      <c r="L26" s="277"/>
      <c r="M26" s="277"/>
      <c r="N26" s="277">
        <f>K26*($G$14+1)</f>
        <v>5042.1974795048891</v>
      </c>
      <c r="O26" s="277"/>
      <c r="P26" s="277"/>
      <c r="Q26" s="277">
        <f t="shared" ref="Q26" si="128">N26*($G$14+1)</f>
        <v>5228.279378035907</v>
      </c>
      <c r="R26" s="277"/>
      <c r="S26" s="277"/>
      <c r="T26" s="277">
        <f t="shared" ref="T26" si="129">Q26*($G$14+1)</f>
        <v>5421.2286142905377</v>
      </c>
      <c r="U26" s="277"/>
      <c r="V26" s="277"/>
      <c r="W26" s="277">
        <f t="shared" ref="W26" si="130">T26*($G$14+1)</f>
        <v>5621.2986268234308</v>
      </c>
      <c r="X26" s="277"/>
      <c r="Y26" s="277"/>
      <c r="Z26" s="277">
        <f t="shared" ref="Z26" si="131">W26*($G$14+1)</f>
        <v>5828.7522073190166</v>
      </c>
      <c r="AA26" s="277"/>
      <c r="AB26" s="277"/>
      <c r="AC26" s="277">
        <f t="shared" ref="AC26" si="132">Z26*($G$14+1)</f>
        <v>6043.8618457680222</v>
      </c>
      <c r="AD26" s="277"/>
      <c r="AE26" s="277"/>
      <c r="AF26" s="277">
        <f t="shared" ref="AF26" si="133">AC26*($G$14+1)</f>
        <v>6266.910088382695</v>
      </c>
      <c r="AG26" s="277"/>
      <c r="AH26" s="277"/>
    </row>
    <row r="27" spans="1:34" ht="15.75" x14ac:dyDescent="0.25">
      <c r="A27" s="177"/>
      <c r="B27" s="173" t="s">
        <v>218</v>
      </c>
      <c r="C27" s="182" t="s">
        <v>191</v>
      </c>
      <c r="D27" s="109">
        <v>3558</v>
      </c>
      <c r="E27" s="110">
        <v>9303</v>
      </c>
      <c r="F27" s="111">
        <f t="shared" si="82"/>
        <v>1.1737335344180793</v>
      </c>
      <c r="G27" s="111">
        <f t="shared" si="90"/>
        <v>0.17373353441807926</v>
      </c>
      <c r="H27" s="277">
        <f t="shared" si="91"/>
        <v>4176.1439154595264</v>
      </c>
      <c r="I27" s="277"/>
      <c r="J27" s="277"/>
      <c r="K27" s="277">
        <f>H27*($G$15+1)</f>
        <v>4200.2290799058837</v>
      </c>
      <c r="L27" s="277"/>
      <c r="M27" s="277"/>
      <c r="N27" s="277">
        <f>K27*($G$15+1)</f>
        <v>4224.4531512381509</v>
      </c>
      <c r="O27" s="277"/>
      <c r="P27" s="277"/>
      <c r="Q27" s="277">
        <f t="shared" ref="Q27" si="134">N27*($G$15+1)</f>
        <v>4248.8169305769925</v>
      </c>
      <c r="R27" s="277"/>
      <c r="S27" s="277"/>
      <c r="T27" s="277">
        <f t="shared" ref="T27" si="135">Q27*($G$15+1)</f>
        <v>4273.3212236633944</v>
      </c>
      <c r="U27" s="277"/>
      <c r="V27" s="277"/>
      <c r="W27" s="277">
        <f t="shared" ref="W27" si="136">T27*($G$15+1)</f>
        <v>4297.9668408853086</v>
      </c>
      <c r="X27" s="277"/>
      <c r="Y27" s="277"/>
      <c r="Z27" s="277">
        <f t="shared" ref="Z27" si="137">W27*($G$15+1)</f>
        <v>4322.7545973044553</v>
      </c>
      <c r="AA27" s="277"/>
      <c r="AB27" s="277"/>
      <c r="AC27" s="277">
        <f t="shared" ref="AC27" si="138">Z27*($G$15+1)</f>
        <v>4347.6853126832775</v>
      </c>
      <c r="AD27" s="277"/>
      <c r="AE27" s="277"/>
      <c r="AF27" s="277">
        <f t="shared" ref="AF27" si="139">AC27*($G$15+1)</f>
        <v>4372.7598115120527</v>
      </c>
      <c r="AG27" s="277"/>
      <c r="AH27" s="277"/>
    </row>
    <row r="28" spans="1:34" ht="15.75" x14ac:dyDescent="0.25">
      <c r="A28" s="178"/>
      <c r="B28" s="172" t="s">
        <v>219</v>
      </c>
      <c r="C28" s="181" t="s">
        <v>192</v>
      </c>
      <c r="D28" s="109">
        <v>11004</v>
      </c>
      <c r="E28" s="110">
        <v>11853</v>
      </c>
      <c r="F28" s="112">
        <f t="shared" si="82"/>
        <v>1.0124640631388953</v>
      </c>
      <c r="G28" s="112">
        <f t="shared" si="90"/>
        <v>1.2464063138895254E-2</v>
      </c>
      <c r="H28" s="276">
        <f t="shared" si="91"/>
        <v>11141.154550780404</v>
      </c>
      <c r="I28" s="276"/>
      <c r="J28" s="276"/>
      <c r="K28" s="276">
        <f>H28*($G$16+1)</f>
        <v>12510.570476330024</v>
      </c>
      <c r="L28" s="276"/>
      <c r="M28" s="276"/>
      <c r="N28" s="276">
        <f>K28*($G$16+1)</f>
        <v>14048.308272705641</v>
      </c>
      <c r="O28" s="276"/>
      <c r="P28" s="276"/>
      <c r="Q28" s="276">
        <f t="shared" ref="Q28" si="140">N28*($G$16+1)</f>
        <v>15775.057236467752</v>
      </c>
      <c r="R28" s="276"/>
      <c r="S28" s="276"/>
      <c r="T28" s="276">
        <f t="shared" ref="T28" si="141">Q28*($G$16+1)</f>
        <v>17714.049690760789</v>
      </c>
      <c r="U28" s="276"/>
      <c r="V28" s="276"/>
      <c r="W28" s="276">
        <f t="shared" ref="W28" si="142">T28*($G$16+1)</f>
        <v>19891.373561634293</v>
      </c>
      <c r="X28" s="276"/>
      <c r="Y28" s="276"/>
      <c r="Z28" s="276">
        <f t="shared" ref="Z28" si="143">W28*($G$16+1)</f>
        <v>22336.323374708256</v>
      </c>
      <c r="AA28" s="276"/>
      <c r="AB28" s="276"/>
      <c r="AC28" s="276">
        <f t="shared" ref="AC28" si="144">Z28*($G$16+1)</f>
        <v>25081.794394622357</v>
      </c>
      <c r="AD28" s="276"/>
      <c r="AE28" s="276"/>
      <c r="AF28" s="276">
        <f t="shared" ref="AF28" si="145">AC28*($G$16+1)</f>
        <v>28164.725210167962</v>
      </c>
      <c r="AG28" s="276"/>
      <c r="AH28" s="276"/>
    </row>
    <row r="29" spans="1:34" ht="15.75" x14ac:dyDescent="0.25">
      <c r="A29" s="179"/>
      <c r="B29" s="173" t="s">
        <v>220</v>
      </c>
      <c r="C29" s="182" t="s">
        <v>193</v>
      </c>
      <c r="D29" s="109">
        <v>22373</v>
      </c>
      <c r="E29" s="110">
        <v>33304</v>
      </c>
      <c r="F29" s="111">
        <f t="shared" si="82"/>
        <v>1.0685512643941213</v>
      </c>
      <c r="G29" s="111">
        <f t="shared" si="90"/>
        <v>6.8551264394121292E-2</v>
      </c>
      <c r="H29" s="277">
        <f t="shared" si="91"/>
        <v>23906.697438289677</v>
      </c>
      <c r="I29" s="277"/>
      <c r="J29" s="277"/>
      <c r="K29" s="277">
        <f>H29*($G$17+1)</f>
        <v>24596.754457280025</v>
      </c>
      <c r="L29" s="277"/>
      <c r="M29" s="277"/>
      <c r="N29" s="277">
        <f>K29*($G$17+1)</f>
        <v>25306.729689176485</v>
      </c>
      <c r="O29" s="277"/>
      <c r="P29" s="277"/>
      <c r="Q29" s="277">
        <f t="shared" ref="Q29" si="146">N29*($G$17+1)</f>
        <v>26037.198065027442</v>
      </c>
      <c r="R29" s="277"/>
      <c r="S29" s="277"/>
      <c r="T29" s="277">
        <f t="shared" ref="T29" si="147">Q29*($G$17+1)</f>
        <v>26788.751111030248</v>
      </c>
      <c r="U29" s="277"/>
      <c r="V29" s="277"/>
      <c r="W29" s="277">
        <f t="shared" ref="W29" si="148">T29*($G$17+1)</f>
        <v>27561.9974275434</v>
      </c>
      <c r="X29" s="277"/>
      <c r="Y29" s="277"/>
      <c r="Z29" s="277">
        <f t="shared" ref="Z29" si="149">W29*($G$17+1)</f>
        <v>28357.563181925194</v>
      </c>
      <c r="AA29" s="277"/>
      <c r="AB29" s="277"/>
      <c r="AC29" s="277">
        <f t="shared" ref="AC29" si="150">Z29*($G$17+1)</f>
        <v>29176.092615597972</v>
      </c>
      <c r="AD29" s="277"/>
      <c r="AE29" s="277"/>
      <c r="AF29" s="277">
        <f t="shared" ref="AF29" si="151">AC29*($G$17+1)</f>
        <v>30018.248565748574</v>
      </c>
      <c r="AG29" s="277"/>
      <c r="AH29" s="277"/>
    </row>
    <row r="30" spans="1:34" ht="15.75" x14ac:dyDescent="0.25">
      <c r="A30" s="180"/>
      <c r="B30" s="173" t="s">
        <v>221</v>
      </c>
      <c r="C30" s="182" t="s">
        <v>194</v>
      </c>
      <c r="D30" s="109">
        <v>5193</v>
      </c>
      <c r="E30" s="110">
        <v>6351</v>
      </c>
      <c r="F30" s="111">
        <f t="shared" si="82"/>
        <v>1.0341192717888372</v>
      </c>
      <c r="G30" s="111">
        <f t="shared" si="90"/>
        <v>3.4119271788837224E-2</v>
      </c>
      <c r="H30" s="277">
        <f t="shared" si="91"/>
        <v>5370.1813783994321</v>
      </c>
      <c r="I30" s="277"/>
      <c r="J30" s="277"/>
      <c r="K30" s="277">
        <f>H30*($G$18+1)</f>
        <v>5539.9745195384403</v>
      </c>
      <c r="L30" s="277"/>
      <c r="M30" s="277"/>
      <c r="N30" s="277">
        <f>K30*($G$18+1)</f>
        <v>5715.1361405753178</v>
      </c>
      <c r="O30" s="277"/>
      <c r="P30" s="277"/>
      <c r="Q30" s="277">
        <f t="shared" ref="Q30" si="152">N30*($G$18+1)</f>
        <v>5895.83598085419</v>
      </c>
      <c r="R30" s="277"/>
      <c r="S30" s="277"/>
      <c r="T30" s="277">
        <f t="shared" ref="T30" si="153">Q30*($G$18+1)</f>
        <v>6082.2491464981376</v>
      </c>
      <c r="U30" s="277"/>
      <c r="V30" s="277"/>
      <c r="W30" s="277">
        <f t="shared" ref="W30" si="154">T30*($G$18+1)</f>
        <v>6274.5562800947637</v>
      </c>
      <c r="X30" s="277"/>
      <c r="Y30" s="277"/>
      <c r="Z30" s="277">
        <f t="shared" ref="Z30" si="155">W30*($G$18+1)</f>
        <v>6472.9437357468323</v>
      </c>
      <c r="AA30" s="277"/>
      <c r="AB30" s="277"/>
      <c r="AC30" s="277">
        <f t="shared" ref="AC30" si="156">Z30*($G$18+1)</f>
        <v>6677.6037596576252</v>
      </c>
      <c r="AD30" s="277"/>
      <c r="AE30" s="277"/>
      <c r="AF30" s="277">
        <f t="shared" ref="AF30" si="157">AC30*($G$18+1)</f>
        <v>6888.7346764259983</v>
      </c>
      <c r="AG30" s="277"/>
      <c r="AH30" s="277"/>
    </row>
    <row r="31" spans="1:34" ht="15.75" x14ac:dyDescent="0.25">
      <c r="A31" s="178"/>
      <c r="B31" s="172" t="s">
        <v>222</v>
      </c>
      <c r="C31" s="181" t="s">
        <v>195</v>
      </c>
      <c r="D31" s="109">
        <v>1933</v>
      </c>
      <c r="E31" s="110">
        <v>2620</v>
      </c>
      <c r="F31" s="112">
        <f t="shared" ref="F31:F33" si="158">POWER(E31/D31,1/n)</f>
        <v>1.051989906398372</v>
      </c>
      <c r="G31" s="112">
        <f t="shared" ref="G31:G33" si="159">F31-1</f>
        <v>5.1989906398371977E-2</v>
      </c>
      <c r="H31" s="276">
        <f t="shared" ref="H31:H33" si="160">D31*(G31+1)</f>
        <v>2033.4964890680531</v>
      </c>
      <c r="I31" s="276"/>
      <c r="J31" s="276"/>
      <c r="K31" s="276">
        <f>H31*($G$16+1)</f>
        <v>2283.4438768353261</v>
      </c>
      <c r="L31" s="276"/>
      <c r="M31" s="276"/>
      <c r="N31" s="276">
        <f>K31*($G$16+1)</f>
        <v>2564.1135682739055</v>
      </c>
      <c r="O31" s="276"/>
      <c r="P31" s="276"/>
      <c r="Q31" s="276">
        <f t="shared" ref="Q31" si="161">N31*($G$16+1)</f>
        <v>2879.2817978597873</v>
      </c>
      <c r="R31" s="276"/>
      <c r="S31" s="276"/>
      <c r="T31" s="276">
        <f t="shared" ref="T31" si="162">Q31*($G$16+1)</f>
        <v>3233.1889562393599</v>
      </c>
      <c r="U31" s="276"/>
      <c r="V31" s="276"/>
      <c r="W31" s="276">
        <f t="shared" ref="W31" si="163">T31*($G$16+1)</f>
        <v>3630.5966420231634</v>
      </c>
      <c r="X31" s="276"/>
      <c r="Y31" s="276"/>
      <c r="Z31" s="276">
        <f t="shared" ref="Z31" si="164">W31*($G$16+1)</f>
        <v>4076.8517261055608</v>
      </c>
      <c r="AA31" s="276"/>
      <c r="AB31" s="276"/>
      <c r="AC31" s="276">
        <f t="shared" ref="AC31" si="165">Z31*($G$16+1)</f>
        <v>4577.9582904555136</v>
      </c>
      <c r="AD31" s="276"/>
      <c r="AE31" s="276"/>
      <c r="AF31" s="276">
        <f t="shared" ref="AF31" si="166">AC31*($G$16+1)</f>
        <v>5140.6584092697312</v>
      </c>
      <c r="AG31" s="276"/>
      <c r="AH31" s="276"/>
    </row>
    <row r="32" spans="1:34" ht="15.75" x14ac:dyDescent="0.25">
      <c r="A32" s="179"/>
      <c r="B32" s="173" t="s">
        <v>223</v>
      </c>
      <c r="C32" s="182" t="s">
        <v>196</v>
      </c>
      <c r="D32" s="109">
        <v>1728</v>
      </c>
      <c r="E32" s="110">
        <v>9846</v>
      </c>
      <c r="F32" s="111">
        <f t="shared" si="158"/>
        <v>1.3364498980874824</v>
      </c>
      <c r="G32" s="111">
        <f t="shared" si="159"/>
        <v>0.33644989808748238</v>
      </c>
      <c r="H32" s="277">
        <f t="shared" si="160"/>
        <v>2309.3854238951694</v>
      </c>
      <c r="I32" s="277"/>
      <c r="J32" s="277"/>
      <c r="K32" s="277">
        <f>H32*($G$17+1)</f>
        <v>2376.0448872286743</v>
      </c>
      <c r="L32" s="277"/>
      <c r="M32" s="277"/>
      <c r="N32" s="277">
        <f>K32*($G$17+1)</f>
        <v>2444.6284486386344</v>
      </c>
      <c r="O32" s="277"/>
      <c r="P32" s="277"/>
      <c r="Q32" s="277">
        <f t="shared" ref="Q32" si="167">N32*($G$17+1)</f>
        <v>2515.1916464270807</v>
      </c>
      <c r="R32" s="277"/>
      <c r="S32" s="277"/>
      <c r="T32" s="277">
        <f t="shared" ref="T32" si="168">Q32*($G$17+1)</f>
        <v>2587.7916219863591</v>
      </c>
      <c r="U32" s="277"/>
      <c r="V32" s="277"/>
      <c r="W32" s="277">
        <f t="shared" ref="W32" si="169">T32*($G$17+1)</f>
        <v>2662.4871660716763</v>
      </c>
      <c r="X32" s="277"/>
      <c r="Y32" s="277"/>
      <c r="Z32" s="277">
        <f t="shared" ref="Z32" si="170">W32*($G$17+1)</f>
        <v>2739.3387664092811</v>
      </c>
      <c r="AA32" s="277"/>
      <c r="AB32" s="277"/>
      <c r="AC32" s="277">
        <f t="shared" ref="AC32" si="171">Z32*($G$17+1)</f>
        <v>2818.4086566788392</v>
      </c>
      <c r="AD32" s="277"/>
      <c r="AE32" s="277"/>
      <c r="AF32" s="277">
        <f t="shared" ref="AF32" si="172">AC32*($G$17+1)</f>
        <v>2899.7608669096608</v>
      </c>
      <c r="AG32" s="277"/>
      <c r="AH32" s="277"/>
    </row>
    <row r="33" spans="1:34" x14ac:dyDescent="0.25">
      <c r="A33" s="180"/>
      <c r="B33" s="408" t="s">
        <v>197</v>
      </c>
      <c r="C33" s="409"/>
      <c r="D33" s="184">
        <v>241032</v>
      </c>
      <c r="E33" s="185">
        <v>309501</v>
      </c>
      <c r="F33" s="186">
        <f t="shared" si="158"/>
        <v>1.0425523991448318</v>
      </c>
      <c r="G33" s="186">
        <f t="shared" si="159"/>
        <v>4.2552399144831776E-2</v>
      </c>
      <c r="H33" s="402">
        <f t="shared" si="160"/>
        <v>251288.48987067709</v>
      </c>
      <c r="I33" s="402"/>
      <c r="J33" s="402"/>
      <c r="K33" s="402">
        <f>H33*($G$18+1)</f>
        <v>259233.6706794372</v>
      </c>
      <c r="L33" s="402"/>
      <c r="M33" s="402"/>
      <c r="N33" s="402">
        <f>K33*($G$18+1)</f>
        <v>267430.06036018493</v>
      </c>
      <c r="O33" s="402"/>
      <c r="P33" s="402"/>
      <c r="Q33" s="402">
        <f t="shared" ref="Q33" si="173">N33*($G$18+1)</f>
        <v>275885.60157638945</v>
      </c>
      <c r="R33" s="402"/>
      <c r="S33" s="402"/>
      <c r="T33" s="402">
        <f t="shared" ref="T33" si="174">Q33*($G$18+1)</f>
        <v>284608.48812079919</v>
      </c>
      <c r="U33" s="402"/>
      <c r="V33" s="402"/>
      <c r="W33" s="402">
        <f t="shared" ref="W33" si="175">T33*($G$18+1)</f>
        <v>293607.17285558884</v>
      </c>
      <c r="X33" s="402"/>
      <c r="Y33" s="402"/>
      <c r="Z33" s="402">
        <f t="shared" ref="Z33" si="176">W33*($G$18+1)</f>
        <v>302890.37590355601</v>
      </c>
      <c r="AA33" s="402"/>
      <c r="AB33" s="402"/>
      <c r="AC33" s="402">
        <f t="shared" ref="AC33" si="177">Z33*($G$18+1)</f>
        <v>312467.09309830522</v>
      </c>
      <c r="AD33" s="402"/>
      <c r="AE33" s="402"/>
      <c r="AF33" s="402">
        <f t="shared" ref="AF33" si="178">AC33*($G$18+1)</f>
        <v>322346.60470160772</v>
      </c>
      <c r="AG33" s="402"/>
      <c r="AH33" s="402"/>
    </row>
    <row r="37" spans="1:34" ht="15.75" thickBot="1" x14ac:dyDescent="0.3"/>
    <row r="38" spans="1:34" x14ac:dyDescent="0.25">
      <c r="A38" s="403" t="s">
        <v>169</v>
      </c>
      <c r="B38" s="406" t="s">
        <v>170</v>
      </c>
    </row>
    <row r="39" spans="1:34" x14ac:dyDescent="0.25">
      <c r="A39" s="404"/>
      <c r="B39" s="407"/>
    </row>
    <row r="40" spans="1:34" ht="15.75" thickBot="1" x14ac:dyDescent="0.3">
      <c r="A40" s="405"/>
      <c r="B40" s="405"/>
    </row>
    <row r="41" spans="1:34" ht="17.25" thickBot="1" x14ac:dyDescent="0.3">
      <c r="A41" s="183" t="s">
        <v>198</v>
      </c>
      <c r="B41" s="171" t="s">
        <v>171</v>
      </c>
    </row>
    <row r="42" spans="1:34" ht="17.25" thickBot="1" x14ac:dyDescent="0.3">
      <c r="A42" s="183" t="s">
        <v>199</v>
      </c>
      <c r="B42" s="171" t="s">
        <v>172</v>
      </c>
    </row>
    <row r="43" spans="1:34" ht="17.25" thickBot="1" x14ac:dyDescent="0.3">
      <c r="A43" s="183" t="s">
        <v>200</v>
      </c>
      <c r="B43" s="171" t="s">
        <v>173</v>
      </c>
    </row>
    <row r="44" spans="1:34" ht="17.25" thickBot="1" x14ac:dyDescent="0.3">
      <c r="A44" s="183" t="s">
        <v>201</v>
      </c>
      <c r="B44" s="171" t="s">
        <v>174</v>
      </c>
    </row>
    <row r="45" spans="1:34" ht="17.25" thickBot="1" x14ac:dyDescent="0.3">
      <c r="A45" s="183" t="s">
        <v>202</v>
      </c>
      <c r="B45" s="171" t="s">
        <v>175</v>
      </c>
    </row>
    <row r="46" spans="1:34" ht="17.25" thickBot="1" x14ac:dyDescent="0.3">
      <c r="A46" s="183" t="s">
        <v>203</v>
      </c>
      <c r="B46" s="171" t="s">
        <v>176</v>
      </c>
    </row>
    <row r="47" spans="1:34" ht="17.25" thickBot="1" x14ac:dyDescent="0.3">
      <c r="A47" s="183" t="s">
        <v>204</v>
      </c>
      <c r="B47" s="171" t="s">
        <v>177</v>
      </c>
    </row>
    <row r="48" spans="1:34" ht="17.25" thickBot="1" x14ac:dyDescent="0.3">
      <c r="A48" s="183" t="s">
        <v>205</v>
      </c>
      <c r="B48" s="171" t="s">
        <v>178</v>
      </c>
    </row>
    <row r="49" spans="1:2" ht="17.25" thickBot="1" x14ac:dyDescent="0.3">
      <c r="A49" s="183" t="s">
        <v>206</v>
      </c>
      <c r="B49" s="171" t="s">
        <v>179</v>
      </c>
    </row>
    <row r="50" spans="1:2" ht="17.25" thickBot="1" x14ac:dyDescent="0.3">
      <c r="A50" s="183" t="s">
        <v>207</v>
      </c>
      <c r="B50" s="171" t="s">
        <v>180</v>
      </c>
    </row>
    <row r="51" spans="1:2" ht="17.25" thickBot="1" x14ac:dyDescent="0.3">
      <c r="A51" s="183" t="s">
        <v>208</v>
      </c>
      <c r="B51" s="171" t="s">
        <v>181</v>
      </c>
    </row>
    <row r="52" spans="1:2" ht="17.25" thickBot="1" x14ac:dyDescent="0.3">
      <c r="A52" s="183" t="s">
        <v>209</v>
      </c>
      <c r="B52" s="171" t="s">
        <v>182</v>
      </c>
    </row>
    <row r="53" spans="1:2" ht="17.25" thickBot="1" x14ac:dyDescent="0.3">
      <c r="A53" s="183" t="s">
        <v>210</v>
      </c>
      <c r="B53" s="171" t="s">
        <v>183</v>
      </c>
    </row>
    <row r="54" spans="1:2" ht="17.25" thickBot="1" x14ac:dyDescent="0.3">
      <c r="A54" s="183" t="s">
        <v>211</v>
      </c>
      <c r="B54" s="171" t="s">
        <v>184</v>
      </c>
    </row>
    <row r="55" spans="1:2" ht="17.25" thickBot="1" x14ac:dyDescent="0.3">
      <c r="A55" s="183" t="s">
        <v>212</v>
      </c>
      <c r="B55" s="171" t="s">
        <v>185</v>
      </c>
    </row>
    <row r="56" spans="1:2" ht="17.25" thickBot="1" x14ac:dyDescent="0.3">
      <c r="A56" s="183" t="s">
        <v>213</v>
      </c>
      <c r="B56" s="171" t="s">
        <v>186</v>
      </c>
    </row>
    <row r="57" spans="1:2" ht="17.25" thickBot="1" x14ac:dyDescent="0.3">
      <c r="A57" s="183" t="s">
        <v>214</v>
      </c>
      <c r="B57" s="171" t="s">
        <v>187</v>
      </c>
    </row>
    <row r="58" spans="1:2" ht="17.25" thickBot="1" x14ac:dyDescent="0.3">
      <c r="A58" s="183" t="s">
        <v>215</v>
      </c>
      <c r="B58" s="171" t="s">
        <v>188</v>
      </c>
    </row>
    <row r="59" spans="1:2" ht="17.25" thickBot="1" x14ac:dyDescent="0.3">
      <c r="A59" s="183" t="s">
        <v>216</v>
      </c>
      <c r="B59" s="171" t="s">
        <v>189</v>
      </c>
    </row>
    <row r="60" spans="1:2" ht="17.25" thickBot="1" x14ac:dyDescent="0.3">
      <c r="A60" s="183" t="s">
        <v>217</v>
      </c>
      <c r="B60" s="171" t="s">
        <v>190</v>
      </c>
    </row>
    <row r="61" spans="1:2" ht="17.25" thickBot="1" x14ac:dyDescent="0.3">
      <c r="A61" s="183" t="s">
        <v>218</v>
      </c>
      <c r="B61" s="171" t="s">
        <v>191</v>
      </c>
    </row>
    <row r="62" spans="1:2" ht="17.25" thickBot="1" x14ac:dyDescent="0.3">
      <c r="A62" s="183" t="s">
        <v>219</v>
      </c>
      <c r="B62" s="171" t="s">
        <v>192</v>
      </c>
    </row>
    <row r="63" spans="1:2" ht="17.25" thickBot="1" x14ac:dyDescent="0.3">
      <c r="A63" s="183" t="s">
        <v>220</v>
      </c>
      <c r="B63" s="171" t="s">
        <v>193</v>
      </c>
    </row>
    <row r="64" spans="1:2" ht="17.25" thickBot="1" x14ac:dyDescent="0.3">
      <c r="A64" s="183" t="s">
        <v>221</v>
      </c>
      <c r="B64" s="171" t="s">
        <v>194</v>
      </c>
    </row>
    <row r="65" spans="1:2" ht="17.25" thickBot="1" x14ac:dyDescent="0.3">
      <c r="A65" s="183" t="s">
        <v>222</v>
      </c>
      <c r="B65" s="171" t="s">
        <v>195</v>
      </c>
    </row>
    <row r="66" spans="1:2" ht="17.25" thickBot="1" x14ac:dyDescent="0.3">
      <c r="A66" s="183" t="s">
        <v>223</v>
      </c>
      <c r="B66" s="171" t="s">
        <v>196</v>
      </c>
    </row>
    <row r="67" spans="1:2" ht="16.5" thickBot="1" x14ac:dyDescent="0.3">
      <c r="A67" s="400" t="s">
        <v>197</v>
      </c>
      <c r="B67" s="401"/>
    </row>
  </sheetData>
  <mergeCells count="253">
    <mergeCell ref="B1:J1"/>
    <mergeCell ref="B2:C2"/>
    <mergeCell ref="F2:F3"/>
    <mergeCell ref="B3:C3"/>
    <mergeCell ref="B4:C4"/>
    <mergeCell ref="B5:C5"/>
    <mergeCell ref="T7:V7"/>
    <mergeCell ref="W7:Y7"/>
    <mergeCell ref="Z7:AB7"/>
    <mergeCell ref="AC7:AE7"/>
    <mergeCell ref="AF7:AH7"/>
    <mergeCell ref="H8:J8"/>
    <mergeCell ref="K8:M8"/>
    <mergeCell ref="N8:P8"/>
    <mergeCell ref="Q8:S8"/>
    <mergeCell ref="H7:J7"/>
    <mergeCell ref="K7:M7"/>
    <mergeCell ref="N7:P7"/>
    <mergeCell ref="Q7:S7"/>
    <mergeCell ref="H10:J10"/>
    <mergeCell ref="K10:M10"/>
    <mergeCell ref="N10:P10"/>
    <mergeCell ref="T8:V8"/>
    <mergeCell ref="W8:Y8"/>
    <mergeCell ref="Z8:AB8"/>
    <mergeCell ref="AC8:AE8"/>
    <mergeCell ref="AF8:AH8"/>
    <mergeCell ref="H9:J9"/>
    <mergeCell ref="K9:M9"/>
    <mergeCell ref="N9:P9"/>
    <mergeCell ref="Q9:S9"/>
    <mergeCell ref="Q10:S10"/>
    <mergeCell ref="T10:V10"/>
    <mergeCell ref="W10:Y10"/>
    <mergeCell ref="Z10:AB10"/>
    <mergeCell ref="AC10:AE10"/>
    <mergeCell ref="AF10:AH10"/>
    <mergeCell ref="T9:V9"/>
    <mergeCell ref="W9:Y9"/>
    <mergeCell ref="Z9:AB9"/>
    <mergeCell ref="AC9:AE9"/>
    <mergeCell ref="AF9:AH9"/>
    <mergeCell ref="W12:Y12"/>
    <mergeCell ref="Z12:AB12"/>
    <mergeCell ref="AC12:AE12"/>
    <mergeCell ref="AF12:AH12"/>
    <mergeCell ref="H13:J13"/>
    <mergeCell ref="K13:M13"/>
    <mergeCell ref="N13:P13"/>
    <mergeCell ref="Q13:S13"/>
    <mergeCell ref="W11:Y11"/>
    <mergeCell ref="Z11:AB11"/>
    <mergeCell ref="AC11:AE11"/>
    <mergeCell ref="AF11:AH11"/>
    <mergeCell ref="H12:J12"/>
    <mergeCell ref="K12:M12"/>
    <mergeCell ref="N12:P12"/>
    <mergeCell ref="Q12:S12"/>
    <mergeCell ref="T12:V12"/>
    <mergeCell ref="H11:J11"/>
    <mergeCell ref="K11:M11"/>
    <mergeCell ref="N11:P11"/>
    <mergeCell ref="Q11:S11"/>
    <mergeCell ref="T11:V11"/>
    <mergeCell ref="T13:V13"/>
    <mergeCell ref="W13:Y13"/>
    <mergeCell ref="Z13:AB13"/>
    <mergeCell ref="AC13:AE13"/>
    <mergeCell ref="AF13:AH13"/>
    <mergeCell ref="H14:J14"/>
    <mergeCell ref="K14:M14"/>
    <mergeCell ref="N14:P14"/>
    <mergeCell ref="Q14:S14"/>
    <mergeCell ref="H16:J16"/>
    <mergeCell ref="K16:M16"/>
    <mergeCell ref="N16:P16"/>
    <mergeCell ref="T14:V14"/>
    <mergeCell ref="W14:Y14"/>
    <mergeCell ref="Z14:AB14"/>
    <mergeCell ref="AC14:AE14"/>
    <mergeCell ref="AF14:AH14"/>
    <mergeCell ref="H15:J15"/>
    <mergeCell ref="K15:M15"/>
    <mergeCell ref="N15:P15"/>
    <mergeCell ref="Q15:S15"/>
    <mergeCell ref="Q16:S16"/>
    <mergeCell ref="T16:V16"/>
    <mergeCell ref="W16:Y16"/>
    <mergeCell ref="Z16:AB16"/>
    <mergeCell ref="AC16:AE16"/>
    <mergeCell ref="AF16:AH16"/>
    <mergeCell ref="T15:V15"/>
    <mergeCell ref="W15:Y15"/>
    <mergeCell ref="Z15:AB15"/>
    <mergeCell ref="AC15:AE15"/>
    <mergeCell ref="AF15:AH15"/>
    <mergeCell ref="H19:J19"/>
    <mergeCell ref="K19:M19"/>
    <mergeCell ref="N19:P19"/>
    <mergeCell ref="W17:Y17"/>
    <mergeCell ref="Z17:AB17"/>
    <mergeCell ref="AC17:AE17"/>
    <mergeCell ref="AF17:AH17"/>
    <mergeCell ref="H18:J18"/>
    <mergeCell ref="K18:M18"/>
    <mergeCell ref="N18:P18"/>
    <mergeCell ref="Q18:S18"/>
    <mergeCell ref="T18:V18"/>
    <mergeCell ref="H17:J17"/>
    <mergeCell ref="K17:M17"/>
    <mergeCell ref="N17:P17"/>
    <mergeCell ref="Q17:S17"/>
    <mergeCell ref="T17:V17"/>
    <mergeCell ref="Q19:S19"/>
    <mergeCell ref="T19:V19"/>
    <mergeCell ref="W19:Y19"/>
    <mergeCell ref="Z19:AB19"/>
    <mergeCell ref="AC19:AE19"/>
    <mergeCell ref="AF19:AH19"/>
    <mergeCell ref="W18:Y18"/>
    <mergeCell ref="Z18:AB18"/>
    <mergeCell ref="AC18:AE18"/>
    <mergeCell ref="AF18:AH18"/>
    <mergeCell ref="W21:Y21"/>
    <mergeCell ref="Z21:AB21"/>
    <mergeCell ref="AC21:AE21"/>
    <mergeCell ref="AF21:AH21"/>
    <mergeCell ref="H22:J22"/>
    <mergeCell ref="K22:M22"/>
    <mergeCell ref="N22:P22"/>
    <mergeCell ref="Q22:S22"/>
    <mergeCell ref="W20:Y20"/>
    <mergeCell ref="Z20:AB20"/>
    <mergeCell ref="AC20:AE20"/>
    <mergeCell ref="AF20:AH20"/>
    <mergeCell ref="H21:J21"/>
    <mergeCell ref="K21:M21"/>
    <mergeCell ref="N21:P21"/>
    <mergeCell ref="Q21:S21"/>
    <mergeCell ref="T21:V21"/>
    <mergeCell ref="H20:J20"/>
    <mergeCell ref="K20:M20"/>
    <mergeCell ref="N20:P20"/>
    <mergeCell ref="Q20:S20"/>
    <mergeCell ref="T20:V20"/>
    <mergeCell ref="T22:V22"/>
    <mergeCell ref="W22:Y22"/>
    <mergeCell ref="Z22:AB22"/>
    <mergeCell ref="AC22:AE22"/>
    <mergeCell ref="AF22:AH22"/>
    <mergeCell ref="H23:J23"/>
    <mergeCell ref="K23:M23"/>
    <mergeCell ref="N23:P23"/>
    <mergeCell ref="Q23:S23"/>
    <mergeCell ref="H25:J25"/>
    <mergeCell ref="K25:M25"/>
    <mergeCell ref="N25:P25"/>
    <mergeCell ref="T23:V23"/>
    <mergeCell ref="W23:Y23"/>
    <mergeCell ref="Z23:AB23"/>
    <mergeCell ref="AC23:AE23"/>
    <mergeCell ref="AF23:AH23"/>
    <mergeCell ref="H24:J24"/>
    <mergeCell ref="K24:M24"/>
    <mergeCell ref="N24:P24"/>
    <mergeCell ref="Q24:S24"/>
    <mergeCell ref="Q25:S25"/>
    <mergeCell ref="T25:V25"/>
    <mergeCell ref="W25:Y25"/>
    <mergeCell ref="Z25:AB25"/>
    <mergeCell ref="AC25:AE25"/>
    <mergeCell ref="AC28:AE28"/>
    <mergeCell ref="AF28:AH28"/>
    <mergeCell ref="AF25:AH25"/>
    <mergeCell ref="T24:V24"/>
    <mergeCell ref="W24:Y24"/>
    <mergeCell ref="Z24:AB24"/>
    <mergeCell ref="AC24:AE24"/>
    <mergeCell ref="AF24:AH24"/>
    <mergeCell ref="W27:Y27"/>
    <mergeCell ref="Z27:AB27"/>
    <mergeCell ref="AC27:AE27"/>
    <mergeCell ref="AF27:AH27"/>
    <mergeCell ref="AC26:AE26"/>
    <mergeCell ref="AF26:AH26"/>
    <mergeCell ref="T29:V29"/>
    <mergeCell ref="W29:Y29"/>
    <mergeCell ref="H28:J28"/>
    <mergeCell ref="K28:M28"/>
    <mergeCell ref="N28:P28"/>
    <mergeCell ref="Q28:S28"/>
    <mergeCell ref="W26:Y26"/>
    <mergeCell ref="Z26:AB26"/>
    <mergeCell ref="T28:V28"/>
    <mergeCell ref="W28:Y28"/>
    <mergeCell ref="Z28:AB28"/>
    <mergeCell ref="Z29:AB29"/>
    <mergeCell ref="H27:J27"/>
    <mergeCell ref="K27:M27"/>
    <mergeCell ref="N27:P27"/>
    <mergeCell ref="Q27:S27"/>
    <mergeCell ref="T27:V27"/>
    <mergeCell ref="H26:J26"/>
    <mergeCell ref="K26:M26"/>
    <mergeCell ref="N26:P26"/>
    <mergeCell ref="Q26:S26"/>
    <mergeCell ref="T26:V26"/>
    <mergeCell ref="AC29:AE29"/>
    <mergeCell ref="AF29:AH29"/>
    <mergeCell ref="H30:J30"/>
    <mergeCell ref="K30:M30"/>
    <mergeCell ref="N30:P30"/>
    <mergeCell ref="Q30:S30"/>
    <mergeCell ref="Q31:S31"/>
    <mergeCell ref="T31:V31"/>
    <mergeCell ref="W31:Y31"/>
    <mergeCell ref="Z31:AB31"/>
    <mergeCell ref="AC31:AE31"/>
    <mergeCell ref="AF31:AH31"/>
    <mergeCell ref="T30:V30"/>
    <mergeCell ref="W30:Y30"/>
    <mergeCell ref="Z30:AB30"/>
    <mergeCell ref="AC30:AE30"/>
    <mergeCell ref="AF30:AH30"/>
    <mergeCell ref="H29:J29"/>
    <mergeCell ref="K29:M29"/>
    <mergeCell ref="N29:P29"/>
    <mergeCell ref="Q29:S29"/>
    <mergeCell ref="H31:J31"/>
    <mergeCell ref="K31:M31"/>
    <mergeCell ref="N31:P31"/>
    <mergeCell ref="A67:B67"/>
    <mergeCell ref="W33:Y33"/>
    <mergeCell ref="Z33:AB33"/>
    <mergeCell ref="AC33:AE33"/>
    <mergeCell ref="AF33:AH33"/>
    <mergeCell ref="A38:A40"/>
    <mergeCell ref="B38:B40"/>
    <mergeCell ref="W32:Y32"/>
    <mergeCell ref="Z32:AB32"/>
    <mergeCell ref="AC32:AE32"/>
    <mergeCell ref="AF32:AH32"/>
    <mergeCell ref="B33:C33"/>
    <mergeCell ref="H33:J33"/>
    <mergeCell ref="K33:M33"/>
    <mergeCell ref="N33:P33"/>
    <mergeCell ref="Q33:S33"/>
    <mergeCell ref="T33:V33"/>
    <mergeCell ref="H32:J32"/>
    <mergeCell ref="K32:M32"/>
    <mergeCell ref="N32:P32"/>
    <mergeCell ref="Q32:S32"/>
    <mergeCell ref="T32:V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4</vt:i4>
      </vt:variant>
    </vt:vector>
  </HeadingPairs>
  <TitlesOfParts>
    <vt:vector size="14" baseType="lpstr">
      <vt:lpstr>Feuil1</vt:lpstr>
      <vt:lpstr>TAMA DIDACTIQUE</vt:lpstr>
      <vt:lpstr>TAMA Auto 03092115</vt:lpstr>
      <vt:lpstr>Feuil5</vt:lpstr>
      <vt:lpstr>Feuil2</vt:lpstr>
      <vt:lpstr>Feuil4</vt:lpstr>
      <vt:lpstr>Feuil3</vt:lpstr>
      <vt:lpstr>PROJECTION</vt:lpstr>
      <vt:lpstr>TAMA PROVINCE</vt:lpstr>
      <vt:lpstr>Feuil6</vt:lpstr>
      <vt:lpstr>Feuil2!_Toc33700785</vt:lpstr>
      <vt:lpstr>Feuil2!_Toc78590188</vt:lpstr>
      <vt:lpstr>Coefficient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 MANZANZA</dc:creator>
  <cp:lastModifiedBy>mutomboilunga3220@outlook.com</cp:lastModifiedBy>
  <dcterms:created xsi:type="dcterms:W3CDTF">2021-07-30T12:29:07Z</dcterms:created>
  <dcterms:modified xsi:type="dcterms:W3CDTF">2025-07-05T09:55:12Z</dcterms:modified>
</cp:coreProperties>
</file>