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autoCompressPictures="0" defaultThemeVersion="124226"/>
  <bookViews>
    <workbookView xWindow="-15" yWindow="120" windowWidth="23505" windowHeight="9360" tabRatio="782"/>
  </bookViews>
  <sheets>
    <sheet name="24 Core" sheetId="34" r:id="rId1"/>
    <sheet name="DCAS160205" sheetId="44" r:id="rId2"/>
    <sheet name="MITC-Bugs" sheetId="35" r:id="rId3"/>
    <sheet name="Core247" sheetId="40" r:id="rId4"/>
    <sheet name="Formula for FPL-2016" sheetId="42" r:id="rId5"/>
    <sheet name="Formula for FPL-2015" sheetId="36" r:id="rId6"/>
    <sheet name="Formula for FPL-2014" sheetId="37" r:id="rId7"/>
    <sheet name="TC Summary" sheetId="14" state="hidden" r:id="rId8"/>
    <sheet name="Deleted Items" sheetId="29" state="hidden" r:id="rId9"/>
    <sheet name="2016FPL" sheetId="43" r:id="rId10"/>
    <sheet name="DanDefectComments" sheetId="38" r:id="rId11"/>
    <sheet name="Parameters" sheetId="39" r:id="rId12"/>
    <sheet name="Sheet2" sheetId="45" r:id="rId13"/>
  </sheets>
  <definedNames>
    <definedName name="_xlnm._FilterDatabase" localSheetId="0" hidden="1">'24 Core'!$A$13:$DB$93</definedName>
    <definedName name="_xlnm._FilterDatabase" localSheetId="2" hidden="1">'MITC-Bugs'!$A$1:$N$2</definedName>
    <definedName name="_xlnm.Criteria" localSheetId="0">'24 Core'!#REF!</definedName>
    <definedName name="ExpRes" localSheetId="4">#REF!</definedName>
    <definedName name="ExpRes">#REF!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R27" i="34" l="1"/>
  <c r="AR26" i="34"/>
  <c r="AR25" i="34"/>
  <c r="CU93" i="34"/>
  <c r="CU92" i="34"/>
  <c r="CU91" i="34"/>
  <c r="CU90" i="34"/>
  <c r="CU89" i="34"/>
  <c r="CU88" i="34"/>
  <c r="CU87" i="34"/>
  <c r="CU86" i="34"/>
  <c r="CU85" i="34"/>
  <c r="CU84" i="34"/>
  <c r="CU83" i="34"/>
  <c r="CU82" i="34"/>
  <c r="CU81" i="34"/>
  <c r="CU80" i="34"/>
  <c r="CU79" i="34"/>
  <c r="CU78" i="34"/>
  <c r="CU77" i="34"/>
  <c r="CU76" i="34"/>
  <c r="CU75" i="34"/>
  <c r="CU74" i="34"/>
  <c r="CU73" i="34"/>
  <c r="CU72" i="34"/>
  <c r="CU71" i="34"/>
  <c r="CU70" i="34"/>
  <c r="CU69" i="34"/>
  <c r="CU68" i="34"/>
  <c r="CU67" i="34"/>
  <c r="CU66" i="34"/>
  <c r="CU65" i="34"/>
  <c r="CU64" i="34"/>
  <c r="CU63" i="34"/>
  <c r="CU62" i="34"/>
  <c r="CU61" i="34"/>
  <c r="CU60" i="34"/>
  <c r="CU59" i="34"/>
  <c r="CU58" i="34"/>
  <c r="CU57" i="34"/>
  <c r="CU56" i="34"/>
  <c r="CU55" i="34"/>
  <c r="CU54" i="34"/>
  <c r="CU53" i="34"/>
  <c r="CU52" i="34"/>
  <c r="CU51" i="34"/>
  <c r="CU50" i="34"/>
  <c r="CU49" i="34"/>
  <c r="CU48" i="34"/>
  <c r="CU47" i="34"/>
  <c r="CU46" i="34"/>
  <c r="CU45" i="34"/>
  <c r="CU44" i="34"/>
  <c r="CU43" i="34"/>
  <c r="CU42" i="34"/>
  <c r="CU41" i="34"/>
  <c r="CU40" i="34"/>
  <c r="CU39" i="34"/>
  <c r="CU38" i="34"/>
  <c r="CU37" i="34"/>
  <c r="CU36" i="34"/>
  <c r="CU35" i="34"/>
  <c r="CU34" i="34"/>
  <c r="CU33" i="34"/>
  <c r="CU32" i="34"/>
  <c r="CU31" i="34"/>
  <c r="CU30" i="34"/>
  <c r="CU29" i="34"/>
  <c r="CU28" i="34"/>
  <c r="CU27" i="34"/>
  <c r="CU26" i="34"/>
  <c r="CU25" i="34"/>
  <c r="CU24" i="34"/>
  <c r="CU23" i="34"/>
  <c r="CU21" i="34"/>
  <c r="CU20" i="34"/>
  <c r="CU19" i="34"/>
  <c r="CU18" i="34"/>
  <c r="CU17" i="34"/>
  <c r="CU16" i="34"/>
  <c r="CU15" i="34"/>
  <c r="CU14" i="34"/>
  <c r="CU22" i="34"/>
  <c r="CR21" i="34" l="1"/>
  <c r="CR20" i="34"/>
  <c r="CR19" i="34"/>
  <c r="AP57" i="34" l="1"/>
  <c r="AQ74" i="34"/>
  <c r="AR40" i="34"/>
  <c r="AR37" i="34"/>
  <c r="AQ25" i="34"/>
  <c r="CT38" i="34" l="1"/>
  <c r="CT39" i="34"/>
  <c r="CT40" i="34"/>
  <c r="CT41" i="34"/>
  <c r="CT42" i="34"/>
  <c r="CT43" i="34"/>
  <c r="CT44" i="34"/>
  <c r="CT45" i="34"/>
  <c r="CT46" i="34"/>
  <c r="CT47" i="34"/>
  <c r="CT48" i="34"/>
  <c r="CT49" i="34"/>
  <c r="CT50" i="34"/>
  <c r="CT51" i="34"/>
  <c r="CT52" i="34"/>
  <c r="CT53" i="34"/>
  <c r="CT54" i="34"/>
  <c r="CT55" i="34"/>
  <c r="CT56" i="34"/>
  <c r="CT57" i="34"/>
  <c r="CT58" i="34"/>
  <c r="CT59" i="34"/>
  <c r="CT60" i="34"/>
  <c r="CT61" i="34"/>
  <c r="CT62" i="34"/>
  <c r="CT63" i="34"/>
  <c r="CT64" i="34"/>
  <c r="CT65" i="34"/>
  <c r="CT66" i="34"/>
  <c r="CT67" i="34"/>
  <c r="CT68" i="34"/>
  <c r="CT69" i="34"/>
  <c r="CT70" i="34"/>
  <c r="CT71" i="34"/>
  <c r="CT72" i="34"/>
  <c r="CT73" i="34"/>
  <c r="CT74" i="34"/>
  <c r="CT75" i="34"/>
  <c r="CT76" i="34"/>
  <c r="CT77" i="34"/>
  <c r="CT78" i="34"/>
  <c r="CT79" i="34"/>
  <c r="CT80" i="34"/>
  <c r="CT81" i="34"/>
  <c r="CT82" i="34"/>
  <c r="CT83" i="34"/>
  <c r="CT84" i="34"/>
  <c r="CT85" i="34"/>
  <c r="CT86" i="34"/>
  <c r="CT87" i="34"/>
  <c r="CT88" i="34"/>
  <c r="CT89" i="34"/>
  <c r="CT90" i="34"/>
  <c r="CT91" i="34"/>
  <c r="CT92" i="34"/>
  <c r="CT93" i="34"/>
  <c r="CT14" i="34"/>
  <c r="CT15" i="34"/>
  <c r="CT16" i="34"/>
  <c r="CT17" i="34"/>
  <c r="CT18" i="34"/>
  <c r="CT19" i="34"/>
  <c r="CT20" i="34"/>
  <c r="CT21" i="34"/>
  <c r="CT22" i="34"/>
  <c r="CT23" i="34"/>
  <c r="CT24" i="34"/>
  <c r="CT25" i="34"/>
  <c r="CT26" i="34"/>
  <c r="CT27" i="34"/>
  <c r="CT28" i="34"/>
  <c r="CT29" i="34"/>
  <c r="CT30" i="34"/>
  <c r="CT31" i="34"/>
  <c r="CT32" i="34"/>
  <c r="CT33" i="34"/>
  <c r="CT34" i="34"/>
  <c r="CT35" i="34"/>
  <c r="CT36" i="34"/>
  <c r="CT37" i="34"/>
  <c r="CG14" i="34" l="1"/>
  <c r="CH14" i="34"/>
  <c r="CG15" i="34"/>
  <c r="CH15" i="34"/>
  <c r="CG16" i="34"/>
  <c r="CH16" i="34"/>
  <c r="CF17" i="34"/>
  <c r="CH17" i="34" s="1"/>
  <c r="CG17" i="34"/>
  <c r="CG18" i="34"/>
  <c r="CH18" i="34"/>
  <c r="CG19" i="34"/>
  <c r="CH19" i="34"/>
  <c r="CG20" i="34"/>
  <c r="CH20" i="34"/>
  <c r="CG21" i="34"/>
  <c r="CH21" i="34"/>
  <c r="CG22" i="34"/>
  <c r="CH22" i="34"/>
  <c r="CG23" i="34"/>
  <c r="CH23" i="34"/>
  <c r="CG24" i="34"/>
  <c r="CH24" i="34"/>
  <c r="CG25" i="34"/>
  <c r="CH25" i="34"/>
  <c r="CG26" i="34"/>
  <c r="CH26" i="34"/>
  <c r="CG27" i="34"/>
  <c r="CH27" i="34"/>
  <c r="CG28" i="34"/>
  <c r="CH28" i="34"/>
  <c r="CG29" i="34"/>
  <c r="CH29" i="34"/>
  <c r="CG30" i="34"/>
  <c r="CH30" i="34"/>
  <c r="CG31" i="34"/>
  <c r="CH31" i="34"/>
  <c r="CG32" i="34"/>
  <c r="CH32" i="34"/>
  <c r="CG33" i="34"/>
  <c r="CH33" i="34"/>
  <c r="CG34" i="34"/>
  <c r="CH34" i="34"/>
  <c r="CG35" i="34"/>
  <c r="CH35" i="34"/>
  <c r="CG36" i="34"/>
  <c r="CH36" i="34"/>
  <c r="CG37" i="34"/>
  <c r="CH37" i="34"/>
  <c r="CG38" i="34"/>
  <c r="CH38" i="34"/>
  <c r="CG39" i="34"/>
  <c r="CH39" i="34"/>
  <c r="CG40" i="34"/>
  <c r="CH40" i="34"/>
  <c r="CG41" i="34"/>
  <c r="CH41" i="34"/>
  <c r="CG42" i="34"/>
  <c r="CH42" i="34"/>
  <c r="CG43" i="34"/>
  <c r="CH43" i="34"/>
  <c r="CG44" i="34"/>
  <c r="CH44" i="34"/>
  <c r="CG45" i="34"/>
  <c r="CH45" i="34"/>
  <c r="CG46" i="34"/>
  <c r="CH46" i="34"/>
  <c r="CG47" i="34"/>
  <c r="CH47" i="34"/>
  <c r="CG48" i="34"/>
  <c r="CH48" i="34"/>
  <c r="CG49" i="34"/>
  <c r="CH49" i="34"/>
  <c r="CG50" i="34"/>
  <c r="CH50" i="34"/>
  <c r="CG51" i="34"/>
  <c r="CH51" i="34"/>
  <c r="CG52" i="34"/>
  <c r="CH52" i="34"/>
  <c r="CG53" i="34"/>
  <c r="CH53" i="34"/>
  <c r="CG54" i="34"/>
  <c r="CH54" i="34"/>
  <c r="CG55" i="34"/>
  <c r="CH55" i="34"/>
  <c r="CG56" i="34"/>
  <c r="CH56" i="34"/>
  <c r="CG57" i="34"/>
  <c r="CH57" i="34"/>
  <c r="CG58" i="34"/>
  <c r="CH58" i="34"/>
  <c r="CG59" i="34"/>
  <c r="CH59" i="34"/>
  <c r="CG60" i="34"/>
  <c r="CH60" i="34"/>
  <c r="CG61" i="34"/>
  <c r="CH61" i="34"/>
  <c r="CG62" i="34"/>
  <c r="CH62" i="34"/>
  <c r="CG63" i="34"/>
  <c r="CH63" i="34"/>
  <c r="CG64" i="34"/>
  <c r="CH64" i="34"/>
  <c r="CG65" i="34"/>
  <c r="CH65" i="34"/>
  <c r="CG66" i="34"/>
  <c r="CH66" i="34"/>
  <c r="CG67" i="34"/>
  <c r="CH67" i="34"/>
  <c r="CG68" i="34"/>
  <c r="CH68" i="34"/>
  <c r="CG69" i="34"/>
  <c r="CH69" i="34"/>
  <c r="CG70" i="34"/>
  <c r="CH70" i="34"/>
  <c r="CG71" i="34"/>
  <c r="CH71" i="34"/>
  <c r="CG72" i="34"/>
  <c r="CH72" i="34"/>
  <c r="CG73" i="34"/>
  <c r="CH73" i="34"/>
  <c r="CG74" i="34"/>
  <c r="CH74" i="34"/>
  <c r="CG75" i="34"/>
  <c r="CH75" i="34"/>
  <c r="CG76" i="34"/>
  <c r="CH76" i="34"/>
  <c r="CG77" i="34"/>
  <c r="CH77" i="34"/>
  <c r="CG78" i="34"/>
  <c r="CH78" i="34"/>
  <c r="CG79" i="34"/>
  <c r="CH79" i="34"/>
  <c r="CG80" i="34"/>
  <c r="CH80" i="34"/>
  <c r="CG81" i="34"/>
  <c r="CH81" i="34"/>
  <c r="CG82" i="34"/>
  <c r="CH82" i="34"/>
  <c r="CG83" i="34"/>
  <c r="CH83" i="34"/>
  <c r="CG84" i="34"/>
  <c r="CH84" i="34"/>
  <c r="CG85" i="34"/>
  <c r="CH85" i="34"/>
  <c r="CG86" i="34"/>
  <c r="CH86" i="34"/>
  <c r="CG87" i="34"/>
  <c r="CH87" i="34"/>
  <c r="CG88" i="34"/>
  <c r="CH88" i="34"/>
  <c r="CG89" i="34"/>
  <c r="CH89" i="34"/>
  <c r="CG90" i="34"/>
  <c r="CH90" i="34"/>
  <c r="CG91" i="34"/>
  <c r="CH91" i="34"/>
  <c r="CG92" i="34"/>
  <c r="CH92" i="34"/>
  <c r="CG93" i="34"/>
  <c r="CH93" i="34"/>
  <c r="CT9" i="34"/>
  <c r="CU9" i="34" s="1"/>
  <c r="CI79" i="34" l="1"/>
  <c r="CI74" i="34"/>
  <c r="CI72" i="34"/>
  <c r="CI82" i="34"/>
  <c r="CI81" i="34"/>
  <c r="CI83" i="34"/>
  <c r="CI34" i="34"/>
  <c r="CI22" i="34"/>
  <c r="CI91" i="34"/>
  <c r="CI64" i="34"/>
  <c r="CI58" i="34"/>
  <c r="CI28" i="34"/>
  <c r="CI20" i="34"/>
  <c r="CI18" i="34"/>
  <c r="CI88" i="34"/>
  <c r="CI77" i="34"/>
  <c r="CI45" i="34"/>
  <c r="CI41" i="34"/>
  <c r="CI31" i="34"/>
  <c r="CI14" i="34"/>
  <c r="CI86" i="34"/>
  <c r="CI53" i="34"/>
  <c r="CI49" i="34"/>
  <c r="CI37" i="34"/>
  <c r="CI25" i="34"/>
  <c r="CV34" i="34"/>
  <c r="CV64" i="34"/>
  <c r="CT2" i="34"/>
  <c r="CV58" i="34"/>
  <c r="CV72" i="34"/>
  <c r="CV81" i="34"/>
  <c r="CV83" i="34"/>
  <c r="CT4" i="34"/>
  <c r="CI16" i="34"/>
  <c r="CV25" i="34"/>
  <c r="CV88" i="34"/>
  <c r="CV41" i="34"/>
  <c r="CV22" i="34"/>
  <c r="CV77" i="34"/>
  <c r="CV14" i="34"/>
  <c r="CV20" i="34"/>
  <c r="CV31" i="34"/>
  <c r="CV37" i="34"/>
  <c r="CV79" i="34"/>
  <c r="CV28" i="34"/>
  <c r="CV49" i="34"/>
  <c r="CV53" i="34"/>
  <c r="CV74" i="34"/>
  <c r="CV91" i="34"/>
  <c r="CV18" i="34"/>
  <c r="CT6" i="34"/>
  <c r="CV45" i="34"/>
  <c r="CV82" i="34"/>
  <c r="CV86" i="34"/>
  <c r="CU6" i="34"/>
  <c r="CU2" i="34"/>
  <c r="CV16" i="34"/>
  <c r="CU4" i="34"/>
  <c r="CT10" i="34" l="1"/>
  <c r="CU7" i="34"/>
  <c r="CT7" i="34"/>
  <c r="CT3" i="34"/>
  <c r="CT8" i="34"/>
  <c r="CT5" i="34"/>
  <c r="CU5" i="34"/>
  <c r="CU3" i="34"/>
  <c r="CU8" i="34"/>
  <c r="A78" i="45" l="1"/>
  <c r="A75" i="45"/>
  <c r="A73" i="45"/>
  <c r="A70" i="45"/>
  <c r="A69" i="45"/>
  <c r="A68" i="45"/>
  <c r="A66" i="45"/>
  <c r="A64" i="45"/>
  <c r="A61" i="45"/>
  <c r="A59" i="45"/>
  <c r="A51" i="45"/>
  <c r="A45" i="45"/>
  <c r="A40" i="45"/>
  <c r="A36" i="45"/>
  <c r="A32" i="45"/>
  <c r="A28" i="45"/>
  <c r="A24" i="45"/>
  <c r="A21" i="45"/>
  <c r="A18" i="45"/>
  <c r="A15" i="45"/>
  <c r="A12" i="45"/>
  <c r="A9" i="45"/>
  <c r="A7" i="45"/>
  <c r="A5" i="45"/>
  <c r="A1" i="45"/>
  <c r="BU93" i="34" l="1"/>
  <c r="BU92" i="34"/>
  <c r="BU91" i="34"/>
  <c r="BU90" i="34"/>
  <c r="BU89" i="34"/>
  <c r="BU88" i="34"/>
  <c r="BU87" i="34"/>
  <c r="BU86" i="34"/>
  <c r="BU85" i="34"/>
  <c r="BU84" i="34"/>
  <c r="BU83" i="34"/>
  <c r="BU82" i="34"/>
  <c r="BU81" i="34"/>
  <c r="BU80" i="34"/>
  <c r="BU79" i="34"/>
  <c r="BU78" i="34"/>
  <c r="BU76" i="34"/>
  <c r="BU75" i="34"/>
  <c r="BU74" i="34"/>
  <c r="BU73" i="34"/>
  <c r="BU72" i="34"/>
  <c r="BU71" i="34"/>
  <c r="BU70" i="34"/>
  <c r="BU69" i="34"/>
  <c r="BU68" i="34"/>
  <c r="BU67" i="34"/>
  <c r="BU66" i="34"/>
  <c r="BU65" i="34"/>
  <c r="BU64" i="34"/>
  <c r="BU63" i="34"/>
  <c r="BU62" i="34"/>
  <c r="BU61" i="34"/>
  <c r="BU60" i="34"/>
  <c r="BU59" i="34"/>
  <c r="BU58" i="34"/>
  <c r="BU57" i="34"/>
  <c r="BU56" i="34"/>
  <c r="BU55" i="34"/>
  <c r="BU54" i="34"/>
  <c r="BU53" i="34"/>
  <c r="BU52" i="34"/>
  <c r="BU51" i="34"/>
  <c r="BU50" i="34"/>
  <c r="BU49" i="34"/>
  <c r="BU48" i="34"/>
  <c r="BU47" i="34"/>
  <c r="BU46" i="34"/>
  <c r="BU45" i="34"/>
  <c r="BU44" i="34"/>
  <c r="BU43" i="34"/>
  <c r="BU42" i="34"/>
  <c r="BU41" i="34"/>
  <c r="BU40" i="34"/>
  <c r="BU39" i="34"/>
  <c r="BU38" i="34"/>
  <c r="BU37" i="34"/>
  <c r="BU36" i="34"/>
  <c r="BU35" i="34"/>
  <c r="BU34" i="34"/>
  <c r="BU33" i="34"/>
  <c r="BU32" i="34"/>
  <c r="BU31" i="34"/>
  <c r="BU30" i="34"/>
  <c r="BU29" i="34"/>
  <c r="BU28" i="34"/>
  <c r="BU27" i="34"/>
  <c r="BU26" i="34"/>
  <c r="BU25" i="34"/>
  <c r="BU24" i="34"/>
  <c r="BU23" i="34"/>
  <c r="BU22" i="34"/>
  <c r="BU21" i="34"/>
  <c r="BU20" i="34"/>
  <c r="BU19" i="34"/>
  <c r="BU17" i="34"/>
  <c r="BU16" i="34"/>
  <c r="BU14" i="34"/>
  <c r="BT81" i="34"/>
  <c r="BT80" i="34"/>
  <c r="BT79" i="34"/>
  <c r="BT78" i="34"/>
  <c r="BT71" i="34"/>
  <c r="BT70" i="34"/>
  <c r="BT69" i="34"/>
  <c r="BT68" i="34"/>
  <c r="BT64" i="34"/>
  <c r="BT63" i="34"/>
  <c r="BT62" i="34"/>
  <c r="BT56" i="34"/>
  <c r="BT55" i="34"/>
  <c r="BT54" i="34"/>
  <c r="BT53" i="34"/>
  <c r="BT44" i="34"/>
  <c r="BT43" i="34"/>
  <c r="BT41" i="34"/>
  <c r="BT39" i="34"/>
  <c r="BT38" i="34"/>
  <c r="BT33" i="34"/>
  <c r="BT32" i="34"/>
  <c r="BT31" i="34"/>
  <c r="BT21" i="34"/>
  <c r="BT19" i="34"/>
  <c r="B11" i="43" l="1"/>
  <c r="B10" i="43"/>
  <c r="BH63" i="34"/>
  <c r="BH62" i="34"/>
  <c r="BH31" i="34"/>
  <c r="BH53" i="34"/>
  <c r="BH43" i="34"/>
  <c r="BH81" i="34"/>
  <c r="BH39" i="34"/>
  <c r="BH18" i="34"/>
  <c r="BH42" i="34"/>
  <c r="BH70" i="34"/>
  <c r="BH55" i="34"/>
  <c r="BH32" i="34"/>
  <c r="BH44" i="34"/>
  <c r="BH64" i="34"/>
  <c r="BH56" i="34"/>
  <c r="BH79" i="34"/>
  <c r="BH21" i="34"/>
  <c r="BH19" i="34"/>
  <c r="BH68" i="34"/>
  <c r="BH69" i="34"/>
  <c r="BH41" i="34"/>
  <c r="BH78" i="34"/>
  <c r="BH77" i="34"/>
  <c r="BH54" i="34"/>
  <c r="BH38" i="34"/>
  <c r="BH33" i="34"/>
  <c r="BH80" i="34"/>
  <c r="BH71" i="34"/>
  <c r="BH15" i="34"/>
  <c r="AR52" i="34" l="1"/>
  <c r="AR51" i="34"/>
  <c r="AR50" i="34"/>
  <c r="AR49" i="34"/>
  <c r="BH50" i="34"/>
  <c r="BH52" i="34"/>
  <c r="G6" i="42"/>
  <c r="BH49" i="34"/>
  <c r="BH51" i="34"/>
  <c r="G2" i="42"/>
  <c r="BT52" i="34" l="1"/>
  <c r="BT49" i="34"/>
  <c r="BT50" i="34"/>
  <c r="BT51" i="34"/>
  <c r="AR36" i="34"/>
  <c r="AR35" i="34"/>
  <c r="AR34" i="34"/>
  <c r="BH34" i="34"/>
  <c r="BH36" i="34"/>
  <c r="BH35" i="34"/>
  <c r="BT36" i="34" l="1"/>
  <c r="BT34" i="34"/>
  <c r="BT35" i="34"/>
  <c r="CG9" i="34" l="1"/>
  <c r="CH9" i="34" s="1"/>
  <c r="CG6" i="34"/>
  <c r="CG4" i="34"/>
  <c r="CG2" i="34"/>
  <c r="CH2" i="34"/>
  <c r="CH6" i="34"/>
  <c r="CH4" i="34"/>
  <c r="BL57" i="34"/>
  <c r="BL56" i="34"/>
  <c r="BL55" i="34"/>
  <c r="BL54" i="34"/>
  <c r="CH7" i="34" l="1"/>
  <c r="CG5" i="34"/>
  <c r="CH3" i="34"/>
  <c r="CH8" i="34"/>
  <c r="CG7" i="34"/>
  <c r="CG10" i="34"/>
  <c r="CH5" i="34"/>
  <c r="CG8" i="34"/>
  <c r="CG3" i="34"/>
  <c r="AR87" i="34"/>
  <c r="BT87" i="34" s="1"/>
  <c r="BI87" i="34"/>
  <c r="AR57" i="34" l="1"/>
  <c r="BH57" i="34"/>
  <c r="BT57" i="34" l="1"/>
  <c r="BI81" i="34"/>
  <c r="BJ81" i="34"/>
  <c r="AR90" i="34" l="1"/>
  <c r="BT90" i="34" s="1"/>
  <c r="AR89" i="34"/>
  <c r="BT89" i="34" s="1"/>
  <c r="AR88" i="34"/>
  <c r="BT88" i="34" s="1"/>
  <c r="AR86" i="34"/>
  <c r="BT86" i="34" s="1"/>
  <c r="AR93" i="34"/>
  <c r="BT93" i="34" s="1"/>
  <c r="AR92" i="34"/>
  <c r="BT92" i="34" s="1"/>
  <c r="AR91" i="34"/>
  <c r="BT91" i="34" s="1"/>
  <c r="AR85" i="34" l="1"/>
  <c r="BT85" i="34" s="1"/>
  <c r="AR84" i="34"/>
  <c r="BT84" i="34" s="1"/>
  <c r="AR83" i="34"/>
  <c r="BT83" i="34" s="1"/>
  <c r="AR82" i="34" l="1"/>
  <c r="BT82" i="34" s="1"/>
  <c r="BI91" i="34"/>
  <c r="BJ91" i="34"/>
  <c r="BJ86" i="34"/>
  <c r="BJ92" i="34"/>
  <c r="BJ88" i="34"/>
  <c r="BI90" i="34"/>
  <c r="BJ93" i="34"/>
  <c r="BJ90" i="34"/>
  <c r="BI93" i="34"/>
  <c r="BI86" i="34"/>
  <c r="BI92" i="34"/>
  <c r="BJ82" i="34"/>
  <c r="BI82" i="34"/>
  <c r="BI89" i="34"/>
  <c r="BJ89" i="34"/>
  <c r="BI88" i="34"/>
  <c r="AR48" i="34" l="1"/>
  <c r="AR47" i="34"/>
  <c r="AR46" i="34"/>
  <c r="AR45" i="34"/>
  <c r="AR20" i="34"/>
  <c r="BN82" i="34"/>
  <c r="AR24" i="34"/>
  <c r="AR67" i="34"/>
  <c r="AR76" i="34"/>
  <c r="AR75" i="34"/>
  <c r="AR74" i="34"/>
  <c r="AR73" i="34"/>
  <c r="AR72" i="34"/>
  <c r="AR66" i="34"/>
  <c r="AR65" i="34"/>
  <c r="AR61" i="34"/>
  <c r="AR60" i="34"/>
  <c r="AR59" i="34"/>
  <c r="AR58" i="34"/>
  <c r="AR30" i="34"/>
  <c r="AR29" i="34"/>
  <c r="AR28" i="34"/>
  <c r="AR23" i="34"/>
  <c r="AR22" i="34"/>
  <c r="AR14" i="34"/>
  <c r="BL71" i="34"/>
  <c r="BL69" i="34"/>
  <c r="BL68" i="34"/>
  <c r="BL40" i="34"/>
  <c r="BL39" i="34"/>
  <c r="BL63" i="34"/>
  <c r="BL61" i="34"/>
  <c r="BL60" i="34"/>
  <c r="BL59" i="34"/>
  <c r="BL58" i="34"/>
  <c r="BL33" i="34"/>
  <c r="BL34" i="34"/>
  <c r="BL35" i="34"/>
  <c r="BL36" i="34"/>
  <c r="BL43" i="34"/>
  <c r="BL44" i="34"/>
  <c r="BL50" i="34"/>
  <c r="BL52" i="34"/>
  <c r="BL32" i="34"/>
  <c r="T13" i="14"/>
  <c r="T8" i="14"/>
  <c r="T12" i="14"/>
  <c r="T11" i="14"/>
  <c r="T10" i="14"/>
  <c r="T9" i="14"/>
  <c r="T7" i="14"/>
  <c r="T6" i="14"/>
  <c r="T5" i="14"/>
  <c r="P13" i="14"/>
  <c r="O13" i="14"/>
  <c r="N13" i="14"/>
  <c r="M13" i="14"/>
  <c r="L13" i="14"/>
  <c r="K13" i="14"/>
  <c r="J13" i="14"/>
  <c r="I13" i="14"/>
  <c r="H13" i="14"/>
  <c r="G13" i="14"/>
  <c r="F13" i="14"/>
  <c r="E13" i="14"/>
  <c r="D13" i="14"/>
  <c r="C13" i="14"/>
  <c r="B13" i="14"/>
  <c r="R13" i="14" s="1"/>
  <c r="P12" i="14"/>
  <c r="O12" i="14"/>
  <c r="N12" i="14"/>
  <c r="M12" i="14"/>
  <c r="L12" i="14"/>
  <c r="K12" i="14"/>
  <c r="J12" i="14"/>
  <c r="I12" i="14"/>
  <c r="H12" i="14"/>
  <c r="G12" i="14"/>
  <c r="F12" i="14"/>
  <c r="E12" i="14"/>
  <c r="D12" i="14"/>
  <c r="C12" i="14"/>
  <c r="B12" i="14"/>
  <c r="R12" i="14" s="1"/>
  <c r="P11" i="14"/>
  <c r="O11" i="14"/>
  <c r="N11" i="14"/>
  <c r="M11" i="14"/>
  <c r="L11" i="14"/>
  <c r="K11" i="14"/>
  <c r="J11" i="14"/>
  <c r="I11" i="14"/>
  <c r="H11" i="14"/>
  <c r="G11" i="14"/>
  <c r="F11" i="14"/>
  <c r="E11" i="14"/>
  <c r="D11" i="14"/>
  <c r="C11" i="14"/>
  <c r="B11" i="14"/>
  <c r="R11" i="14" s="1"/>
  <c r="P10" i="14"/>
  <c r="O10" i="14"/>
  <c r="N10" i="14"/>
  <c r="M10" i="14"/>
  <c r="L10" i="14"/>
  <c r="K10" i="14"/>
  <c r="J10" i="14"/>
  <c r="I10" i="14"/>
  <c r="H10" i="14"/>
  <c r="G10" i="14"/>
  <c r="F10" i="14"/>
  <c r="E10" i="14"/>
  <c r="D10" i="14"/>
  <c r="C10" i="14"/>
  <c r="B10" i="14"/>
  <c r="R10" i="14" s="1"/>
  <c r="P9" i="14"/>
  <c r="O9" i="14"/>
  <c r="N9" i="14"/>
  <c r="M9" i="14"/>
  <c r="L9" i="14"/>
  <c r="K9" i="14"/>
  <c r="J9" i="14"/>
  <c r="I9" i="14"/>
  <c r="H9" i="14"/>
  <c r="G9" i="14"/>
  <c r="F9" i="14"/>
  <c r="E9" i="14"/>
  <c r="D9" i="14"/>
  <c r="C9" i="14"/>
  <c r="B9" i="14"/>
  <c r="R9" i="14" s="1"/>
  <c r="P7" i="14"/>
  <c r="O7" i="14"/>
  <c r="N7" i="14"/>
  <c r="M7" i="14"/>
  <c r="L7" i="14"/>
  <c r="K7" i="14"/>
  <c r="J7" i="14"/>
  <c r="I7" i="14"/>
  <c r="H7" i="14"/>
  <c r="G7" i="14"/>
  <c r="F7" i="14"/>
  <c r="E7" i="14"/>
  <c r="D7" i="14"/>
  <c r="C7" i="14"/>
  <c r="B7" i="14"/>
  <c r="R7" i="14" s="1"/>
  <c r="P8" i="14"/>
  <c r="O8" i="14"/>
  <c r="N8" i="14"/>
  <c r="M8" i="14"/>
  <c r="L8" i="14"/>
  <c r="K8" i="14"/>
  <c r="J8" i="14"/>
  <c r="I8" i="14"/>
  <c r="H8" i="14"/>
  <c r="G8" i="14"/>
  <c r="F8" i="14"/>
  <c r="E8" i="14"/>
  <c r="D8" i="14"/>
  <c r="C8" i="14"/>
  <c r="B8" i="14"/>
  <c r="R8" i="14" s="1"/>
  <c r="P6" i="14"/>
  <c r="O6" i="14"/>
  <c r="N6" i="14"/>
  <c r="M6" i="14"/>
  <c r="L6" i="14"/>
  <c r="K6" i="14"/>
  <c r="J6" i="14"/>
  <c r="I6" i="14"/>
  <c r="H6" i="14"/>
  <c r="G6" i="14"/>
  <c r="F6" i="14"/>
  <c r="E6" i="14"/>
  <c r="D6" i="14"/>
  <c r="C6" i="14"/>
  <c r="B6" i="14"/>
  <c r="R6" i="14" s="1"/>
  <c r="P5" i="14"/>
  <c r="P14" i="14"/>
  <c r="O5" i="14"/>
  <c r="O14" i="14" s="1"/>
  <c r="N5" i="14"/>
  <c r="N14" i="14" s="1"/>
  <c r="M5" i="14"/>
  <c r="M14" i="14" s="1"/>
  <c r="L5" i="14"/>
  <c r="L14" i="14" s="1"/>
  <c r="K5" i="14"/>
  <c r="K14" i="14" s="1"/>
  <c r="J5" i="14"/>
  <c r="J14" i="14" s="1"/>
  <c r="I5" i="14"/>
  <c r="I14" i="14" s="1"/>
  <c r="H5" i="14"/>
  <c r="H14" i="14" s="1"/>
  <c r="G5" i="14"/>
  <c r="G14" i="14" s="1"/>
  <c r="F5" i="14"/>
  <c r="F14" i="14" s="1"/>
  <c r="E5" i="14"/>
  <c r="E14" i="14" s="1"/>
  <c r="D5" i="14"/>
  <c r="D14" i="14" s="1"/>
  <c r="C5" i="14"/>
  <c r="C14" i="14" s="1"/>
  <c r="B5" i="14"/>
  <c r="R5" i="14" s="1"/>
  <c r="BJ57" i="34"/>
  <c r="BJ17" i="34"/>
  <c r="BJ53" i="34"/>
  <c r="BI31" i="34"/>
  <c r="BI18" i="34"/>
  <c r="BH66" i="34"/>
  <c r="BH58" i="34"/>
  <c r="BH45" i="34"/>
  <c r="BJ84" i="34"/>
  <c r="BI44" i="34"/>
  <c r="BJ46" i="34"/>
  <c r="BI40" i="34"/>
  <c r="BJ80" i="34"/>
  <c r="BH61" i="34"/>
  <c r="BJ33" i="34"/>
  <c r="BJ16" i="34"/>
  <c r="BI51" i="34"/>
  <c r="BJ61" i="34"/>
  <c r="BI65" i="34"/>
  <c r="BJ23" i="34"/>
  <c r="BI52" i="34"/>
  <c r="BJ83" i="34"/>
  <c r="BH67" i="34"/>
  <c r="BI85" i="34"/>
  <c r="BJ85" i="34"/>
  <c r="BJ44" i="34"/>
  <c r="BH24" i="34"/>
  <c r="BJ22" i="34"/>
  <c r="BH25" i="34"/>
  <c r="BH26" i="34"/>
  <c r="BI39" i="34"/>
  <c r="BJ62" i="34"/>
  <c r="BJ70" i="34"/>
  <c r="BI66" i="34"/>
  <c r="BH46" i="34"/>
  <c r="BJ58" i="34"/>
  <c r="BH37" i="34"/>
  <c r="BJ54" i="34"/>
  <c r="BI46" i="34"/>
  <c r="BI26" i="34"/>
  <c r="BH20" i="34"/>
  <c r="BJ47" i="34"/>
  <c r="BI61" i="34"/>
  <c r="BJ20" i="34"/>
  <c r="BJ72" i="34"/>
  <c r="BH30" i="34"/>
  <c r="BI36" i="34"/>
  <c r="BJ48" i="34"/>
  <c r="BH47" i="34"/>
  <c r="BH73" i="34"/>
  <c r="BI50" i="34"/>
  <c r="BJ66" i="34"/>
  <c r="BI57" i="34"/>
  <c r="BJ24" i="34"/>
  <c r="BI73" i="34"/>
  <c r="BI64" i="34"/>
  <c r="BJ32" i="34"/>
  <c r="BI45" i="34"/>
  <c r="BJ50" i="34"/>
  <c r="BJ37" i="34"/>
  <c r="BI38" i="34"/>
  <c r="BI43" i="34"/>
  <c r="BJ40" i="34"/>
  <c r="BJ28" i="34"/>
  <c r="BI32" i="34"/>
  <c r="BH72" i="34"/>
  <c r="BH59" i="34"/>
  <c r="BJ14" i="34"/>
  <c r="BJ21" i="34"/>
  <c r="BI24" i="34"/>
  <c r="BH28" i="34"/>
  <c r="BI35" i="34"/>
  <c r="BI83" i="34"/>
  <c r="BJ67" i="34"/>
  <c r="BI27" i="34"/>
  <c r="BI76" i="34"/>
  <c r="BH23" i="34"/>
  <c r="BJ79" i="34"/>
  <c r="BJ41" i="34"/>
  <c r="BI23" i="34"/>
  <c r="BI54" i="34"/>
  <c r="BJ43" i="34"/>
  <c r="BJ51" i="34"/>
  <c r="BJ15" i="34"/>
  <c r="BJ49" i="34"/>
  <c r="BJ52" i="34"/>
  <c r="G6" i="36"/>
  <c r="BI22" i="34"/>
  <c r="BJ19" i="34"/>
  <c r="BI67" i="34"/>
  <c r="BH65" i="34"/>
  <c r="BJ39" i="34"/>
  <c r="BI34" i="34"/>
  <c r="BI77" i="34"/>
  <c r="BJ74" i="34"/>
  <c r="BI37" i="34"/>
  <c r="BH27" i="34"/>
  <c r="BI17" i="34"/>
  <c r="BI42" i="34"/>
  <c r="BI21" i="34"/>
  <c r="BI25" i="34"/>
  <c r="BI28" i="34"/>
  <c r="BI68" i="34"/>
  <c r="BI71" i="34"/>
  <c r="BI62" i="34"/>
  <c r="BH48" i="34"/>
  <c r="BH75" i="34"/>
  <c r="BI59" i="34"/>
  <c r="BJ60" i="34"/>
  <c r="BJ35" i="34"/>
  <c r="BI56" i="34"/>
  <c r="BJ18" i="34"/>
  <c r="BJ45" i="34"/>
  <c r="BI33" i="34"/>
  <c r="BI20" i="34"/>
  <c r="BI47" i="34"/>
  <c r="BI80" i="34"/>
  <c r="BI78" i="34"/>
  <c r="BJ56" i="34"/>
  <c r="BH16" i="34"/>
  <c r="BI60" i="34"/>
  <c r="BJ65" i="34"/>
  <c r="BJ42" i="34"/>
  <c r="BI75" i="34"/>
  <c r="BI70" i="34"/>
  <c r="BH22" i="34"/>
  <c r="BJ27" i="34"/>
  <c r="BI19" i="34"/>
  <c r="BJ55" i="34"/>
  <c r="BI41" i="34"/>
  <c r="BH17" i="34"/>
  <c r="BH14" i="34"/>
  <c r="BJ64" i="34"/>
  <c r="BH29" i="34"/>
  <c r="BI84" i="34"/>
  <c r="G2" i="36"/>
  <c r="BI63" i="34"/>
  <c r="BJ36" i="34"/>
  <c r="G2" i="37"/>
  <c r="BI58" i="34"/>
  <c r="BI15" i="34"/>
  <c r="BJ34" i="34"/>
  <c r="BJ69" i="34"/>
  <c r="BI53" i="34"/>
  <c r="BJ30" i="34"/>
  <c r="BH74" i="34"/>
  <c r="BJ78" i="34"/>
  <c r="BJ63" i="34"/>
  <c r="BJ77" i="34"/>
  <c r="BI16" i="34"/>
  <c r="BJ68" i="34"/>
  <c r="BJ71" i="34"/>
  <c r="BJ31" i="34"/>
  <c r="BH60" i="34"/>
  <c r="BJ38" i="34"/>
  <c r="BI69" i="34"/>
  <c r="BI48" i="34"/>
  <c r="BI30" i="34"/>
  <c r="BJ26" i="34"/>
  <c r="G6" i="37"/>
  <c r="BH76" i="34"/>
  <c r="BH40" i="34"/>
  <c r="BI79" i="34"/>
  <c r="BI29" i="34"/>
  <c r="BI55" i="34"/>
  <c r="BI14" i="34"/>
  <c r="BT16" i="34" l="1"/>
  <c r="BT37" i="34"/>
  <c r="BT72" i="34"/>
  <c r="BT76" i="34"/>
  <c r="BT28" i="34"/>
  <c r="BT22" i="34"/>
  <c r="BT29" i="34"/>
  <c r="BT58" i="34"/>
  <c r="BT65" i="34"/>
  <c r="BT74" i="34"/>
  <c r="BT24" i="34"/>
  <c r="BT46" i="34"/>
  <c r="BT14" i="34"/>
  <c r="BT23" i="34"/>
  <c r="BT30" i="34"/>
  <c r="BT59" i="34"/>
  <c r="BT66" i="34"/>
  <c r="BT75" i="34"/>
  <c r="BT26" i="34"/>
  <c r="BT20" i="34"/>
  <c r="BT47" i="34"/>
  <c r="BT27" i="34"/>
  <c r="BT60" i="34"/>
  <c r="BT25" i="34"/>
  <c r="BT48" i="34"/>
  <c r="BT17" i="34"/>
  <c r="BT40" i="34"/>
  <c r="BT61" i="34"/>
  <c r="BT73" i="34"/>
  <c r="BT67" i="34"/>
  <c r="BT45" i="34"/>
  <c r="B14" i="14"/>
  <c r="R14" i="14" s="1"/>
  <c r="T14" i="14"/>
  <c r="BI72" i="34"/>
  <c r="BJ76" i="34"/>
  <c r="BI49" i="34"/>
  <c r="BJ73" i="34"/>
  <c r="BI74" i="34"/>
  <c r="BJ75" i="34"/>
  <c r="BJ29" i="34"/>
  <c r="BJ59" i="34"/>
  <c r="BJ25" i="34"/>
</calcChain>
</file>

<file path=xl/comments1.xml><?xml version="1.0" encoding="utf-8"?>
<comments xmlns="http://schemas.openxmlformats.org/spreadsheetml/2006/main">
  <authors>
    <author>Author</author>
  </authors>
  <commentList>
    <comment ref="CU13" authorId="0">
      <text>
        <r>
          <rPr>
            <b/>
            <sz val="9"/>
            <color indexed="81"/>
            <rFont val="Tahoma"/>
            <charset val="1"/>
          </rPr>
          <t>PASSES IF ROUND TO INTEGER MATCHES</t>
        </r>
      </text>
    </comment>
    <comment ref="AR49" authorId="0">
      <text>
        <r>
          <rPr>
            <b/>
            <sz val="9"/>
            <color indexed="81"/>
            <rFont val="Tahoma"/>
            <family val="2"/>
          </rPr>
          <t>claimant of dependent counts dependent's income</t>
        </r>
      </text>
    </comment>
    <comment ref="AR50" authorId="0">
      <text>
        <r>
          <rPr>
            <b/>
            <sz val="9"/>
            <color indexed="81"/>
            <rFont val="Tahoma"/>
            <family val="2"/>
          </rPr>
          <t>Wife filing separately so separate HH along with claimed dependent(s)</t>
        </r>
      </text>
    </comment>
    <comment ref="AR51" authorId="0">
      <text>
        <r>
          <rPr>
            <b/>
            <sz val="9"/>
            <color indexed="81"/>
            <rFont val="Tahoma"/>
            <family val="2"/>
          </rPr>
          <t>claimant of dependent counts dependent's income</t>
        </r>
      </text>
    </comment>
    <comment ref="AR52" authorId="0">
      <text>
        <r>
          <rPr>
            <b/>
            <sz val="9"/>
            <color indexed="81"/>
            <rFont val="Tahoma"/>
            <family val="2"/>
          </rPr>
          <t>Wife filing separately so separate HH along with claimed dependent(s)</t>
        </r>
      </text>
    </comment>
  </commentList>
</comments>
</file>

<file path=xl/sharedStrings.xml><?xml version="1.0" encoding="utf-8"?>
<sst xmlns="http://schemas.openxmlformats.org/spreadsheetml/2006/main" count="5490" uniqueCount="1125">
  <si>
    <t>Scenario</t>
  </si>
  <si>
    <t>Relationship</t>
  </si>
  <si>
    <t>Tax Filing</t>
  </si>
  <si>
    <t>Income</t>
  </si>
  <si>
    <t>Non MAGI Indicator</t>
  </si>
  <si>
    <t>Test Condition</t>
  </si>
  <si>
    <t>Applicant</t>
  </si>
  <si>
    <t>First Name</t>
  </si>
  <si>
    <t xml:space="preserve">Last Name </t>
  </si>
  <si>
    <t>Category</t>
  </si>
  <si>
    <t>Gender</t>
  </si>
  <si>
    <t>Marital Status</t>
  </si>
  <si>
    <t>Do you want to find out if you can get help paying for your own health insurance and health benefits?</t>
  </si>
  <si>
    <t>Do you want to know the eligibility of health insurance without financial help?</t>
  </si>
  <si>
    <t>American Indian/ Alaskan Native</t>
  </si>
  <si>
    <t>Does this person live with you (primary applicant)?</t>
  </si>
  <si>
    <t>SSN</t>
  </si>
  <si>
    <t>SSN Value</t>
  </si>
  <si>
    <t>Citizenship</t>
  </si>
  <si>
    <t>Residency</t>
  </si>
  <si>
    <t>Street 1</t>
  </si>
  <si>
    <t>State</t>
  </si>
  <si>
    <t>Zipcode</t>
  </si>
  <si>
    <t>5-Year-Bar Exemption</t>
  </si>
  <si>
    <t>Pregnancy</t>
  </si>
  <si>
    <t>Member Relationship</t>
  </si>
  <si>
    <t>Primary Caretaker</t>
  </si>
  <si>
    <t>Tax Filing Status</t>
  </si>
  <si>
    <t>Jointly Tax Return</t>
  </si>
  <si>
    <t>Who will enter as dependent on Tax Return</t>
  </si>
  <si>
    <t>Income To Be Included</t>
  </si>
  <si>
    <t>Income To Be Excluded</t>
  </si>
  <si>
    <t>Income Deduction</t>
  </si>
  <si>
    <t>Have Medicaid Bill in Last 3 Months</t>
  </si>
  <si>
    <t>Incarceration</t>
  </si>
  <si>
    <t>Have been Covered?</t>
  </si>
  <si>
    <t>Disabled</t>
  </si>
  <si>
    <t>Blind</t>
  </si>
  <si>
    <t>Long Term Care</t>
  </si>
  <si>
    <t>Male</t>
  </si>
  <si>
    <t>Single</t>
  </si>
  <si>
    <t>Yes</t>
  </si>
  <si>
    <t>n/a</t>
  </si>
  <si>
    <t>No</t>
  </si>
  <si>
    <t>Have a valid SSN</t>
  </si>
  <si>
    <t>US Citizen/US National</t>
  </si>
  <si>
    <t>Tax Filer</t>
  </si>
  <si>
    <t>Former Foster Care</t>
  </si>
  <si>
    <t>Female</t>
  </si>
  <si>
    <t>Non Tax Filer</t>
  </si>
  <si>
    <t>Husband</t>
  </si>
  <si>
    <t>Parent/Caretaker</t>
  </si>
  <si>
    <t>Married</t>
  </si>
  <si>
    <t>Has a fixed address in DC</t>
  </si>
  <si>
    <t>Wife</t>
  </si>
  <si>
    <t>Spouse of Tax Filer</t>
  </si>
  <si>
    <t>Is the Spouse of 2nd applicant
Is the Parent of 3rd applicant</t>
  </si>
  <si>
    <t>Is the Parent of 3rd applicant</t>
  </si>
  <si>
    <t>Tax Dependent</t>
  </si>
  <si>
    <t>Child from 6 to 14</t>
  </si>
  <si>
    <t>&gt; 5 and &lt;= 14</t>
  </si>
  <si>
    <t>Lawfully Present for less than 5 years</t>
  </si>
  <si>
    <t>District of Columbia</t>
  </si>
  <si>
    <t>&gt; 14 and &lt;= 18</t>
  </si>
  <si>
    <t>Tax Filer &amp; Tax Dependent</t>
  </si>
  <si>
    <t>&gt;= 1 and &lt;= 5</t>
  </si>
  <si>
    <t>Not applied for an SSN due to "Not eligible for SSN"</t>
  </si>
  <si>
    <t>&gt; 29 and &lt;= 39</t>
  </si>
  <si>
    <t>&gt; 59 and &lt;= 64</t>
  </si>
  <si>
    <t>Is the Parent of 2nd Applicant</t>
  </si>
  <si>
    <t>&gt; 39 and &lt;= 49</t>
  </si>
  <si>
    <t>&gt; 49 and &lt;= 59</t>
  </si>
  <si>
    <t>Not Incarcerated</t>
  </si>
  <si>
    <t>&gt; 64</t>
  </si>
  <si>
    <t>2-IA-02</t>
  </si>
  <si>
    <t>6-IA-01</t>
  </si>
  <si>
    <t>Virginia</t>
  </si>
  <si>
    <t>6-IA-04</t>
  </si>
  <si>
    <t>6-IA-05</t>
  </si>
  <si>
    <t>6-IA-09</t>
  </si>
  <si>
    <t>6-UA-04</t>
  </si>
  <si>
    <t>6-UA-05</t>
  </si>
  <si>
    <t>Maryland</t>
  </si>
  <si>
    <t>MAGI &amp; IA</t>
  </si>
  <si>
    <t>New York</t>
  </si>
  <si>
    <t>IA</t>
  </si>
  <si>
    <t>MAGI</t>
  </si>
  <si>
    <t>HH=1</t>
  </si>
  <si>
    <t>HH=2</t>
  </si>
  <si>
    <t>HH=3</t>
  </si>
  <si>
    <t>HH=4</t>
  </si>
  <si>
    <t>HH=5</t>
  </si>
  <si>
    <t>HH=6</t>
  </si>
  <si>
    <t>HH=7</t>
  </si>
  <si>
    <t>HH=8</t>
  </si>
  <si>
    <t>HH&gt;8</t>
  </si>
  <si>
    <t>&gt; 18 and &lt;= 20</t>
  </si>
  <si>
    <t>Additional Info</t>
  </si>
  <si>
    <t>Yes-Medicare</t>
  </si>
  <si>
    <t>3-IA-01</t>
  </si>
  <si>
    <t>3-IA-02</t>
  </si>
  <si>
    <t>3-IA-03</t>
  </si>
  <si>
    <t>3-UA-01</t>
  </si>
  <si>
    <t>3-NONMAGI_IA-01</t>
  </si>
  <si>
    <t>3-MAGI_UA-01</t>
  </si>
  <si>
    <t>2-IA_UA-01</t>
  </si>
  <si>
    <t>Not Applicable</t>
  </si>
  <si>
    <t>Has a fixed address OUT OF DC</t>
  </si>
  <si>
    <t>7-IA-03</t>
  </si>
  <si>
    <t>7-MAGI_NONMAGI_IA-01</t>
  </si>
  <si>
    <t>7-NONMAGI_IA_UA-01</t>
  </si>
  <si>
    <t>Is the Brother/Sister of 4th applicant</t>
  </si>
  <si>
    <t>Is the Brother/Sister of 6th applicant</t>
  </si>
  <si>
    <t>6-NONMAGI_UA-01</t>
  </si>
  <si>
    <t>6-NONMAGI_UA-02</t>
  </si>
  <si>
    <t>6-IA_UA-01</t>
  </si>
  <si>
    <t>6-IA_UA-02</t>
  </si>
  <si>
    <t>6-MAGI_NONMAGI_IA_UA-02</t>
  </si>
  <si>
    <t>Age Range</t>
  </si>
  <si>
    <t>Is Pregnant or was recently pregnant?</t>
  </si>
  <si>
    <t># of Children</t>
  </si>
  <si>
    <t>Pregnancy Due Date</t>
  </si>
  <si>
    <t>Pregnancy End Date</t>
  </si>
  <si>
    <t>Were you ever in foster care?</t>
  </si>
  <si>
    <t>Are you currently enrolled on Medicaid?</t>
  </si>
  <si>
    <t>Are you covered under the 'Adult' Medicaid category?</t>
  </si>
  <si>
    <t>State of foster care system</t>
  </si>
  <si>
    <t>How old were you when you left the foster care system?</t>
  </si>
  <si>
    <t>Were you enrolled on Medicaid at that time?</t>
  </si>
  <si>
    <r>
      <rPr>
        <strike/>
        <sz val="11"/>
        <color theme="1"/>
        <rFont val="Calibri"/>
        <family val="2"/>
        <scheme val="minor"/>
      </rPr>
      <t>6-IA-10</t>
    </r>
    <r>
      <rPr>
        <sz val="11"/>
        <color theme="1"/>
        <rFont val="Calibri"/>
        <family val="2"/>
        <scheme val="minor"/>
      </rPr>
      <t xml:space="preserve">
6-IA-08</t>
    </r>
  </si>
  <si>
    <r>
      <rPr>
        <strike/>
        <sz val="11"/>
        <color theme="1"/>
        <rFont val="Calibri"/>
        <family val="2"/>
        <scheme val="minor"/>
      </rPr>
      <t>6-UA-1</t>
    </r>
    <r>
      <rPr>
        <sz val="11"/>
        <color theme="1"/>
        <rFont val="Calibri"/>
        <family val="2"/>
        <scheme val="minor"/>
      </rPr>
      <t xml:space="preserve">
6-NONMAGI_UA-1</t>
    </r>
  </si>
  <si>
    <t>6-MAGI_UA-01</t>
  </si>
  <si>
    <r>
      <rPr>
        <strike/>
        <sz val="11"/>
        <color theme="1"/>
        <rFont val="Calibri"/>
        <family val="2"/>
        <scheme val="minor"/>
      </rPr>
      <t>7-MAGI_UA-01</t>
    </r>
    <r>
      <rPr>
        <sz val="11"/>
        <color theme="1"/>
        <rFont val="Calibri"/>
        <family val="2"/>
        <scheme val="minor"/>
      </rPr>
      <t xml:space="preserve">
7-NONMAGI_UA-03</t>
    </r>
  </si>
  <si>
    <r>
      <rPr>
        <strike/>
        <sz val="11"/>
        <color theme="1"/>
        <rFont val="Calibri"/>
        <family val="2"/>
        <scheme val="minor"/>
      </rPr>
      <t>7-MAGI_NONMAGI_UA-01</t>
    </r>
    <r>
      <rPr>
        <sz val="11"/>
        <color theme="1"/>
        <rFont val="Calibri"/>
        <family val="2"/>
        <scheme val="minor"/>
      </rPr>
      <t xml:space="preserve">
7-NONMAGI_UA-04</t>
    </r>
  </si>
  <si>
    <r>
      <rPr>
        <strike/>
        <sz val="11"/>
        <color theme="1"/>
        <rFont val="Calibri"/>
        <family val="2"/>
        <scheme val="minor"/>
      </rPr>
      <t>7-UA-01</t>
    </r>
    <r>
      <rPr>
        <sz val="11"/>
        <color theme="1"/>
        <rFont val="Calibri"/>
        <family val="2"/>
        <scheme val="minor"/>
      </rPr>
      <t xml:space="preserve">
7-NONMAGI_UA-01</t>
    </r>
  </si>
  <si>
    <t>Household Combination</t>
  </si>
  <si>
    <t>*-MAGI-*</t>
  </si>
  <si>
    <t>*-NONMAGI-*</t>
  </si>
  <si>
    <t>*-IA-*</t>
  </si>
  <si>
    <t>*-UA-*</t>
  </si>
  <si>
    <t>*-MAGI_NONMAGI-*</t>
  </si>
  <si>
    <t>*-MAGI_IA-*</t>
  </si>
  <si>
    <t>*-NONMAGI_UA-*</t>
  </si>
  <si>
    <t>*-MAGI_UA-*</t>
  </si>
  <si>
    <t>*-NONMAGI_IA-*</t>
  </si>
  <si>
    <t>Expected Result for a Household Combination</t>
  </si>
  <si>
    <t>*-IA_UA-*</t>
  </si>
  <si>
    <t>*-MAGI_NONMAGI_IA-*</t>
  </si>
  <si>
    <t>Un-Assisted</t>
  </si>
  <si>
    <t>MAGI &amp; Non-MAGI</t>
  </si>
  <si>
    <t>MAGI &amp; Un-Assisted</t>
  </si>
  <si>
    <t>Total</t>
  </si>
  <si>
    <t>*-MAGI_NONMAGI_UA-*</t>
  </si>
  <si>
    <t>Non-MAGI</t>
  </si>
  <si>
    <t>Non- MAGI &amp; IA</t>
  </si>
  <si>
    <t>Non-MAGI &amp; Un-Assisted</t>
  </si>
  <si>
    <t>IA &amp; Un-Assisted</t>
  </si>
  <si>
    <t>MAGI &amp; Non-MAGI &amp; IA</t>
  </si>
  <si>
    <t>MAGI &amp; Non MAGI &amp; Un-Assisted</t>
  </si>
  <si>
    <t>MAGI &amp; IA &amp; Un-Assisted</t>
  </si>
  <si>
    <t>Non-MAGI &amp; IA &amp; Un-Assisted</t>
  </si>
  <si>
    <t>MAGI &amp; Non-MAGI &amp; IA &amp; Un-Assisted</t>
  </si>
  <si>
    <t>*-MAGI_IA_UA-*</t>
  </si>
  <si>
    <t>*-MAGI_NONMAGI_IA_UA-*</t>
  </si>
  <si>
    <t>*-NONMAGI_IA_UA-*</t>
  </si>
  <si>
    <t>Total in each Sheet</t>
  </si>
  <si>
    <t>1-Unassisted QHP, No Medicaid</t>
  </si>
  <si>
    <t>2-APTC Only, No Medicaid</t>
  </si>
  <si>
    <t>3-APTC+CSR, No Medicaid</t>
  </si>
  <si>
    <t>5-Non-MAGI and Unassisted QHP</t>
  </si>
  <si>
    <t>7-Non-MAGI and APTC Only</t>
  </si>
  <si>
    <t>8-Non-MAGI and APTC+CSR</t>
  </si>
  <si>
    <t>4-MAGI Medicaid *</t>
  </si>
  <si>
    <t>6-Both MAGI and Non MAGI*</t>
  </si>
  <si>
    <t>Categories - Determination Expected Results:</t>
  </si>
  <si>
    <t>MEC</t>
  </si>
  <si>
    <t>Cost of coverage is more than or less than 9.5% of income?</t>
  </si>
  <si>
    <t>Not lawfully present</t>
  </si>
  <si>
    <t>Childless Adult 21 to 64</t>
  </si>
  <si>
    <t>Child 15 to 18, with no insurance assistance</t>
  </si>
  <si>
    <t>645 H St NE</t>
  </si>
  <si>
    <t>Daughter</t>
  </si>
  <si>
    <t>Is the Child of 2nd applicant</t>
  </si>
  <si>
    <t>Mother</t>
  </si>
  <si>
    <t>Childless Adult over 64</t>
  </si>
  <si>
    <t>Has a fixed address Out of DC</t>
  </si>
  <si>
    <t>617 Laurel Lake Dr, Columbus</t>
  </si>
  <si>
    <t>North Carolina</t>
  </si>
  <si>
    <t>Child 19 to 20</t>
  </si>
  <si>
    <t>Father</t>
  </si>
  <si>
    <t>Kevin</t>
  </si>
  <si>
    <t>Child 6 to 14, with no insurance assistance</t>
  </si>
  <si>
    <t>Child 6 to 14, with other insurance assistance</t>
  </si>
  <si>
    <t>8082 Baltimore Ave, College Park</t>
  </si>
  <si>
    <t>Daughter to Andrea and Curtis</t>
  </si>
  <si>
    <t>Wages and Salaries/Yearly=5,000</t>
  </si>
  <si>
    <t>Grandparent</t>
  </si>
  <si>
    <t>Wages and Salaries/Yearly=10,000</t>
  </si>
  <si>
    <t>Grandchild</t>
  </si>
  <si>
    <t>Child 15 to 18, with other insurance assistance</t>
  </si>
  <si>
    <t>Child 1 to 5, with other insurance assistance</t>
  </si>
  <si>
    <t>Child 1 to 5, with no insurance assistance</t>
  </si>
  <si>
    <t>Father of Christine and Jackson</t>
  </si>
  <si>
    <t>Son of Stacy and half-brother of Jackson</t>
  </si>
  <si>
    <t>Daughter of Kevin and half-brother of Jackson</t>
  </si>
  <si>
    <t>Son of Stacy and Kevin and half-brother of Luke and Christine</t>
  </si>
  <si>
    <t>4005 Wisconsin Ave NW</t>
  </si>
  <si>
    <t>Is the Spouse of 2nd applicant
Is the Parent of 3rd, 4th applicants
Is the Brother/Sister of 5th and 6th applicants</t>
  </si>
  <si>
    <t>Is the Parent of 3rd, 4th applicants
Is the Unrelated to 5th and 6th applicants</t>
  </si>
  <si>
    <t>Is the Brother/Sister of 4th applicant
Is the Nephew/Niece of 5th and 6th applicants</t>
  </si>
  <si>
    <t>Is the Nephew/Niece of 5th and 6th applicants</t>
  </si>
  <si>
    <t>QA-CORE-2-IA-008</t>
  </si>
  <si>
    <t>QA-CORE-2-MAGI-029</t>
  </si>
  <si>
    <t>QA-CORE-3-IA-010</t>
  </si>
  <si>
    <t>QA-CORE-3-MAGI-020</t>
  </si>
  <si>
    <t>QA-CORE-3-MAGI_IA-013</t>
  </si>
  <si>
    <t>609 H ST NE</t>
  </si>
  <si>
    <t>QA-CORE-4-MAGI-06</t>
  </si>
  <si>
    <t>QA-CORE-4-MAGI_IA-007</t>
  </si>
  <si>
    <t>Is the Spouse of 2nd applicant
Is the Parent of 3rd, 4th applicants</t>
  </si>
  <si>
    <t>Is the Parent of 3rd, 4th applicants</t>
  </si>
  <si>
    <t>QA-CORE-4-MAGI_UA-009</t>
  </si>
  <si>
    <t>645 H ST NE</t>
  </si>
  <si>
    <t>21 ST</t>
  </si>
  <si>
    <t>QA-CORE-6-MAGI_NONMAGI-008</t>
  </si>
  <si>
    <t>QA-CORE-5-MAGI_IA-010</t>
  </si>
  <si>
    <t>Wages and Salaries/Yearly=15000</t>
  </si>
  <si>
    <t>774D</t>
  </si>
  <si>
    <t>775D</t>
  </si>
  <si>
    <t>PASS</t>
  </si>
  <si>
    <t>% PASS</t>
  </si>
  <si>
    <t>FAIL</t>
  </si>
  <si>
    <t>% FAIL</t>
  </si>
  <si>
    <t>Category (Updated_Sep 30)</t>
  </si>
  <si>
    <t>QA-CORE-2-IA-009</t>
  </si>
  <si>
    <t>QA-CORE-2-MAGI-030</t>
  </si>
  <si>
    <t>QA-CORE-3-MAGI_UA-008</t>
  </si>
  <si>
    <t>Less than</t>
  </si>
  <si>
    <t>Daughter of Kevin and brother of Jackson</t>
  </si>
  <si>
    <t>Son of Stacy and Kevin brother of Christine</t>
  </si>
  <si>
    <t>QA-CORE-3-MAGI-021</t>
  </si>
  <si>
    <t>12511,Winexburg Manor Drive</t>
  </si>
  <si>
    <t>K ST</t>
  </si>
  <si>
    <t>QA-CORE-4-UA-001</t>
  </si>
  <si>
    <t>1200 H St NE</t>
  </si>
  <si>
    <t xml:space="preserve">Child </t>
  </si>
  <si>
    <t xml:space="preserve"> Child </t>
  </si>
  <si>
    <t>QA-CORE-8-MAGI_IA_UA-004</t>
  </si>
  <si>
    <t>610 H St NE</t>
  </si>
  <si>
    <t>Is the Spouse of 2nd applicant
Is the Parent of 3rd, 4th applicants
Is the Brother/Sister of 5th and 6th applicants
Is the Child of 7th and 8th applicants</t>
  </si>
  <si>
    <t>Wages &amp; Salaries/Yearly=28000</t>
  </si>
  <si>
    <t>Is the Parent of 3rd, 4th applicants
Is Unrelated to 5th, 6th, 7th and 8th applicants</t>
  </si>
  <si>
    <t>Is the Brother/Sister of 4th applicant
Is the Nephew/Niece of 5th and 6th applicants
Is the Grandchild of 7th and 8th applicants</t>
  </si>
  <si>
    <t>Is the Nephew/Niece of 5th and 6th applicants
Is the Grandchild of 7th and 8th applicants</t>
  </si>
  <si>
    <t>Is the Brother/Sister of 6th applicant
Is the Child of 7th and 8th applicants</t>
  </si>
  <si>
    <t>Is the Child of 7th and 8th applicants</t>
  </si>
  <si>
    <t>Husband's Father</t>
  </si>
  <si>
    <t>Is the Spouse of 8th applicant</t>
  </si>
  <si>
    <t>Husband's Mother</t>
  </si>
  <si>
    <t>NA</t>
  </si>
  <si>
    <t>Childless Adult</t>
  </si>
  <si>
    <t>Child CHIP Funded Under Eighteen</t>
  </si>
  <si>
    <t>Family</t>
  </si>
  <si>
    <t>Childless Adult Early Option</t>
  </si>
  <si>
    <t>Child CHIP Funded Under Five</t>
  </si>
  <si>
    <t>221Q</t>
  </si>
  <si>
    <t>Child MA Funded Under Fourteen</t>
  </si>
  <si>
    <t>Child CHIP Funded Under Fourteen</t>
  </si>
  <si>
    <t>Medicaid Expansion With Medicare</t>
  </si>
  <si>
    <t>Child MA Funded Under Five</t>
  </si>
  <si>
    <t>221T</t>
  </si>
  <si>
    <t>CHIP Funded Pregnant</t>
  </si>
  <si>
    <t>Child MA Funded Under Eighteen</t>
  </si>
  <si>
    <t>Wages and Salaries/Yearly=20261.46</t>
  </si>
  <si>
    <t>Social Security Income/Yearly=15234.98</t>
  </si>
  <si>
    <t>Net Self Employment Income/Yearly=35496.45</t>
  </si>
  <si>
    <t>Alimony and Maintenance/Yearly=10141.84</t>
  </si>
  <si>
    <t>Prizes and Awards/Yearly=3046.99</t>
  </si>
  <si>
    <t>Wages and Salaries/Daily=27.82</t>
  </si>
  <si>
    <t>Unemployment Insurance/Yearly=20,732.20</t>
  </si>
  <si>
    <t xml:space="preserve">Rental or Royalty/Yearly=35,000 </t>
  </si>
  <si>
    <t>Unemployment Insurance/Weekly=394.85</t>
  </si>
  <si>
    <t>2014 FPL</t>
  </si>
  <si>
    <t>Wages and Salaries/Yearly=40,567.67</t>
  </si>
  <si>
    <t>Farming or fishing Income/Yearly=45617</t>
  </si>
  <si>
    <t>Wages and Salaries/Yearly=50,708.80</t>
  </si>
  <si>
    <t xml:space="preserve">Farming or fishing Income/Yearly=25,333.18 </t>
  </si>
  <si>
    <t>Prizes and Awards/Yearly=6100</t>
  </si>
  <si>
    <t>Wages &amp; Salaries/Yearly=51446</t>
  </si>
  <si>
    <t>Prizes and Awards/Yearly=6409.31</t>
  </si>
  <si>
    <t>Tax exempt interest/Yearly=60,931.31</t>
  </si>
  <si>
    <t>Farming or fishing Income/Bi-weekly=1752.06</t>
  </si>
  <si>
    <t>Wages and Salaries/Monthly=4226.13</t>
  </si>
  <si>
    <t>Pension/Retirement Benefits/Yearly=50,787.84</t>
  </si>
  <si>
    <t>Foreign Income/Yearly=40583.4</t>
  </si>
  <si>
    <t>Dividends/Yearly=25713.52</t>
  </si>
  <si>
    <t>Taxable Interest/Yearly=25355.18</t>
  </si>
  <si>
    <t>Tax Exempt Interest/Yearly=25000</t>
  </si>
  <si>
    <t>Military Pay/Yearly=53939.74</t>
  </si>
  <si>
    <t>Wages and Salaries/Yearly=6,000</t>
  </si>
  <si>
    <t>2013 FPL for IA &amp; UQHP</t>
  </si>
  <si>
    <t>S#</t>
  </si>
  <si>
    <t>Defect ID</t>
  </si>
  <si>
    <t>Priority</t>
  </si>
  <si>
    <t>Status</t>
  </si>
  <si>
    <t>Wages and Salaries/Yearly=50,662.40</t>
  </si>
  <si>
    <t>New</t>
  </si>
  <si>
    <t>1. Woman claims mother who lives in North Carolina on her taxes.
2. Mother has Medicare and is not applying for coverage.</t>
  </si>
  <si>
    <t>Age Data</t>
  </si>
  <si>
    <t>ESI-MEC</t>
  </si>
  <si>
    <t>Has a fixed address Out of DC temporarily</t>
  </si>
  <si>
    <t>Husband to Andrea and Father to Erika</t>
  </si>
  <si>
    <t>Husband to Maria and Father to Angela</t>
  </si>
  <si>
    <t>Wife to Curtis and Mother to Erika</t>
  </si>
  <si>
    <t>Wife to Max and Mother to Angela</t>
  </si>
  <si>
    <t>Daughter to Max and Maria</t>
  </si>
  <si>
    <t xml:space="preserve">Mother to Linda and Grandmother to Crystal </t>
  </si>
  <si>
    <t>Daughter to Lisa and Mother to Crystal</t>
  </si>
  <si>
    <t>Daughter to Linda, Granddaughter to Lisa</t>
  </si>
  <si>
    <t>Child # 1</t>
  </si>
  <si>
    <t>Child # 2</t>
  </si>
  <si>
    <t>Father of Christine
Domestic Partner of Stacy
Unrelated to Luke</t>
  </si>
  <si>
    <t>Mother of Luke
Domestic Partner of Kevin
Unrelated to Christine</t>
  </si>
  <si>
    <t>Son of Stacy
Unrelated to Kevin
Unrelated to Christine</t>
  </si>
  <si>
    <t>Daughter of Kevin
Unrelated to Stacy
Unrelated to Luke</t>
  </si>
  <si>
    <t>Mother to Linda and Grandmother to Crystal and Julia</t>
  </si>
  <si>
    <t>Daughter to Lisa and Mother to Crystal and Julia</t>
  </si>
  <si>
    <t>Daughter to Linda, Sister to Julia, Granddaughter to Lisa</t>
  </si>
  <si>
    <t>Daughter to Linda, Sister to Crystal, Granddaughter to Lisa</t>
  </si>
  <si>
    <t>Child # 3</t>
  </si>
  <si>
    <t>Father of Christine and Jackson
Domestic Partner of Stacy</t>
  </si>
  <si>
    <t>Mother of Luke and Jackson
Domestic Partner of Kevin</t>
  </si>
  <si>
    <t>Husband's Sibling # 1</t>
  </si>
  <si>
    <t>Husband's Sibling # 2</t>
  </si>
  <si>
    <t>Access to ESI MEC?</t>
  </si>
  <si>
    <t>1. Father not lawfully present with one child.
2. Applying for coverage for child only.
3. Non-filers</t>
  </si>
  <si>
    <t>1. Single parent with one child age 19.
2. Parent claiming child for taxes</t>
  </si>
  <si>
    <t>1. Single father with two children.
2. All having access to affordable, MV employer-sponsored coverage.</t>
  </si>
  <si>
    <r>
      <rPr>
        <b/>
        <sz val="10"/>
        <rFont val="Verdana"/>
        <family val="2"/>
      </rPr>
      <t>Multi-Generational Family:</t>
    </r>
    <r>
      <rPr>
        <sz val="10"/>
        <rFont val="Verdana"/>
        <family val="2"/>
      </rPr>
      <t xml:space="preserve">
1. Grandmother claims daughter and granddaughter. 
2. All live together.</t>
    </r>
  </si>
  <si>
    <r>
      <rPr>
        <b/>
        <sz val="10"/>
        <rFont val="Verdana"/>
        <family val="2"/>
      </rPr>
      <t xml:space="preserve">People in the Application: </t>
    </r>
    <r>
      <rPr>
        <sz val="10"/>
        <rFont val="Verdana"/>
        <family val="2"/>
      </rPr>
      <t>Husband, Pregnant wife with 1 baby, Child 1
1. Husband has a temporary address out of DC for &lt; 90 days.
2. Wife in DC.
3. Child 1 temporary address out of DC &lt; 90 days
4. Married filing jointly.
5. Husband claims Child 1 as tax dependent.</t>
    </r>
  </si>
  <si>
    <r>
      <rPr>
        <b/>
        <sz val="10"/>
        <rFont val="Verdana"/>
        <family val="2"/>
      </rPr>
      <t>Boyfriend and Girlfriend:</t>
    </r>
    <r>
      <rPr>
        <sz val="10"/>
        <rFont val="Verdana"/>
        <family val="2"/>
      </rPr>
      <t xml:space="preserve">
1. Boyfriend and Girlfriend live together along with their two children from previous relationships.
2. She claims her child and he claims his child.
3. She has access to MEC from her work, as does her child.</t>
    </r>
  </si>
  <si>
    <r>
      <rPr>
        <b/>
        <sz val="10"/>
        <rFont val="Verdana"/>
        <family val="2"/>
      </rPr>
      <t>Multi-Generational Family:</t>
    </r>
    <r>
      <rPr>
        <sz val="10"/>
        <rFont val="Verdana"/>
        <family val="2"/>
      </rPr>
      <t xml:space="preserve">
1. Grandchildren living with grandmother but claimed by mother. 
2. Mother is a non-custodial parent.</t>
    </r>
  </si>
  <si>
    <r>
      <rPr>
        <b/>
        <sz val="10"/>
        <rFont val="Verdana"/>
        <family val="2"/>
      </rPr>
      <t>People in the Application:</t>
    </r>
    <r>
      <rPr>
        <sz val="10"/>
        <rFont val="Verdana"/>
        <family val="2"/>
      </rPr>
      <t xml:space="preserve"> Husband, Wife, Child 1, Child 2
1. Husband and Child 2 living in DC.
2. Wife staying separately in DC. Child 1 living in Virginia.
3. Husband (income 25713.52), Wife (income 25355.18) and Child 1 (income 25000) work.
4. Married filing taxes separately.
5. Child 1 is also a tax filer.
6. Husband claims Child 1 and Wife claims Child 2 as tax dependent</t>
    </r>
  </si>
  <si>
    <r>
      <rPr>
        <b/>
        <sz val="10"/>
        <rFont val="Verdana"/>
        <family val="2"/>
      </rPr>
      <t>Boyfriend and Girlfriend:</t>
    </r>
    <r>
      <rPr>
        <sz val="10"/>
        <rFont val="Verdana"/>
        <family val="2"/>
      </rPr>
      <t xml:space="preserve">
1. Boyfriend and girlfriend live together along with their two children from previous relationships and one child together.
2. She claims her child and their child in common.
3. He claims his child.</t>
    </r>
  </si>
  <si>
    <r>
      <rPr>
        <b/>
        <sz val="10"/>
        <rFont val="Verdana"/>
        <family val="2"/>
      </rPr>
      <t>People on the Application:</t>
    </r>
    <r>
      <rPr>
        <sz val="10"/>
        <rFont val="Verdana"/>
        <family val="2"/>
      </rPr>
      <t xml:space="preserve"> Husband, Wife, Child #1, Child#2, Husband's sibling 1, Husband's sibling 2
1. Everybody living together
Husband works (income = 51446).
2. Married &amp; Files taxes jointly with spouse.
3. Husband Claims rest of the members as tax dependent.
4. Sibling #2 earns 6000 in prizes and rewards.</t>
    </r>
  </si>
  <si>
    <r>
      <rPr>
        <b/>
        <sz val="10"/>
        <rFont val="Verdana"/>
        <family val="2"/>
      </rPr>
      <t>People on the Application:</t>
    </r>
    <r>
      <rPr>
        <sz val="10"/>
        <rFont val="Verdana"/>
        <family val="2"/>
      </rPr>
      <t xml:space="preserve"> Husband, Wife, Child #1, Child #2, Husband's sibling #1, Husband's sibling #2, Husband's father and Husband's mother.  
1. Everybody living together.
2. Husband (income 28000) and Wife (income 53939.74) &amp; Child #2 has income 6409.31
3. Married filing taxes separately.
4. Child #2 also tax filer
5. Husband claims Child #2, Sibling #1, Sibling #2, Father and Mother as tax dependent
6. Wife claims Child #1
</t>
    </r>
  </si>
  <si>
    <t>1. Mother and 20 year old child.
2. Non-filers</t>
  </si>
  <si>
    <t>1.Married couple with one child enterd the country on January 23, 2013. 
2.The family entered as Asylees. 
3. Household income is below 150% FPL.</t>
  </si>
  <si>
    <t>Parent</t>
  </si>
  <si>
    <t>Child (age 6 to 14)</t>
  </si>
  <si>
    <t>Child 6 to 14</t>
  </si>
  <si>
    <t>Refugee</t>
  </si>
  <si>
    <t>Is the Child of 1st applicant</t>
  </si>
  <si>
    <t>&gt; 6 and &lt;= 14</t>
  </si>
  <si>
    <t>Husband to Mary and Father to Linda</t>
  </si>
  <si>
    <t>Wife to Charls and Mother to Linda</t>
  </si>
  <si>
    <t>Daughter to Charls and Linda</t>
  </si>
  <si>
    <t>Wages and Salaries/Bi-weekly=650</t>
  </si>
  <si>
    <t>Asylee</t>
  </si>
  <si>
    <t>QA-CORE-2-MAGI-010</t>
  </si>
  <si>
    <t>QA-CORE-3-MAGI-022</t>
  </si>
  <si>
    <t>QA-CORE-2-MAGI-011</t>
  </si>
  <si>
    <t>&gt; 39 and &lt;= 64</t>
  </si>
  <si>
    <t>Wages and Salaries/Yearly=10000</t>
  </si>
  <si>
    <t>Wages and Salaries/Yearly=20000</t>
  </si>
  <si>
    <t>&gt;64</t>
  </si>
  <si>
    <t>Is the Spouse of 1st applicant</t>
  </si>
  <si>
    <t>Wages and Salaries/Monthly=1000</t>
  </si>
  <si>
    <t>1. Mother who is a Refugee and applying for her nine year old daughter who is also a refugee.
2. Household income is below 200% FPL</t>
  </si>
  <si>
    <t>1. Father and Child in the Household.
2. Father is not applying for assistance.
3. Child needs assistance</t>
  </si>
  <si>
    <t>1. Husband aged 85
2. Wife aged 75
3. Husband Income 20000</t>
  </si>
  <si>
    <t>QA-CORE-2-MAGI-UA-011</t>
  </si>
  <si>
    <t>Income Start Date</t>
  </si>
  <si>
    <t>Income End Date</t>
  </si>
  <si>
    <t>MEC Start Date</t>
  </si>
  <si>
    <t>MEC End Date</t>
  </si>
  <si>
    <t>QA-CORE-1-UA-012</t>
  </si>
  <si>
    <t>1. Childless Adult
2. Income in Medicaid Range
3. Having MEC as Medicare</t>
  </si>
  <si>
    <t>&gt;= 21 and &lt;65</t>
  </si>
  <si>
    <t>Medicare</t>
  </si>
  <si>
    <t>48(1966)</t>
  </si>
  <si>
    <t>75(1939)</t>
  </si>
  <si>
    <t>19(1995)</t>
  </si>
  <si>
    <t>35(1979)</t>
  </si>
  <si>
    <t>6(2008)</t>
  </si>
  <si>
    <t>20(1994)</t>
  </si>
  <si>
    <t>52(1962)</t>
  </si>
  <si>
    <t>53(1961)</t>
  </si>
  <si>
    <t>30(1984)</t>
  </si>
  <si>
    <t>8(2006)</t>
  </si>
  <si>
    <t>Jeeva</t>
  </si>
  <si>
    <t>Nandy</t>
  </si>
  <si>
    <t>Anketa</t>
  </si>
  <si>
    <t>Riya</t>
  </si>
  <si>
    <t>Sumitra</t>
  </si>
  <si>
    <t>Goel</t>
  </si>
  <si>
    <t>Pavitra</t>
  </si>
  <si>
    <t>Dacoretfs</t>
  </si>
  <si>
    <t>DacoretfsA</t>
  </si>
  <si>
    <t>DacoretfsB</t>
  </si>
  <si>
    <t>Dbcoretfs</t>
  </si>
  <si>
    <t>DbcoretfsA</t>
  </si>
  <si>
    <t>DbcoretfsB</t>
  </si>
  <si>
    <t>Dccoretfs</t>
  </si>
  <si>
    <t>DccoretfsA</t>
  </si>
  <si>
    <t>DccoretfsB</t>
  </si>
  <si>
    <t>DDcoretfs</t>
  </si>
  <si>
    <t>DDcoretfsA</t>
  </si>
  <si>
    <t>DDcoretfsB</t>
  </si>
  <si>
    <t>DDcoretfsC</t>
  </si>
  <si>
    <t>Decoretfs</t>
  </si>
  <si>
    <t>DecoretfsA</t>
  </si>
  <si>
    <t>DecoretfsB</t>
  </si>
  <si>
    <t>DecoretfsC</t>
  </si>
  <si>
    <t>DFCoreTfS</t>
  </si>
  <si>
    <t>DFCoreTfSA</t>
  </si>
  <si>
    <t>DgCoreTfS</t>
  </si>
  <si>
    <t>DgCoreTfSA</t>
  </si>
  <si>
    <t>Jesy</t>
  </si>
  <si>
    <t>John</t>
  </si>
  <si>
    <t>jesymom</t>
  </si>
  <si>
    <t>Ann</t>
  </si>
  <si>
    <t>Eric</t>
  </si>
  <si>
    <t>Jeny</t>
  </si>
  <si>
    <t>Jose</t>
  </si>
  <si>
    <t>Rose</t>
  </si>
  <si>
    <t xml:space="preserve">Mannu </t>
  </si>
  <si>
    <t>Rock</t>
  </si>
  <si>
    <t>Angel</t>
  </si>
  <si>
    <t>joseph</t>
  </si>
  <si>
    <t>mark</t>
  </si>
  <si>
    <t>shini</t>
  </si>
  <si>
    <t>arockia</t>
  </si>
  <si>
    <t>William</t>
  </si>
  <si>
    <t>Martin</t>
  </si>
  <si>
    <t>Rini</t>
  </si>
  <si>
    <t>Jas</t>
  </si>
  <si>
    <t>Henry</t>
  </si>
  <si>
    <t>Louis</t>
  </si>
  <si>
    <t>Jeffin</t>
  </si>
  <si>
    <t>Jones</t>
  </si>
  <si>
    <t>Steffi</t>
  </si>
  <si>
    <t>Sheril</t>
  </si>
  <si>
    <t>Cheril</t>
  </si>
  <si>
    <t>Paul</t>
  </si>
  <si>
    <t>Frank</t>
  </si>
  <si>
    <t>Sheela</t>
  </si>
  <si>
    <t>Pancy</t>
  </si>
  <si>
    <t>Nancy</t>
  </si>
  <si>
    <t>Jack</t>
  </si>
  <si>
    <t>Jassi</t>
  </si>
  <si>
    <t>Alfred</t>
  </si>
  <si>
    <t>Sam</t>
  </si>
  <si>
    <t>Alison</t>
  </si>
  <si>
    <t>Ben</t>
  </si>
  <si>
    <t>Binu</t>
  </si>
  <si>
    <t>Caleb</t>
  </si>
  <si>
    <t>Carlson</t>
  </si>
  <si>
    <t>HH1</t>
  </si>
  <si>
    <t>Household Size (Input)</t>
  </si>
  <si>
    <t>ANNUAL Income (Input)</t>
  </si>
  <si>
    <t>FPL in % (Output)</t>
  </si>
  <si>
    <t>HH2</t>
  </si>
  <si>
    <t>DCAS Category</t>
  </si>
  <si>
    <t>ACEDS Program Code</t>
  </si>
  <si>
    <t>HH3</t>
  </si>
  <si>
    <t>MA Funded Pregnant</t>
  </si>
  <si>
    <t>HH4</t>
  </si>
  <si>
    <t>HH5</t>
  </si>
  <si>
    <t>MONTHLY Income (Input)</t>
  </si>
  <si>
    <t>Medicare Funded Pregnant</t>
  </si>
  <si>
    <t>242T</t>
  </si>
  <si>
    <t>HH6</t>
  </si>
  <si>
    <t>MA Funded Infant</t>
  </si>
  <si>
    <t>HH7</t>
  </si>
  <si>
    <t>HH8</t>
  </si>
  <si>
    <t>HH9</t>
  </si>
  <si>
    <t>HH10</t>
  </si>
  <si>
    <t>CHIP Funded Infant</t>
  </si>
  <si>
    <t>Family with Medicaid and Medicare</t>
  </si>
  <si>
    <t>231Q</t>
  </si>
  <si>
    <t>Medicaid Expansion With Insurance</t>
  </si>
  <si>
    <t>Former Foster Care Youth</t>
  </si>
  <si>
    <t>Former Foster Care Youth With Medicare</t>
  </si>
  <si>
    <t>211Q</t>
  </si>
  <si>
    <t>Deemed New Born</t>
  </si>
  <si>
    <t>221B</t>
  </si>
  <si>
    <t>2014 FPL calc</t>
  </si>
  <si>
    <t>2015 FPL calc</t>
  </si>
  <si>
    <t>Income (Input)</t>
  </si>
  <si>
    <t>Per Sara rules doc don't count dependent income up to (&amp; including) 6K</t>
  </si>
  <si>
    <t>FPL Calc issues/ comments</t>
  </si>
  <si>
    <t>Change HH to 4, mother is pregnant</t>
  </si>
  <si>
    <t>Why not grand-mother's income?  (why not similar to CORE-3-MAGI_IA-013?)</t>
  </si>
  <si>
    <t>Mother "Not applicable" b.c. unassisted motivation (disregard FPL discrepancies)</t>
  </si>
  <si>
    <r>
      <t xml:space="preserve">1. Married parents with one child under 21 who is a full-time student in Maryland.
2. Parents want daughter on their plan in DC.
3. Daughter has income.
4. Parents file jointly and claim daughter as dependent.
</t>
    </r>
    <r>
      <rPr>
        <b/>
        <sz val="10"/>
        <rFont val="Verdana"/>
        <family val="2"/>
      </rPr>
      <t>(*DIFFERENT INCOMES VS. QA-CORE-3-IA-010*)</t>
    </r>
  </si>
  <si>
    <r>
      <t xml:space="preserve">10/15/2014
</t>
    </r>
    <r>
      <rPr>
        <b/>
        <sz val="10"/>
        <rFont val="Verdana"/>
        <family val="2"/>
      </rPr>
      <t>(# MONTHS FROM APP DATE?)</t>
    </r>
  </si>
  <si>
    <t>*Why just her mother's 10k w/HH2?</t>
  </si>
  <si>
    <t>Why g'ma can't claim her dependents here but can in QA-CORE-3-MAGI_IA-013?</t>
  </si>
  <si>
    <t>Assume tax-dep ch's income counted b.c. over $6K</t>
  </si>
  <si>
    <t>Why only their own income &amp; HH1 if claimed by parent?</t>
  </si>
  <si>
    <t>Why no income for this dependent child?</t>
  </si>
  <si>
    <t>Why if non-joint is husband's income added for her but not him?</t>
  </si>
  <si>
    <t>…and especially for child not claimed by him?</t>
  </si>
  <si>
    <t>(Rule appears to be to not count income of person claiming..</t>
  </si>
  <si>
    <t>.. you as dependent if you're…</t>
  </si>
  <si>
    <t>... not their…</t>
  </si>
  <si>
    <t>... child)</t>
  </si>
  <si>
    <t>Percent FPL</t>
  </si>
  <si>
    <t>Y</t>
  </si>
  <si>
    <t>N</t>
  </si>
  <si>
    <t>Untested</t>
  </si>
  <si>
    <t>% Untested</t>
  </si>
  <si>
    <t>All shd have countable HH4; Husb &amp; ch have countable HH3, only pregnant Mom has countable HH4</t>
  </si>
  <si>
    <t>Comments</t>
  </si>
  <si>
    <t>Test case w/failures</t>
  </si>
  <si>
    <t>People in the Application: Husband, Pregnant wife with 1 baby, Child 1
1. Husband has a temporary address out of DC for &lt; 90 days.
2. Wife in DC.
3. Child 1 temporary address out of DC &lt; 90 days
4. Married filing jointly.
5. Husband claims Child 1 as tax dependent.</t>
  </si>
  <si>
    <t>Multi-Generational Family:
1. Grandchildren living with grandmother but claimed by mother. 
2. Mother is a non-custodial parent.</t>
  </si>
  <si>
    <t>Grandparent:  Originally if someone other than parent has responsibility for children was unchecked; checking this made no difference children's FPL
Mother:  "not applicable" means DC biz owners don't care about this determination in this context, &amp; don't provide expected result, but determination appears correct (Medicaid), &amp; Naresh is now getting correct 74% FPL; changing both to pass
Grandchildren:  per my -?- for Camille in col AP I was expecting mother's income here, but DC rule apparently is children don't count parent's income if they're not the caretaker</t>
  </si>
  <si>
    <t>Seq#</t>
  </si>
  <si>
    <t>MAGI income</t>
  </si>
  <si>
    <t>Can't find HH# &amp; income that matches, HH1 w/only his own income is closest but he has 5 dependents! (*UQHP b.c. his Dad must have Medicare*)</t>
  </si>
  <si>
    <t>Core24 test case name</t>
  </si>
  <si>
    <t>HH-inc</t>
  </si>
  <si>
    <t>Woman</t>
  </si>
  <si>
    <t>Andrea</t>
  </si>
  <si>
    <t>Hernandez</t>
  </si>
  <si>
    <t>Wages and Salaries/Bi-Weekly= 1038.46</t>
  </si>
  <si>
    <t>Kevinq</t>
  </si>
  <si>
    <t>Jamesq</t>
  </si>
  <si>
    <t>Dividends/Monthly=1500</t>
  </si>
  <si>
    <t>Maria</t>
  </si>
  <si>
    <t>Park</t>
  </si>
  <si>
    <t>Wages and Salaries/Biweekly=1489.56</t>
  </si>
  <si>
    <t>Child</t>
  </si>
  <si>
    <t>Christineq</t>
  </si>
  <si>
    <t>Child 16, with no insurance assistance</t>
  </si>
  <si>
    <t>&gt; 12 and &lt;= 17</t>
  </si>
  <si>
    <t>Wages and Salaries/Monthly=500</t>
  </si>
  <si>
    <t>Max</t>
  </si>
  <si>
    <t>&gt; 55 and &lt;= 64</t>
  </si>
  <si>
    <t>Spouse to the 2nd applicant</t>
  </si>
  <si>
    <t>Interest Income/Yearly=979
Wages and Salaries/Weekly=500</t>
  </si>
  <si>
    <t>Childless Adult &gt; 65</t>
  </si>
  <si>
    <t xml:space="preserve">&gt; 65 </t>
  </si>
  <si>
    <t>Pension/Monthly=1500</t>
  </si>
  <si>
    <t>James</t>
  </si>
  <si>
    <t>Spouse to the 2nd applicant
Parent of the 3rd applicant</t>
  </si>
  <si>
    <t>Dividends/Quarterly=5000</t>
  </si>
  <si>
    <t>Christine</t>
  </si>
  <si>
    <t>&gt; 45 and &lt;= 55</t>
  </si>
  <si>
    <t>Spouse to the 1st applicant
Parent of the 3rd applicant</t>
  </si>
  <si>
    <t>Wages and Salaries/Biweekly=1248.03</t>
  </si>
  <si>
    <t>Jackson</t>
  </si>
  <si>
    <t>Child 22</t>
  </si>
  <si>
    <t>Wages and Salaries/Monthly=1000.02</t>
  </si>
  <si>
    <t>Jamesss</t>
  </si>
  <si>
    <t>Sammm</t>
  </si>
  <si>
    <t>Wages and Salary/Yearly=40000.02</t>
  </si>
  <si>
    <t>Lucyyy</t>
  </si>
  <si>
    <t>&gt;= 39 and &lt;= 49</t>
  </si>
  <si>
    <t>Wages and Salaries/Biweekly=1219.8</t>
  </si>
  <si>
    <t>Child# 1</t>
  </si>
  <si>
    <t>Linaaa</t>
  </si>
  <si>
    <t>Child 15</t>
  </si>
  <si>
    <t>4-MAGI Medicaid</t>
  </si>
  <si>
    <t>N/A</t>
  </si>
  <si>
    <t>APTC Expected</t>
  </si>
  <si>
    <t>BenchMark Rate</t>
  </si>
  <si>
    <t xml:space="preserve">EHB Premium </t>
  </si>
  <si>
    <t>APTC-1-IA-50</t>
  </si>
  <si>
    <t>Woman age 50 applies for assistance with biweekly salary of 1038.46</t>
  </si>
  <si>
    <t>APTC-3-IA-Med-40-45-16-BIWEEKLY</t>
  </si>
  <si>
    <t>APTC-3-IA-Medicaid-45-50-22</t>
  </si>
  <si>
    <t>APTC-2-IA-UA-60-67-WEEKLY</t>
  </si>
  <si>
    <t>Tax filed jointly with a person age in 67 with Medicaid Part A</t>
  </si>
  <si>
    <t>APTC-3-IA-Medicaid-55-45-15-BIWEEKLY</t>
  </si>
  <si>
    <t>FPL %</t>
  </si>
  <si>
    <t>Total Cases</t>
  </si>
  <si>
    <t>Tier-Of</t>
  </si>
  <si>
    <t>Sex</t>
  </si>
  <si>
    <t>Param-Generic</t>
  </si>
  <si>
    <t>Param-MITC</t>
  </si>
  <si>
    <t>Param-Curam</t>
  </si>
  <si>
    <t>Descr-MITC</t>
  </si>
  <si>
    <t>Age</t>
  </si>
  <si>
    <t>Disability</t>
  </si>
  <si>
    <t>1500*12=18000</t>
  </si>
  <si>
    <t>1000.02*12=12000.24
dependent making &gt;6K, counted</t>
  </si>
  <si>
    <r>
      <t>Has a fixed address *</t>
    </r>
    <r>
      <rPr>
        <b/>
        <sz val="10"/>
        <rFont val="Verdana"/>
        <family val="2"/>
      </rPr>
      <t>out of DC*</t>
    </r>
  </si>
  <si>
    <t>Eligibility</t>
  </si>
  <si>
    <t>64448</t>
  </si>
  <si>
    <t>40000</t>
  </si>
  <si>
    <t>31714</t>
  </si>
  <si>
    <t>6000</t>
  </si>
  <si>
    <t>77714</t>
  </si>
  <si>
    <t>386</t>
  </si>
  <si>
    <t>Percent FPL*</t>
  </si>
  <si>
    <t>1489.56*26=38728.56</t>
  </si>
  <si>
    <t>500*12=6000</t>
  </si>
  <si>
    <t>5000*4=20000</t>
  </si>
  <si>
    <t>1248.03*26=32448.78</t>
  </si>
  <si>
    <t>Request</t>
  </si>
  <si>
    <t>Response</t>
  </si>
  <si>
    <t>Applicant ID</t>
  </si>
  <si>
    <t>Is Applicant</t>
  </si>
  <si>
    <t>Magi Income</t>
  </si>
  <si>
    <t>APTC</t>
  </si>
  <si>
    <t>HH Sizw</t>
  </si>
  <si>
    <t>Medicaid</t>
  </si>
  <si>
    <t>1</t>
  </si>
  <si>
    <t>50</t>
  </si>
  <si>
    <t>27000</t>
  </si>
  <si>
    <t>229</t>
  </si>
  <si>
    <t>60</t>
  </si>
  <si>
    <t>26000</t>
  </si>
  <si>
    <t>44979</t>
  </si>
  <si>
    <t>282</t>
  </si>
  <si>
    <t>2</t>
  </si>
  <si>
    <t>67</t>
  </si>
  <si>
    <t>18000</t>
  </si>
  <si>
    <t>42</t>
  </si>
  <si>
    <t>62728</t>
  </si>
  <si>
    <t>312</t>
  </si>
  <si>
    <t>3</t>
  </si>
  <si>
    <t>41</t>
  </si>
  <si>
    <t>38728</t>
  </si>
  <si>
    <t>16</t>
  </si>
  <si>
    <t>44</t>
  </si>
  <si>
    <t>20000</t>
  </si>
  <si>
    <t>320</t>
  </si>
  <si>
    <t>47</t>
  </si>
  <si>
    <t>32448</t>
  </si>
  <si>
    <t>22</t>
  </si>
  <si>
    <t>12000</t>
  </si>
  <si>
    <t>52</t>
  </si>
  <si>
    <t>15</t>
  </si>
  <si>
    <t>10000</t>
  </si>
  <si>
    <t>84</t>
  </si>
  <si>
    <t>45</t>
  </si>
  <si>
    <t>20261</t>
  </si>
  <si>
    <t>35495</t>
  </si>
  <si>
    <t>222</t>
  </si>
  <si>
    <t>75</t>
  </si>
  <si>
    <t>15234</t>
  </si>
  <si>
    <t>35496</t>
  </si>
  <si>
    <t>20</t>
  </si>
  <si>
    <t>0</t>
  </si>
  <si>
    <t>54</t>
  </si>
  <si>
    <t>12</t>
  </si>
  <si>
    <t>62</t>
  </si>
  <si>
    <t>9</t>
  </si>
  <si>
    <t>35</t>
  </si>
  <si>
    <t>10141</t>
  </si>
  <si>
    <t>63</t>
  </si>
  <si>
    <t>10154</t>
  </si>
  <si>
    <t>86</t>
  </si>
  <si>
    <t>3046</t>
  </si>
  <si>
    <t>25</t>
  </si>
  <si>
    <t>69</t>
  </si>
  <si>
    <t>125</t>
  </si>
  <si>
    <t>66</t>
  </si>
  <si>
    <t>20732</t>
  </si>
  <si>
    <t>55732</t>
  </si>
  <si>
    <t>277</t>
  </si>
  <si>
    <t>48</t>
  </si>
  <si>
    <t>35000</t>
  </si>
  <si>
    <t>19</t>
  </si>
  <si>
    <t>55</t>
  </si>
  <si>
    <t>20540</t>
  </si>
  <si>
    <t>40540</t>
  </si>
  <si>
    <t>201</t>
  </si>
  <si>
    <t>5000</t>
  </si>
  <si>
    <t>37</t>
  </si>
  <si>
    <t>226</t>
  </si>
  <si>
    <t>187</t>
  </si>
  <si>
    <t>4</t>
  </si>
  <si>
    <t>17</t>
  </si>
  <si>
    <t>16900</t>
  </si>
  <si>
    <t>40</t>
  </si>
  <si>
    <t>10</t>
  </si>
  <si>
    <t>53</t>
  </si>
  <si>
    <t>60931</t>
  </si>
  <si>
    <t>70931</t>
  </si>
  <si>
    <t>353</t>
  </si>
  <si>
    <t>30</t>
  </si>
  <si>
    <t>8</t>
  </si>
  <si>
    <t>50662</t>
  </si>
  <si>
    <t>252</t>
  </si>
  <si>
    <t>6</t>
  </si>
  <si>
    <t>50713</t>
  </si>
  <si>
    <t>318</t>
  </si>
  <si>
    <t>40567</t>
  </si>
  <si>
    <t>254</t>
  </si>
  <si>
    <t>25713</t>
  </si>
  <si>
    <t>76068</t>
  </si>
  <si>
    <t>378</t>
  </si>
  <si>
    <t>25355</t>
  </si>
  <si>
    <t>51068</t>
  </si>
  <si>
    <t>25000</t>
  </si>
  <si>
    <t>313</t>
  </si>
  <si>
    <t>45617</t>
  </si>
  <si>
    <t>86200</t>
  </si>
  <si>
    <t>429</t>
  </si>
  <si>
    <t>40583</t>
  </si>
  <si>
    <t>355</t>
  </si>
  <si>
    <t>13</t>
  </si>
  <si>
    <t>50708</t>
  </si>
  <si>
    <t>25333</t>
  </si>
  <si>
    <t>126</t>
  </si>
  <si>
    <t>5</t>
  </si>
  <si>
    <t>76041</t>
  </si>
  <si>
    <t>267</t>
  </si>
  <si>
    <t>36</t>
  </si>
  <si>
    <t>51446</t>
  </si>
  <si>
    <t>57546</t>
  </si>
  <si>
    <t>176</t>
  </si>
  <si>
    <t>34</t>
  </si>
  <si>
    <t>14</t>
  </si>
  <si>
    <t>18</t>
  </si>
  <si>
    <t>6100</t>
  </si>
  <si>
    <t>51</t>
  </si>
  <si>
    <t>28000</t>
  </si>
  <si>
    <t>81939</t>
  </si>
  <si>
    <t>223</t>
  </si>
  <si>
    <t>7</t>
  </si>
  <si>
    <t>33</t>
  </si>
  <si>
    <t>53939</t>
  </si>
  <si>
    <t>407</t>
  </si>
  <si>
    <t>6409</t>
  </si>
  <si>
    <t>APTC-2-IA-UA-60-67-WEEKLY.json1</t>
  </si>
  <si>
    <t>APTC-2-IA-UA-60-67-WEEKLY.json2</t>
  </si>
  <si>
    <t>APTC-3-IA-Med-40-45-16-BIWEEKLY.json1</t>
  </si>
  <si>
    <t>APTC-3-IA-Medicaid-45-50-22.json1</t>
  </si>
  <si>
    <t>APTC-3-IA-Medicaid-55-45-15-BIWEEKLY.json1</t>
  </si>
  <si>
    <t>QA-CORE-2-IA-008.json1</t>
  </si>
  <si>
    <t>QA-CORE-2-IA-009.json1</t>
  </si>
  <si>
    <t>QA-CORE-2-MAGI-010.json1</t>
  </si>
  <si>
    <t>QA-CORE-2-MAGI-011.json1</t>
  </si>
  <si>
    <t>QA-CORE-2-MAGI-029.json1</t>
  </si>
  <si>
    <t>QA-CORE-2-MAGI-030.json1</t>
  </si>
  <si>
    <t>QA-CORE-2-MAGI-UA-011.json1</t>
  </si>
  <si>
    <t>QA-CORE-3-IA-010.json1</t>
  </si>
  <si>
    <t>QA-CORE-3-MAGI-020.json1</t>
  </si>
  <si>
    <t>QA-CORE-3-MAGI-021.json1</t>
  </si>
  <si>
    <t>QA-CORE-3-MAGI-022.json1</t>
  </si>
  <si>
    <t>QA-CORE-3-MAGI_IA-013.json1</t>
  </si>
  <si>
    <t>QA-CORE-3-MAGI_UA-008.json1</t>
  </si>
  <si>
    <t>QA-CORE-4-MAGI-06.json1</t>
  </si>
  <si>
    <t>APTC-3-IA-Med-40-45-16-BIWEEKLY.json2</t>
  </si>
  <si>
    <t>APTC-3-IA-Med-40-45-16-BIWEEKLY.json3</t>
  </si>
  <si>
    <t>APTC-3-IA-Medicaid-45-50-22.json2</t>
  </si>
  <si>
    <t>APTC-3-IA-Medicaid-45-50-22.json3</t>
  </si>
  <si>
    <t>APTC-3-IA-Medicaid-55-45-15-BIWEEKLY.json2</t>
  </si>
  <si>
    <t>APTC-3-IA-Medicaid-55-45-15-BIWEEKLY.json3</t>
  </si>
  <si>
    <t>QA-CORE-2-IA-008.json2</t>
  </si>
  <si>
    <t>QA-CORE-2-IA-009.json2</t>
  </si>
  <si>
    <t>QA-CORE-2-MAGI-010.json2</t>
  </si>
  <si>
    <t>QA-CORE-2-MAGI-011.json2</t>
  </si>
  <si>
    <t>QA-CORE-2-MAGI-029.json2</t>
  </si>
  <si>
    <t>QA-CORE-2-MAGI-030.json2</t>
  </si>
  <si>
    <t>QA-CORE-2-MAGI-UA-011.json2</t>
  </si>
  <si>
    <t>QA-CORE-3-IA-010.json2</t>
  </si>
  <si>
    <t>QA-CORE-3-IA-010.json3</t>
  </si>
  <si>
    <t>QA-CORE-3-MAGI-020.json2</t>
  </si>
  <si>
    <t>QA-CORE-3-MAGI-020.json3</t>
  </si>
  <si>
    <t>QA-CORE-3-MAGI-021.json2</t>
  </si>
  <si>
    <t>QA-CORE-3-MAGI-021.json3</t>
  </si>
  <si>
    <t>QA-CORE-3-MAGI-022.json2</t>
  </si>
  <si>
    <t>QA-CORE-3-MAGI-022.json3</t>
  </si>
  <si>
    <t>QA-CORE-3-MAGI_IA-013.json2</t>
  </si>
  <si>
    <t>QA-CORE-3-MAGI_IA-013.json3</t>
  </si>
  <si>
    <t>QA-CORE-3-MAGI_UA-008.json2</t>
  </si>
  <si>
    <t>QA-CORE-3-MAGI_UA-008.json3</t>
  </si>
  <si>
    <t>QA-CORE-4-MAGI-06.json2</t>
  </si>
  <si>
    <t>QA-CORE-4-MAGI-06.json3</t>
  </si>
  <si>
    <t>QA-CORE-4-MAGI-06.json4</t>
  </si>
  <si>
    <t>QA-CORE-4-MAGI_UA-009.json1</t>
  </si>
  <si>
    <t>QA-CORE-4-UA-001.json1</t>
  </si>
  <si>
    <t>QA-CORE-5-MAGI_IA-010.json1</t>
  </si>
  <si>
    <t>QA-CORE-6-MAGI_NONMAGI-008.json1</t>
  </si>
  <si>
    <t>QA-CORE-8-MAGI_IA_UA-004.json1</t>
  </si>
  <si>
    <t>QA-CORE-4-MAGI_UA-009.json2</t>
  </si>
  <si>
    <t>QA-CORE-4-MAGI_UA-009.json3</t>
  </si>
  <si>
    <t>QA-CORE-4-MAGI_UA-009.json4</t>
  </si>
  <si>
    <t>QA-CORE-4-UA-001.json2</t>
  </si>
  <si>
    <t>QA-CORE-4-UA-001.json3</t>
  </si>
  <si>
    <t>QA-CORE-4-UA-001.json4</t>
  </si>
  <si>
    <t>QA-CORE-5-MAGI_IA-010.json2</t>
  </si>
  <si>
    <t>QA-CORE-5-MAGI_IA-010.json3</t>
  </si>
  <si>
    <t>QA-CORE-5-MAGI_IA-010.json4</t>
  </si>
  <si>
    <t>QA-CORE-5-MAGI_IA-010.json5</t>
  </si>
  <si>
    <t>QA-CORE-6-MAGI_NONMAGI-008.json2</t>
  </si>
  <si>
    <t>QA-CORE-6-MAGI_NONMAGI-008.json3</t>
  </si>
  <si>
    <t>QA-CORE-6-MAGI_NONMAGI-008.json4</t>
  </si>
  <si>
    <t>QA-CORE-6-MAGI_NONMAGI-008.json5</t>
  </si>
  <si>
    <t>QA-CORE-6-MAGI_NONMAGI-008.json6</t>
  </si>
  <si>
    <t>QA-CORE-8-MAGI_IA_UA-004.json2</t>
  </si>
  <si>
    <t>QA-CORE-8-MAGI_IA_UA-004.json3</t>
  </si>
  <si>
    <t>QA-CORE-8-MAGI_IA_UA-004.json4</t>
  </si>
  <si>
    <t>QA-CORE-8-MAGI_IA_UA-004.json5</t>
  </si>
  <si>
    <t>QA-CORE-8-MAGI_IA_UA-004.json6</t>
  </si>
  <si>
    <t>QA-CORE-8-MAGI_IA_UA-004.json7</t>
  </si>
  <si>
    <t>QA-CORE-8-MAGI_IA_UA-004.json8</t>
  </si>
  <si>
    <t>QA-CORE-1-UA-012.json1</t>
  </si>
  <si>
    <t>APTC-1-IA-50.json1</t>
  </si>
  <si>
    <t>[APTC ref match]</t>
  </si>
  <si>
    <t>500*12=6000 (dependent income  &lt;=6000 not counted)</t>
  </si>
  <si>
    <t>1219.8*26=31714.8 
Suspect 5% error in Core24 expected 2014 FPL; see above</t>
  </si>
  <si>
    <t>40000.02 My calc exactly matches MITC when dependent income removed - why is Core24 5% higher?</t>
  </si>
  <si>
    <t>1500*12=18000 (FPL calc not required since MEC disqualifies)</t>
  </si>
  <si>
    <t>QA-CORE-4-MAGI_IA-007.json1</t>
  </si>
  <si>
    <t>50787</t>
  </si>
  <si>
    <t>431</t>
  </si>
  <si>
    <t>QA-CORE-4-MAGI_IA-007.json2</t>
  </si>
  <si>
    <t>15000</t>
  </si>
  <si>
    <t>QA-CORE-4-MAGI_IA-007.json3</t>
  </si>
  <si>
    <t>74</t>
  </si>
  <si>
    <t>QA-CORE-4-MAGI_IA-007.json4</t>
  </si>
  <si>
    <t>209</t>
  </si>
  <si>
    <t>104</t>
  </si>
  <si>
    <t>Shouldn't everyone in the immedidate-family HH get HH4 due to pregnancy, incl other children?</t>
  </si>
  <si>
    <t>HH size</t>
  </si>
  <si>
    <t>Apparently the reason only this child getting entire HH size and combined income - even though claimed only by separate-filing mother - is b.c. [s]he's the only biological child of both parents in the HH … but why?</t>
  </si>
  <si>
    <r>
      <t xml:space="preserve">Mark
[originally </t>
    </r>
    <r>
      <rPr>
        <b/>
        <sz val="10"/>
        <rFont val="Verdana"/>
        <family val="2"/>
      </rPr>
      <t>Luke</t>
    </r>
    <r>
      <rPr>
        <sz val="10"/>
        <rFont val="Verdana"/>
        <family val="2"/>
      </rPr>
      <t xml:space="preserve"> per Relationships column]</t>
    </r>
  </si>
  <si>
    <r>
      <t xml:space="preserve">Maya
[originally </t>
    </r>
    <r>
      <rPr>
        <b/>
        <sz val="10"/>
        <rFont val="Verdana"/>
        <family val="2"/>
      </rPr>
      <t>Christine</t>
    </r>
    <r>
      <rPr>
        <sz val="10"/>
        <rFont val="Verdana"/>
        <family val="2"/>
      </rPr>
      <t xml:space="preserve"> per Relationships column]</t>
    </r>
  </si>
  <si>
    <r>
      <t xml:space="preserve">Matt
[originally </t>
    </r>
    <r>
      <rPr>
        <b/>
        <sz val="10"/>
        <rFont val="Verdana"/>
        <family val="2"/>
      </rPr>
      <t>Jackson</t>
    </r>
    <r>
      <rPr>
        <sz val="10"/>
        <rFont val="Verdana"/>
        <family val="2"/>
      </rPr>
      <t xml:space="preserve"> per Relationships column]</t>
    </r>
  </si>
  <si>
    <t>Cases Failed</t>
  </si>
  <si>
    <t>Com-plete Case</t>
  </si>
  <si>
    <t>Core 26 Complete</t>
  </si>
  <si>
    <t>Per-cent FPL</t>
  </si>
  <si>
    <t>Use 26 weeks for biweekly: 1752.06 * (52/2) = 45553.56
Husb also gets HH4, since wife is pregnant</t>
  </si>
  <si>
    <t>Red-mine #</t>
  </si>
  <si>
    <t>MAGI Income (annualized)</t>
  </si>
  <si>
    <t>MAGI HH size</t>
  </si>
  <si>
    <t>Indiv $25713.52</t>
  </si>
  <si>
    <t>Indiv $25355.18</t>
  </si>
  <si>
    <t>Indiv $25000</t>
  </si>
  <si>
    <t>Core24 Test Case</t>
  </si>
  <si>
    <t>Summary/Subject</t>
  </si>
  <si>
    <t>Comments/Notes</t>
  </si>
  <si>
    <t>% done</t>
  </si>
  <si>
    <t>test_APTC3IAMed404516BIWEEKLY (test_MagiCore.MagiCore) ... FPL Applicant: 1 Excepted: 282 Got: 312</t>
  </si>
  <si>
    <t>test_APTC3IAMedicaid554515BIWEEKLY (test_MagiCore.MagiCore) ... FPL Appicant: 1 Excepted: 356 Got: 386</t>
  </si>
  <si>
    <t>test_QACORE2IA009 (test_MagiCore.MagiCore) ... Medicaid Eligibility Applicant: 2 Expected: N Got: Y</t>
  </si>
  <si>
    <t>test_QACORE3MAGI021 (test_MagiCore.MagiCore) ... FPL Appicant: 1 Excepted: 187 Got: 226</t>
  </si>
  <si>
    <t>test_QACORE2MAGI010 (test_MagiCore.MagiCore) ... Medicaid Eligibility Applicant: 1 Expected: Y Got: N</t>
  </si>
  <si>
    <t>test_QACORE3MAGI022 (test_MagiCore.MagiCore) ... Medicaid Eligibility Applicant: 1 Expected: Y Got: N</t>
  </si>
  <si>
    <t>test_QACORE4MAGIIA007 (test_MagiCore.MagiCore) ... FPL Appicant: 2 Excepted: 0 Got: 74</t>
  </si>
  <si>
    <t>test_QACORE4MAGIUA009 (test_MagiCore.MagiCore) ... FPL Appicant: 1 Excepted: 318 Got: 378</t>
  </si>
  <si>
    <t>test_QACORE4UA001 (test_MagiCore.MagiCore) ... FPL Appicant: 1 Excepted: 286 Got: 429</t>
  </si>
  <si>
    <t>QA-CORE-8-MAGI_IA_UA-004.json ... FPL Appicant: 1 Excepted: 237 Got: 223</t>
  </si>
  <si>
    <t>222% FPL is correct, but MITC is treating 19-year-old daughter like younger children who would be eligible for Medicaid (CHIP); our FPL sheet has a category for "Child 19 to 20" that has the same 221% Medicaid threshold as her "Parent/Caretaker" mother, so daughter should have got APTC/CSR like her mother.</t>
  </si>
  <si>
    <t>Test case is for parent &amp; child within 5 year bar who should get it waived due to being refugees; child gets Medicaid, but probably just due to age because parent is ineligible (except for "Emergency Medicaid").
Attached are attempts at variations with "refugee admit date" and "refugee medical assistance start date", none successful
See also QA-CORE-3-MAGI-022 (duplicate bug #4995)</t>
  </si>
  <si>
    <t>Eligibility and FPL% error is due to rule in MITC dictating that only the pregnant woman in a household gets the unborn chil[dren] added to her MAGI household size; Core24 dictates that spouse's MAGI household should also get the addition</t>
  </si>
  <si>
    <t>Duplicate of bug #4993 for QA-CORE-2-MAGI-010</t>
  </si>
  <si>
    <t>Core24 calculates the MAGI income for 2 grandchildren as $0, while MITC counts their mother's income for both ($1500)</t>
  </si>
  <si>
    <t>MITC is incorrectly combining incomes in households with separate filers; MAGI incomes should reflect separate income(s) for each filter and their dependents</t>
  </si>
  <si>
    <t>HH-inc, HH-rel</t>
  </si>
  <si>
    <t>5-yr-bar</t>
  </si>
  <si>
    <t>HH-preg</t>
  </si>
  <si>
    <t>FPL-cht</t>
  </si>
  <si>
    <t>Re-running the application with the "required to file taxes" box unchecked for the dependent results in the correct outcome; this is actually the correct input, so this bug can be closed with explanation that the cause was input error.
Attached are 2 versions of the application JSON:
-APTC-3-IA-Med-40-45-16-BIWEEKLY.json - "required to file taxes" box checked for the child with $6K/yr income (but "Tax Filing Status" in Core24 is "Tax Dependent", not "Tax Filer"
-APTC-3-IA-Med-40-45-16-BIWEEKLY_ChNonFiler-Redmine4990_20160127.json - "required to file taxes" box UNchecked
FPL % for all 3 HH members now match expected results.</t>
  </si>
  <si>
    <t>MITC is incorrectly combining incomes in households with separate filers, and yet inconsistently following household sizes and income from separately-claimed dependents.
See attached excerpt from Core24-Mitc.xlsx comparing values and calculations
See also Bug #4999 for QA-CORE-8-MAGI_IA_UA-004</t>
  </si>
  <si>
    <t>Applies to applicants 1 (father) and 4 (child #2)
Duplicate of bug #4997 for QA-CORE-4-MAGI_UA-009</t>
  </si>
  <si>
    <t>MITC adds child's $6000 income to all HH members; rule is NOT to add dependent income up to &amp; including $6000
See also applicant4 (child #2) in QA-CORE-8-MAGI_IA_UA-004</t>
  </si>
  <si>
    <t>Dupli-cate of</t>
  </si>
  <si>
    <t>(Resolved)</t>
  </si>
  <si>
    <t>Source URL:</t>
  </si>
  <si>
    <t>Persons in family/household</t>
  </si>
  <si>
    <t>Poverty guideline</t>
  </si>
  <si>
    <t>For families/households with more than 8 persons, add $4,160 for each additional person.</t>
  </si>
  <si>
    <t>https://www.federalregister.gov/articles/2016/01/25/2016-01450/annual-update-of-the-hhs-poverty-guidelines</t>
  </si>
  <si>
    <t>2016 FPL calc</t>
  </si>
  <si>
    <t>(use 2015 til 10/2016)</t>
  </si>
  <si>
    <t>DCAS Pass/Fail</t>
  </si>
  <si>
    <t>CSR</t>
  </si>
  <si>
    <t>UQHP</t>
  </si>
  <si>
    <t>[CSR ref match]</t>
  </si>
  <si>
    <t>[Eligi-bility]</t>
  </si>
  <si>
    <t>TestCaseID</t>
  </si>
  <si>
    <t>HH</t>
  </si>
  <si>
    <t>FPL</t>
  </si>
  <si>
    <t>QA-CORE-4-MAGI-06-1</t>
  </si>
  <si>
    <t>aptc</t>
  </si>
  <si>
    <t>1,4</t>
  </si>
  <si>
    <t>QA-CORE-4-MAGI-06-2</t>
  </si>
  <si>
    <t>2,3</t>
  </si>
  <si>
    <t>QA-CORE-4-MAGI-06-3</t>
  </si>
  <si>
    <t>medicaid</t>
  </si>
  <si>
    <t>QA-CORE-4-MAGI-06-4</t>
  </si>
  <si>
    <t>1,3</t>
  </si>
  <si>
    <t>2,4,5</t>
  </si>
  <si>
    <t>all</t>
  </si>
  <si>
    <t>1,2</t>
  </si>
  <si>
    <t>1,2,3</t>
  </si>
  <si>
    <t>1,2,4</t>
  </si>
  <si>
    <t>1,2,4,5,6,7,8</t>
  </si>
  <si>
    <t>7,8</t>
  </si>
  <si>
    <t>2,3,4</t>
  </si>
  <si>
    <t>Emergency medicaid</t>
  </si>
  <si>
    <t xml:space="preserve">                                              APTC</t>
  </si>
  <si>
    <t>QA-CORE-5-MAGI_IA-010-1</t>
  </si>
  <si>
    <t>QA-CORE-5-MAGI_IA-010-2</t>
  </si>
  <si>
    <t>QA-CORE-5-MAGI_IA-010-3</t>
  </si>
  <si>
    <t>QA-CORE-5-MAGI_IA-010-4</t>
  </si>
  <si>
    <t>QA-CORE-5-MAGI_IA-010-5</t>
  </si>
  <si>
    <t>QA-CORE-1-UA-012-1</t>
  </si>
  <si>
    <t>QA-CORE-2-MAGI-UA-011-1</t>
  </si>
  <si>
    <t>QA-CORE-4-MAGI_UA-009-1</t>
  </si>
  <si>
    <t>QA-CORE-4-UA-001-1</t>
  </si>
  <si>
    <t>QA-CORE-2-MAGI-UA-011-2</t>
  </si>
  <si>
    <t>QA-CORE-4-MAGI_UA-009-2</t>
  </si>
  <si>
    <t>QA-CORE-4-MAGI_UA-009-3</t>
  </si>
  <si>
    <t>QA-CORE-4-MAGI_UA-009-4</t>
  </si>
  <si>
    <t>QA-CORE-4-UA-001-2</t>
  </si>
  <si>
    <t>QA-CORE-4-UA-001-3</t>
  </si>
  <si>
    <t>QA-CORE-4-UA-001-4</t>
  </si>
  <si>
    <t>[per-case applicant # for vlookup]</t>
  </si>
  <si>
    <t>QA-CORE-2-IA-008-1</t>
  </si>
  <si>
    <t>QA-CORE-6-MAGI_NONMAGI-008-1</t>
  </si>
  <si>
    <t>QA-CORE-3-IA-010-1</t>
  </si>
  <si>
    <t>QA-CORE-3-MAGI-020-1</t>
  </si>
  <si>
    <t>QA-CORE-8-MAGI_IA_UA-004-1</t>
  </si>
  <si>
    <t>QA-CORE-3-MAGI_UA-008-1</t>
  </si>
  <si>
    <t>QA-CORE-4-MAGI_IA-007-1</t>
  </si>
  <si>
    <t>QA-CORE-3-MAGI_IA-013-1</t>
  </si>
  <si>
    <t>QA-CORE-3-MAGI-022-1</t>
  </si>
  <si>
    <t>QA-CORE-2-IA-009-1</t>
  </si>
  <si>
    <t>QA-CORE-2-MAGI-030-1</t>
  </si>
  <si>
    <t>QA-CORE-2-MAGI-011-1</t>
  </si>
  <si>
    <t>QA-CORE-3-MAGI-021-1</t>
  </si>
  <si>
    <t>QA-CORE-2-MAGI-010-1</t>
  </si>
  <si>
    <t>QA-CORE-2-MAGI-010-2</t>
  </si>
  <si>
    <t>QA-CORE-3-MAGI-021-2</t>
  </si>
  <si>
    <t>QA-CORE-3-MAGI-021-3</t>
  </si>
  <si>
    <t>QA-CORE-2-MAGI-011-2</t>
  </si>
  <si>
    <t>QA-CORE-2-IA-008-2</t>
  </si>
  <si>
    <t>QA-CORE-2-MAGI-030-2</t>
  </si>
  <si>
    <t>QA-CORE-2-IA-009-2</t>
  </si>
  <si>
    <t>QA-CORE-3-MAGI-022-2</t>
  </si>
  <si>
    <t>QA-CORE-3-MAGI-022-3</t>
  </si>
  <si>
    <t>QA-CORE-3-MAGI_IA-013-2</t>
  </si>
  <si>
    <t>QA-CORE-3-MAGI_IA-013-3</t>
  </si>
  <si>
    <t>QA-CORE-4-MAGI_IA-007-2</t>
  </si>
  <si>
    <t>QA-CORE-4-MAGI_IA-007-3</t>
  </si>
  <si>
    <t>QA-CORE-4-MAGI_IA-007-4</t>
  </si>
  <si>
    <t>QA-CORE-3-MAGI_UA-008-2</t>
  </si>
  <si>
    <t>QA-CORE-3-MAGI_UA-008-3</t>
  </si>
  <si>
    <t>QA-CORE-8-MAGI_IA_UA-004-2</t>
  </si>
  <si>
    <t>QA-CORE-8-MAGI_IA_UA-004-3</t>
  </si>
  <si>
    <t>QA-CORE-8-MAGI_IA_UA-004-4</t>
  </si>
  <si>
    <t>QA-CORE-8-MAGI_IA_UA-004-5</t>
  </si>
  <si>
    <t>QA-CORE-8-MAGI_IA_UA-004-6</t>
  </si>
  <si>
    <t>QA-CORE-8-MAGI_IA_UA-004-7</t>
  </si>
  <si>
    <t>QA-CORE-8-MAGI_IA_UA-004-8</t>
  </si>
  <si>
    <t>QA-CORE-3-MAGI-020-2</t>
  </si>
  <si>
    <t>QA-CORE-3-MAGI-020-3</t>
  </si>
  <si>
    <t>QA-CORE-3-IA-010-2</t>
  </si>
  <si>
    <t>QA-CORE-3-IA-010-3</t>
  </si>
  <si>
    <t>QA-CORE-6-MAGI_NONMAGI-008-2</t>
  </si>
  <si>
    <t>QA-CORE-6-MAGI_NONMAGI-008-3</t>
  </si>
  <si>
    <t>QA-CORE-6-MAGI_NONMAGI-008-4</t>
  </si>
  <si>
    <t>QA-CORE-6-MAGI_NONMAGI-008-5</t>
  </si>
  <si>
    <t>QA-CORE-6-MAGI_NONMAGI-008-6</t>
  </si>
  <si>
    <t>APTC-1-IA-50-1</t>
  </si>
  <si>
    <t>APTC-3-IA-Med-40-45-16-BIWEEKLY-1</t>
  </si>
  <si>
    <t>APTC-2-IA-UA-60-67-WEEKLY-1</t>
  </si>
  <si>
    <t>APTC-3-IA-Medicaid-45-50-22-1</t>
  </si>
  <si>
    <t>APTC-3-IA-Medicaid-55-45-15-BIWEEKLY-1</t>
  </si>
  <si>
    <t>APTC-3-IA-Med-40-45-16-BIWEEKLY-2</t>
  </si>
  <si>
    <t>APTC-3-IA-Med-40-45-16-BIWEEKLY-3</t>
  </si>
  <si>
    <t>APTC-2-IA-UA-60-67-WEEKLY-2</t>
  </si>
  <si>
    <t>APTC-3-IA-Medicaid-45-50-22-2</t>
  </si>
  <si>
    <t>APTC-3-IA-Medicaid-45-50-22-3</t>
  </si>
  <si>
    <t>APTC-3-IA-Medicaid-55-45-15-BIWEEKLY-2</t>
  </si>
  <si>
    <t>APTC-3-IA-Medicaid-55-45-15-BIWEEKLY-3</t>
  </si>
  <si>
    <t>QA-CORE-2-MAGI-029-1</t>
  </si>
  <si>
    <t>QA-CORE-2-MAGI-029-2</t>
  </si>
  <si>
    <t>Eligi-bility</t>
  </si>
  <si>
    <t>House-hold group</t>
  </si>
  <si>
    <t>% FPL</t>
  </si>
  <si>
    <t>DCAS Rev1 Com-plete</t>
  </si>
  <si>
    <t>DCAS Rev1 Issue Category</t>
  </si>
  <si>
    <t>Need APTC/CSR specified vs just APTC</t>
  </si>
  <si>
    <t>DCAS Actual RESULTS 2/24/16</t>
  </si>
  <si>
    <t>Test08N11
230156</t>
  </si>
  <si>
    <t>[Med-elig ref match]</t>
  </si>
  <si>
    <t>aptc+csr</t>
  </si>
  <si>
    <t>unassisted</t>
  </si>
  <si>
    <t>[notavailable w/ UQHP PDCs]</t>
  </si>
  <si>
    <t>Comments on 2/24/16 run</t>
  </si>
  <si>
    <t>testkjr13 230404</t>
  </si>
  <si>
    <t>Test41814 230153</t>
  </si>
  <si>
    <t>TestMPI51 230151</t>
  </si>
  <si>
    <t>testmvt53 230161</t>
  </si>
  <si>
    <t>testuvu31 230158</t>
  </si>
  <si>
    <t>testf3373 230154</t>
  </si>
  <si>
    <t>TestTU324 230162</t>
  </si>
  <si>
    <t>TestQJG61 229381</t>
  </si>
  <si>
    <t>TestJ0K12 230159</t>
  </si>
  <si>
    <t>Test3VM74 230155</t>
  </si>
  <si>
    <t>TestZLD50 230149</t>
  </si>
  <si>
    <t>testr2z46 230148</t>
  </si>
  <si>
    <t>testi7s41 230157</t>
  </si>
  <si>
    <t>testkj782 230152</t>
  </si>
  <si>
    <t>Test4FH14 230160</t>
  </si>
  <si>
    <t>Test5GF38 230403</t>
  </si>
  <si>
    <t>testrca81 230163</t>
  </si>
  <si>
    <t>TestK9221 230147</t>
  </si>
  <si>
    <t>TestU6S02 230401</t>
  </si>
  <si>
    <t>TestV2413 230407</t>
  </si>
  <si>
    <t>TestIEZ57 230411</t>
  </si>
  <si>
    <t>Test2PV34 230412</t>
  </si>
  <si>
    <t>TestLOF76 230410</t>
  </si>
  <si>
    <t>Test61911 230409</t>
  </si>
  <si>
    <t>Acctname @gmail/ App ref#</t>
  </si>
  <si>
    <t>UQHP PDCs do not have household, MAGI income or %FPL info</t>
  </si>
  <si>
    <t>%FPL is off by more than the .04 round-up, and need to know Curam rules for number-rounding (is it consistent throughout system) or was it rounded in the Selenium input?</t>
  </si>
  <si>
    <t>**RESULTS LOOKUP IN CW PORTAL DISCONTINUED - SEEING TREND OF NO PDC CREATED DUE TO INSUFFICIENTLY UNIQUE PERSON-DATA (PARTIAL ACEDS MATCHES)**</t>
  </si>
  <si>
    <t>APTC/CSR #s</t>
  </si>
  <si>
    <t>3/22 - MEC shd be for ESI ("Employer-Sponsored Insurance", not Medicaid - change data sheet test13  (denied reason:  "Eligible or enrolled on other Minimum Essential Coverage - Medicaid")</t>
  </si>
  <si>
    <t>MEC type</t>
  </si>
  <si>
    <t>*Expected Percent FPL based on calculated 2016 levels for Medicaid and 2015 levels for AQHP (changing to 2016 on 10/1/16); see questions re underlying DCAS rules in col AQ</t>
  </si>
  <si>
    <t>Naresh-script &amp; datasheet</t>
  </si>
  <si>
    <t>mothervtmedicare_daughter test21</t>
  </si>
  <si>
    <t xml:space="preserve">mothervtchild test20  </t>
  </si>
  <si>
    <t>Fathervtchild test19</t>
  </si>
  <si>
    <t xml:space="preserve">mothervtdaughter test18   </t>
  </si>
  <si>
    <t>grannyvtdaughter_granddaughter test16</t>
  </si>
  <si>
    <t>fathervt2children test15</t>
  </si>
  <si>
    <t>pregnantwomanvtchild test14</t>
  </si>
  <si>
    <t>BfGfvtChildren_vtGfhavingMEC test13</t>
  </si>
  <si>
    <t>grandchildrenvtgranny test12</t>
  </si>
  <si>
    <t>couplevt2childre_1childlivingseperately test11</t>
  </si>
  <si>
    <t>CoupleLivingSeperately_ChildOutOfDC test10</t>
  </si>
  <si>
    <t>BfGfvtchildren test7</t>
  </si>
  <si>
    <t>couplevt children_hubbysiblings test8</t>
  </si>
  <si>
    <t>couplewith parents_childrenandsiblings test6</t>
  </si>
  <si>
    <t>refugees_motherwithchild test5</t>
  </si>
  <si>
    <t>medicaid_refugees_marriedcouplevtchild test4</t>
  </si>
  <si>
    <t>oneadultwithchild test3</t>
  </si>
  <si>
    <t>couple_65plusage_oneearning test2</t>
  </si>
  <si>
    <t>childlessadult_incomeundermedicaid_havingMEC test1</t>
  </si>
  <si>
    <t>SingleMemApp sheet1</t>
  </si>
  <si>
    <t>CoupleVtChild_AllWages sheet3</t>
  </si>
  <si>
    <t>CoupleVt2income sheet2</t>
  </si>
  <si>
    <t>CoupleVtChild_AllWages (#s 23, 25, 26)</t>
  </si>
  <si>
    <t>6000/yr (ok)</t>
  </si>
  <si>
    <t>Why can g'ma claim HH3 w/dependents here but not in QA-CORE-4-MAGI_IA-007?</t>
  </si>
  <si>
    <r>
      <t xml:space="preserve">1. Married parents with one child under 21 who is a full-time student in Maryland.
2. Parents want daughter on their plan in DC.
3. Daughter has income.
4. Parents file jointly and claim daughter as dependent
</t>
    </r>
    <r>
      <rPr>
        <b/>
        <sz val="10"/>
        <rFont val="Verdana"/>
        <family val="2"/>
      </rPr>
      <t>(*DIFFERENT INCOMES VS. QA-CORE-3-MAGI-020 aka seq #6*)</t>
    </r>
  </si>
  <si>
    <t>10000/yr (ok)</t>
  </si>
  <si>
    <t>25000/yr (ok)</t>
  </si>
  <si>
    <t>6100/yr (ok)</t>
  </si>
  <si>
    <t>28000/yr (ok)</t>
  </si>
  <si>
    <t>Only one w/only father's FPL (not even his own income which is over $6K!)</t>
  </si>
  <si>
    <t>20000/yr (ok)</t>
  </si>
  <si>
    <t>10000/yr (ok)
UQHP PDCs do not have household, MAGI income or %FPL info</t>
  </si>
  <si>
    <r>
      <t xml:space="preserve">Tax filed jointly with a tax dependent
</t>
    </r>
    <r>
      <rPr>
        <b/>
        <sz val="10"/>
        <rFont val="Verdana"/>
        <family val="2"/>
      </rPr>
      <t>(**ALSO SEQ #S 25 &amp; 26, SET VALUES IN SHEET3**)</t>
    </r>
  </si>
  <si>
    <t>CHG VALUES FROM SEQ #23</t>
  </si>
  <si>
    <t>CHG VALUES FROM SEQ #23
(40000/yr-ok)</t>
  </si>
  <si>
    <t>was 15000/yr</t>
  </si>
  <si>
    <t>was 35500/yr</t>
  </si>
  <si>
    <t>Rev 3/22-25 Issue Category</t>
  </si>
  <si>
    <t>DCAS Actual RESULTS 3/22-25/16</t>
  </si>
  <si>
    <t>DCAS Pass/Fail 3/22-25/16</t>
  </si>
  <si>
    <t>Calculation:  daily x 365 =10154.3</t>
  </si>
  <si>
    <t>was 10000/yr</t>
  </si>
  <si>
    <t>35000/yr (ok)</t>
  </si>
  <si>
    <t>12000/yr (ok except shd be entered monthly)</t>
  </si>
  <si>
    <r>
      <t xml:space="preserve">Tax filed jointly with spouse with tax dependent age of 22
</t>
    </r>
    <r>
      <rPr>
        <b/>
        <sz val="10"/>
        <rFont val="Verdana"/>
        <family val="2"/>
      </rPr>
      <t>*ALSO SEQ #S 23 &amp; 26, SET VALUES IN SHEET3*</t>
    </r>
  </si>
  <si>
    <r>
      <t xml:space="preserve">Tax filed jointly with spouse with tax dependent age of 15
</t>
    </r>
    <r>
      <rPr>
        <b/>
        <sz val="10"/>
        <rFont val="Verdana"/>
        <family val="2"/>
      </rPr>
      <t>*ALSO SEQ #S 23 &amp; 25, SET VALUES IN SHEET3*</t>
    </r>
  </si>
  <si>
    <t>979+(500*52=26000)=separate incomes totalling 26979</t>
  </si>
  <si>
    <t>18000/yr (ok except shd be monthly)</t>
  </si>
  <si>
    <t>was 3100/yr</t>
  </si>
  <si>
    <t>was 61000/yr</t>
  </si>
  <si>
    <t>was 51000/yr</t>
  </si>
  <si>
    <t>was 40000/yr
3/22 - MEC shd be for ESI ("Employer-Sponsored Insurance", not Medicaid - change data sheet test13  (denied reason:  "Eligible or enrolled on other Minimum Essential Coverage - Medicaid")</t>
  </si>
  <si>
    <t>was 15000/yr (ok)</t>
  </si>
  <si>
    <t>was 45000/yr</t>
  </si>
  <si>
    <t>was 40000/yr</t>
  </si>
  <si>
    <t>was 26000/yr</t>
  </si>
  <si>
    <t>was 25000/yr</t>
  </si>
  <si>
    <t>was 54000/yr</t>
  </si>
  <si>
    <t>was 6500/yr</t>
  </si>
  <si>
    <t>was 42000/yr, shd be biweekly</t>
  </si>
  <si>
    <t>was 50000/yr, shd be monthly</t>
  </si>
  <si>
    <t>was 15600/yr, shd be biweekly</t>
  </si>
  <si>
    <t>was 27000/yr, shd be biweekly
%FPL is off by more than the .04 round-up, and need to know Curam rules for number-rounding (is it consistent throughout system) or was it rounded in the Selenium input?</t>
  </si>
  <si>
    <t>40000/yr (was for seq #26, shd be/have been monthly)</t>
  </si>
  <si>
    <t>29275/yr (was for seq #26, shd be/have been biweekly)</t>
  </si>
  <si>
    <t>6000/yr (was for seq #26, shd be/have been monthly)</t>
  </si>
  <si>
    <t>CHG VALUES FROM SEQ #23
(was 29275/yr, shd have been biweekly)</t>
  </si>
  <si>
    <t>CHG VALUES FROM SEQ #23
(6000/yr-ok except shd have been monthly)</t>
  </si>
  <si>
    <t>was 980/yr + 2nd job 24000/yr which shd have been weekly</t>
  </si>
  <si>
    <t>Comments on 3/22-25 QA &amp; runs</t>
  </si>
  <si>
    <t>3/22 run: income input error:  per Medicaid decision (denial) monthly income ($4165) x 12 (49980) is .04% less than annual entered (50K), resulting in 312.11% FPL; AQHP decision at shows actual input 50K is 12% off the Core24 amount $5708.80.</t>
  </si>
  <si>
    <t>3/22 run: income input error:  per Medicaid decision monthly income calc ($2082.50) x 12 (24990) is .04% off the 25K entered; but 25K (sheet test7) 25K is 1.3% off the Core24 amount ($25333.18)</t>
  </si>
  <si>
    <t>Income input error (combined errors of both parents' income was Medicaid-monthly $4165 + $2082.5 = $6247.50 x 12 = $74790 which is under threshold: FPL for HH 28440 x inc as % of FPL = 74999.12)</t>
  </si>
  <si>
    <t>$99/73%</t>
  </si>
  <si>
    <t>TEST14X73
234244</t>
  </si>
  <si>
    <t>TESTIN706</t>
  </si>
  <si>
    <t>&lt;-%FPL passes if round to integer matches</t>
  </si>
  <si>
    <t xml:space="preserve">was 20000/yr </t>
  </si>
  <si>
    <t>TESTDS754</t>
  </si>
  <si>
    <t>$233/73%</t>
  </si>
  <si>
    <t>TESTKQ922</t>
  </si>
  <si>
    <t>TESTD5B01</t>
  </si>
  <si>
    <t>TESTVY244</t>
  </si>
  <si>
    <t>Monthly (1041.84/12) = 845.1533</t>
  </si>
  <si>
    <t>TestNBQ30</t>
  </si>
  <si>
    <t>TestW3675</t>
  </si>
  <si>
    <t>was 21000/yr; ALSO EXECUTES NEXT TEST CASE (SEQ #5) W/ADDED ROW IN test17 LOOKUP</t>
  </si>
  <si>
    <t>*ROW ADDED TO CoupleVtDaughter-test17 EXCEL LOOKUP</t>
  </si>
  <si>
    <t>Per Sarah rules doc don't count dependent income up to 6K</t>
  </si>
  <si>
    <t>Estate and Trust Income/Yearly=20000</t>
  </si>
  <si>
    <t>(income not counted, 6K or below)</t>
  </si>
  <si>
    <t>couplevtdaughter test17 (row 2)</t>
  </si>
  <si>
    <t>couplevtdaughter test17 (row 1)</t>
  </si>
  <si>
    <r>
      <t xml:space="preserve">EXPECTED RESULTS: </t>
    </r>
    <r>
      <rPr>
        <b/>
        <sz val="10"/>
        <color rgb="FFFFFF00"/>
        <rFont val="Verdana"/>
        <family val="2"/>
      </rPr>
      <t>*When the A/UQHP-determinations are yellow-hilit, FPL% calcs are using prev-year FPL (Feb-Oct)*</t>
    </r>
  </si>
  <si>
    <t>Rev 3/22-25 Com-plete (1/0)</t>
  </si>
  <si>
    <t>fixed typo in income type (col  AP) from "Estates and Trust Income" to "Estate and…"</t>
  </si>
  <si>
    <t>was 11000/yr, shd be daily (not changed in Curam.xlsx yet)</t>
  </si>
  <si>
    <r>
      <rPr>
        <b/>
        <sz val="10"/>
        <rFont val="Verdana"/>
        <family val="2"/>
      </rPr>
      <t>People in the Application:</t>
    </r>
    <r>
      <rPr>
        <sz val="10"/>
        <rFont val="Verdana"/>
        <family val="2"/>
      </rPr>
      <t xml:space="preserve"> Husband, Wife, Child 1, Child 2
1. Husband (income 45617) and Wife (income 40583.4).
2. </t>
    </r>
    <r>
      <rPr>
        <sz val="10"/>
        <color rgb="FFFF0000"/>
        <rFont val="Verdana"/>
        <family val="2"/>
      </rPr>
      <t>Married filing taxes separately.</t>
    </r>
    <r>
      <rPr>
        <sz val="10"/>
        <rFont val="Verdana"/>
        <family val="2"/>
      </rPr>
      <t xml:space="preserve">
3. Child 1 not living with the rest of the family. 
4. Husband claims Child 1 as tax dependent
5. Wife claims Child 2 as tax dependent
</t>
    </r>
  </si>
  <si>
    <t xml:space="preserve"> Note: Married filing taxes separately.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</si>
</sst>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0.0%"/>
    <numFmt numFmtId="165" formatCode="0.00;[Red]0.00"/>
  </numFmts>
  <fonts count="34">
    <font>
      <sz val="11"/>
      <color theme="1"/>
      <name val="Calibri"/>
      <family val="2"/>
      <scheme val="minor"/>
    </font>
    <font>
      <b/>
      <sz val="10"/>
      <color theme="0"/>
      <name val="Verdana"/>
      <family val="2"/>
    </font>
    <font>
      <b/>
      <sz val="10"/>
      <name val="Verdana"/>
      <family val="2"/>
    </font>
    <font>
      <b/>
      <sz val="10"/>
      <color theme="1"/>
      <name val="Verdana"/>
      <family val="2"/>
    </font>
    <font>
      <sz val="10"/>
      <color theme="1"/>
      <name val="Verdana"/>
      <family val="2"/>
    </font>
    <font>
      <strike/>
      <sz val="11"/>
      <color theme="1"/>
      <name val="Calibri"/>
      <family val="2"/>
      <scheme val="minor"/>
    </font>
    <font>
      <sz val="10"/>
      <name val="Verdana"/>
      <family val="2"/>
    </font>
    <font>
      <b/>
      <u/>
      <sz val="10"/>
      <color theme="1"/>
      <name val="Verdana"/>
      <family val="2"/>
    </font>
    <font>
      <sz val="11"/>
      <color theme="1"/>
      <name val="Verdana"/>
      <family val="2"/>
    </font>
    <font>
      <sz val="11"/>
      <name val="Verdana"/>
      <family val="2"/>
    </font>
    <font>
      <sz val="10"/>
      <name val=" Verdana"/>
    </font>
    <font>
      <sz val="11"/>
      <color theme="1"/>
      <name val="Calibri"/>
      <family val="2"/>
      <scheme val="minor"/>
    </font>
    <font>
      <b/>
      <sz val="10"/>
      <color theme="1"/>
      <name val=" Verdana"/>
    </font>
    <font>
      <b/>
      <sz val="11"/>
      <color theme="1"/>
      <name val="Calibri"/>
      <family val="2"/>
      <scheme val="minor"/>
    </font>
    <font>
      <b/>
      <sz val="9"/>
      <color indexed="81"/>
      <name val="Tahoma"/>
      <family val="2"/>
    </font>
    <font>
      <sz val="10"/>
      <color theme="1"/>
      <name val="Calibri"/>
      <family val="2"/>
    </font>
    <font>
      <b/>
      <sz val="10"/>
      <color theme="1"/>
      <name val="Calibri"/>
      <family val="2"/>
      <scheme val="minor"/>
    </font>
    <font>
      <sz val="10"/>
      <color theme="1"/>
      <name val="Calibri"/>
      <family val="2"/>
      <scheme val="minor"/>
    </font>
    <font>
      <sz val="11"/>
      <color theme="0"/>
      <name val="Calibri"/>
      <family val="2"/>
      <scheme val="minor"/>
    </font>
    <font>
      <b/>
      <sz val="16"/>
      <color theme="1"/>
      <name val="Calibri"/>
      <family val="2"/>
      <scheme val="minor"/>
    </font>
    <font>
      <b/>
      <sz val="11"/>
      <color rgb="FF000000"/>
      <name val="Calibri"/>
      <family val="2"/>
      <scheme val="minor"/>
    </font>
    <font>
      <sz val="11"/>
      <color rgb="FF000000"/>
      <name val="Calibri"/>
      <family val="2"/>
      <scheme val="minor"/>
    </font>
    <font>
      <b/>
      <sz val="10"/>
      <color rgb="FFFF0000"/>
      <name val="Verdana"/>
      <family val="2"/>
    </font>
    <font>
      <u/>
      <sz val="11"/>
      <color theme="10"/>
      <name val="Calibri"/>
      <family val="2"/>
      <scheme val="minor"/>
    </font>
    <font>
      <u/>
      <sz val="11"/>
      <color theme="11"/>
      <name val="Calibri"/>
      <family val="2"/>
      <scheme val="minor"/>
    </font>
    <font>
      <sz val="10"/>
      <color rgb="FF000000"/>
      <name val="Verdana"/>
      <family val="2"/>
    </font>
    <font>
      <b/>
      <sz val="12"/>
      <color theme="1"/>
      <name val="Verdana"/>
      <family val="2"/>
    </font>
    <font>
      <b/>
      <sz val="10"/>
      <name val=" Verdana"/>
    </font>
    <font>
      <b/>
      <sz val="11"/>
      <name val="Calibri"/>
      <family val="2"/>
      <scheme val="minor"/>
    </font>
    <font>
      <b/>
      <sz val="9.9"/>
      <color rgb="FF3F5B75"/>
      <name val="Inherit"/>
    </font>
    <font>
      <sz val="10"/>
      <color rgb="FF363636"/>
      <name val="Inherit"/>
    </font>
    <font>
      <sz val="10"/>
      <color rgb="FFFF0000"/>
      <name val="Verdana"/>
      <family val="2"/>
    </font>
    <font>
      <b/>
      <sz val="9"/>
      <color indexed="81"/>
      <name val="Tahoma"/>
      <charset val="1"/>
    </font>
    <font>
      <b/>
      <sz val="10"/>
      <color rgb="FFFFFF00"/>
      <name val="Verdana"/>
      <family val="2"/>
    </font>
  </fonts>
  <fills count="31">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rgb="FF00B0F0"/>
        <bgColor indexed="64"/>
      </patternFill>
    </fill>
    <fill>
      <patternFill patternType="solid">
        <fgColor rgb="FF0070C0"/>
        <bgColor indexed="64"/>
      </patternFill>
    </fill>
    <fill>
      <patternFill patternType="solid">
        <fgColor theme="8"/>
        <bgColor indexed="64"/>
      </patternFill>
    </fill>
    <fill>
      <patternFill patternType="solid">
        <fgColor theme="2" tint="-0.249977111117893"/>
        <bgColor indexed="64"/>
      </patternFill>
    </fill>
    <fill>
      <patternFill patternType="solid">
        <fgColor theme="0"/>
        <bgColor indexed="64"/>
      </patternFill>
    </fill>
    <fill>
      <patternFill patternType="solid">
        <fgColor theme="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theme="6"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C0504D"/>
        <bgColor indexed="64"/>
      </patternFill>
    </fill>
    <fill>
      <patternFill patternType="solid">
        <fgColor rgb="FFD3D3D3"/>
        <bgColor indexed="64"/>
      </patternFill>
    </fill>
    <fill>
      <patternFill patternType="solid">
        <fgColor theme="7" tint="-0.249977111117893"/>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6600"/>
        <bgColor indexed="64"/>
      </patternFill>
    </fill>
    <fill>
      <patternFill patternType="solid">
        <fgColor rgb="FF4BACC6"/>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theme="5" tint="0.39997558519241921"/>
        <bgColor indexed="64"/>
      </patternFill>
    </fill>
    <fill>
      <patternFill patternType="solid">
        <fgColor theme="9" tint="-0.249977111117893"/>
        <bgColor indexed="64"/>
      </patternFill>
    </fill>
  </fills>
  <borders count="25">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A3A3A3"/>
      </left>
      <right style="medium">
        <color rgb="FFA3A3A3"/>
      </right>
      <top style="medium">
        <color rgb="FFA3A3A3"/>
      </top>
      <bottom style="medium">
        <color rgb="FFA3A3A3"/>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style="medium">
        <color rgb="FFEEEEEE"/>
      </left>
      <right style="medium">
        <color rgb="FFCDCDEF"/>
      </right>
      <top/>
      <bottom style="double">
        <color rgb="FFE6E6F0"/>
      </bottom>
      <diagonal/>
    </border>
    <border>
      <left style="medium">
        <color rgb="FFFFFFFF"/>
      </left>
      <right style="medium">
        <color rgb="FFEEEEEE"/>
      </right>
      <top/>
      <bottom style="double">
        <color rgb="FFE6E6F0"/>
      </bottom>
      <diagonal/>
    </border>
    <border>
      <left style="medium">
        <color rgb="FFEEEEEE"/>
      </left>
      <right style="medium">
        <color rgb="FFEEEEEE"/>
      </right>
      <top style="medium">
        <color rgb="FFFFFFFF"/>
      </top>
      <bottom style="medium">
        <color rgb="FFEEEEEE"/>
      </bottom>
      <diagonal/>
    </border>
    <border>
      <left style="medium">
        <color rgb="FFFFFFFF"/>
      </left>
      <right style="medium">
        <color rgb="FFEEEEEE"/>
      </right>
      <top style="medium">
        <color rgb="FFFFFFFF"/>
      </top>
      <bottom style="medium">
        <color rgb="FFEEEEEE"/>
      </bottom>
      <diagonal/>
    </border>
  </borders>
  <cellStyleXfs count="306">
    <xf numFmtId="0" fontId="0" fillId="0" borderId="0"/>
    <xf numFmtId="9" fontId="11" fillId="0" borderId="0" applyFont="0" applyFill="0" applyBorder="0" applyAlignment="0" applyProtection="0"/>
    <xf numFmtId="0" fontId="15" fillId="0" borderId="0"/>
    <xf numFmtId="0" fontId="18" fillId="20" borderId="0" applyNumberFormat="0" applyBorder="0" applyAlignment="0" applyProtection="0"/>
    <xf numFmtId="0" fontId="18" fillId="21"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cellStyleXfs>
  <cellXfs count="343">
    <xf numFmtId="0" fontId="0" fillId="0" borderId="0" xfId="0"/>
    <xf numFmtId="0" fontId="4" fillId="0" borderId="4" xfId="0" applyFont="1" applyFill="1" applyBorder="1" applyAlignment="1">
      <alignment vertical="center"/>
    </xf>
    <xf numFmtId="0" fontId="3" fillId="0" borderId="4" xfId="0" applyFont="1" applyFill="1" applyBorder="1" applyAlignment="1">
      <alignment vertical="center"/>
    </xf>
    <xf numFmtId="0" fontId="4" fillId="0" borderId="0" xfId="0" applyFont="1" applyAlignment="1">
      <alignment vertical="center"/>
    </xf>
    <xf numFmtId="0" fontId="4" fillId="0" borderId="0" xfId="0" applyFont="1" applyBorder="1" applyAlignment="1">
      <alignment vertical="center"/>
    </xf>
    <xf numFmtId="0" fontId="0" fillId="0" borderId="0" xfId="0" applyAlignment="1">
      <alignment wrapText="1"/>
    </xf>
    <xf numFmtId="0" fontId="0" fillId="0" borderId="0" xfId="0" applyFont="1" applyFill="1" applyBorder="1" applyAlignment="1">
      <alignment horizontal="left" vertical="top" wrapText="1"/>
    </xf>
    <xf numFmtId="0" fontId="1" fillId="10" borderId="4" xfId="0" applyFont="1" applyFill="1" applyBorder="1" applyAlignment="1">
      <alignment horizontal="center" vertical="center" wrapText="1"/>
    </xf>
    <xf numFmtId="0" fontId="4" fillId="0" borderId="0" xfId="0" applyFont="1" applyAlignment="1">
      <alignment horizontal="center" vertical="center"/>
    </xf>
    <xf numFmtId="0" fontId="3" fillId="0" borderId="0" xfId="0" applyFont="1" applyBorder="1" applyAlignment="1">
      <alignment horizontal="center" vertical="center"/>
    </xf>
    <xf numFmtId="0" fontId="4" fillId="0" borderId="4"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6" fillId="0" borderId="0" xfId="0" applyFont="1" applyFill="1" applyBorder="1" applyAlignment="1">
      <alignment vertical="center"/>
    </xf>
    <xf numFmtId="0" fontId="6" fillId="0" borderId="4" xfId="0" applyFont="1" applyFill="1" applyBorder="1" applyAlignment="1">
      <alignment horizontal="center" vertical="center" wrapText="1"/>
    </xf>
    <xf numFmtId="0" fontId="6" fillId="0" borderId="4" xfId="0" quotePrefix="1"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4" xfId="0" applyFont="1" applyFill="1" applyBorder="1" applyAlignment="1">
      <alignment horizontal="center" vertical="center"/>
    </xf>
    <xf numFmtId="0" fontId="4" fillId="0" borderId="0" xfId="0" applyFont="1" applyBorder="1" applyAlignment="1">
      <alignment horizontal="center" vertical="center"/>
    </xf>
    <xf numFmtId="0" fontId="3" fillId="3" borderId="4" xfId="0" applyFont="1" applyFill="1" applyBorder="1" applyAlignment="1">
      <alignment horizontal="center" vertical="center"/>
    </xf>
    <xf numFmtId="0" fontId="6" fillId="0" borderId="4" xfId="0" applyFont="1" applyFill="1" applyBorder="1" applyAlignment="1">
      <alignment vertical="center"/>
    </xf>
    <xf numFmtId="0" fontId="1" fillId="10" borderId="4" xfId="0" applyFont="1" applyFill="1" applyBorder="1" applyAlignment="1">
      <alignment horizontal="center" vertical="center"/>
    </xf>
    <xf numFmtId="0" fontId="7" fillId="0" borderId="0" xfId="0" applyFont="1" applyAlignment="1">
      <alignment vertical="center"/>
    </xf>
    <xf numFmtId="0" fontId="4" fillId="0" borderId="0" xfId="0" applyFont="1" applyAlignment="1">
      <alignment horizontal="left" vertical="center"/>
    </xf>
    <xf numFmtId="0" fontId="8" fillId="0" borderId="0" xfId="0" applyFont="1" applyAlignment="1">
      <alignment vertical="center"/>
    </xf>
    <xf numFmtId="0" fontId="9" fillId="0" borderId="0" xfId="0" applyFont="1" applyBorder="1" applyAlignment="1">
      <alignment horizontal="left" vertical="center"/>
    </xf>
    <xf numFmtId="0" fontId="8" fillId="0" borderId="0" xfId="0" applyFont="1" applyAlignment="1">
      <alignment horizontal="center" vertical="center"/>
    </xf>
    <xf numFmtId="1" fontId="0"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Alignment="1">
      <alignment horizontal="left" vertical="top"/>
    </xf>
    <xf numFmtId="0" fontId="6" fillId="0" borderId="0" xfId="0" applyFont="1" applyFill="1"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2" fontId="4" fillId="0" borderId="0" xfId="0" applyNumberFormat="1" applyFont="1" applyAlignment="1">
      <alignment horizontal="left" vertical="top"/>
    </xf>
    <xf numFmtId="0" fontId="6" fillId="9" borderId="0" xfId="0" applyFont="1" applyFill="1" applyAlignment="1">
      <alignment horizontal="left" vertical="top"/>
    </xf>
    <xf numFmtId="0" fontId="16" fillId="18" borderId="4" xfId="2" applyFont="1" applyFill="1" applyBorder="1" applyAlignment="1">
      <alignment horizontal="center" vertical="center" wrapText="1"/>
    </xf>
    <xf numFmtId="0" fontId="17" fillId="0" borderId="0" xfId="2" applyFont="1" applyAlignment="1">
      <alignment horizontal="center" vertical="center"/>
    </xf>
    <xf numFmtId="0" fontId="17" fillId="0" borderId="0" xfId="2" applyFont="1" applyAlignment="1">
      <alignment vertical="center"/>
    </xf>
    <xf numFmtId="0" fontId="17" fillId="0" borderId="4" xfId="2" applyFont="1" applyFill="1" applyBorder="1" applyAlignment="1">
      <alignment horizontal="center" vertical="center" wrapText="1"/>
    </xf>
    <xf numFmtId="0" fontId="17" fillId="0" borderId="4" xfId="2" applyFont="1" applyFill="1" applyBorder="1" applyAlignment="1">
      <alignment horizontal="left" vertical="center" wrapText="1"/>
    </xf>
    <xf numFmtId="0" fontId="2" fillId="0" borderId="0" xfId="0" applyFont="1" applyFill="1" applyAlignment="1">
      <alignment horizontal="left" vertical="center" wrapText="1"/>
    </xf>
    <xf numFmtId="0" fontId="2" fillId="0" borderId="2" xfId="0" applyFont="1" applyFill="1" applyBorder="1" applyAlignment="1">
      <alignment horizontal="left" vertical="center" wrapText="1"/>
    </xf>
    <xf numFmtId="2" fontId="2" fillId="0" borderId="2" xfId="0" applyNumberFormat="1" applyFont="1" applyFill="1" applyBorder="1" applyAlignment="1">
      <alignment horizontal="left" vertical="center" wrapText="1"/>
    </xf>
    <xf numFmtId="3" fontId="6" fillId="0" borderId="4" xfId="0" applyNumberFormat="1" applyFont="1" applyFill="1" applyBorder="1" applyAlignment="1">
      <alignment horizontal="left" vertical="top" wrapText="1"/>
    </xf>
    <xf numFmtId="0" fontId="6" fillId="0" borderId="4" xfId="0" applyNumberFormat="1" applyFont="1" applyFill="1" applyBorder="1" applyAlignment="1">
      <alignment horizontal="left" vertical="top" wrapText="1"/>
    </xf>
    <xf numFmtId="14" fontId="6" fillId="0" borderId="4" xfId="0" applyNumberFormat="1" applyFont="1" applyFill="1" applyBorder="1" applyAlignment="1">
      <alignment horizontal="left" vertical="top" wrapText="1"/>
    </xf>
    <xf numFmtId="2" fontId="6" fillId="0" borderId="4" xfId="0" applyNumberFormat="1" applyFont="1" applyFill="1" applyBorder="1" applyAlignment="1">
      <alignment horizontal="left" vertical="top" wrapText="1"/>
    </xf>
    <xf numFmtId="0" fontId="6" fillId="0" borderId="0" xfId="0" applyFont="1" applyFill="1" applyBorder="1" applyAlignment="1">
      <alignment horizontal="left" vertical="top" wrapText="1"/>
    </xf>
    <xf numFmtId="0" fontId="4" fillId="0" borderId="4" xfId="0" applyFont="1" applyFill="1" applyBorder="1" applyAlignment="1">
      <alignment horizontal="left" vertical="top" wrapText="1"/>
    </xf>
    <xf numFmtId="0" fontId="6" fillId="0" borderId="4" xfId="0" applyFont="1" applyFill="1" applyBorder="1" applyAlignment="1">
      <alignment horizontal="left" vertical="top" wrapText="1"/>
    </xf>
    <xf numFmtId="0" fontId="4" fillId="0" borderId="0" xfId="0" applyFont="1" applyFill="1" applyAlignment="1">
      <alignment horizontal="left" vertical="top" wrapText="1"/>
    </xf>
    <xf numFmtId="0" fontId="0" fillId="0" borderId="0" xfId="0" applyFont="1" applyFill="1" applyBorder="1" applyAlignment="1">
      <alignment horizontal="center" vertical="top" wrapText="1"/>
    </xf>
    <xf numFmtId="0" fontId="4" fillId="0" borderId="0" xfId="0" applyFont="1" applyAlignment="1">
      <alignment horizontal="center" vertical="top"/>
    </xf>
    <xf numFmtId="0" fontId="2" fillId="16" borderId="2" xfId="0" applyFont="1" applyFill="1" applyBorder="1" applyAlignment="1">
      <alignment horizontal="center" vertical="center" wrapText="1"/>
    </xf>
    <xf numFmtId="0" fontId="6" fillId="16" borderId="4" xfId="0" applyFont="1" applyFill="1" applyBorder="1" applyAlignment="1">
      <alignment horizontal="left" vertical="top" wrapText="1"/>
    </xf>
    <xf numFmtId="1" fontId="2" fillId="16" borderId="2" xfId="0" applyNumberFormat="1" applyFont="1" applyFill="1" applyBorder="1" applyAlignment="1">
      <alignment horizontal="center" vertical="center" wrapText="1"/>
    </xf>
    <xf numFmtId="1" fontId="6" fillId="0" borderId="4" xfId="0" applyNumberFormat="1" applyFont="1" applyFill="1" applyBorder="1" applyAlignment="1">
      <alignment horizontal="center" vertical="top" wrapText="1"/>
    </xf>
    <xf numFmtId="1" fontId="4" fillId="0" borderId="0" xfId="0" applyNumberFormat="1" applyFont="1" applyAlignment="1">
      <alignment horizontal="left" vertical="top"/>
    </xf>
    <xf numFmtId="0" fontId="0" fillId="0" borderId="4" xfId="0" applyBorder="1" applyAlignment="1">
      <alignment horizontal="left" vertical="center"/>
    </xf>
    <xf numFmtId="0" fontId="18" fillId="20" borderId="12" xfId="3" applyBorder="1" applyAlignment="1">
      <alignment horizontal="left" vertical="center" wrapText="1"/>
    </xf>
    <xf numFmtId="0" fontId="18" fillId="20" borderId="13" xfId="3" applyBorder="1" applyAlignment="1">
      <alignment horizontal="left" vertical="center" wrapText="1"/>
    </xf>
    <xf numFmtId="0" fontId="18" fillId="21" borderId="13" xfId="4" applyBorder="1" applyAlignment="1">
      <alignment horizontal="left"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10" fontId="19" fillId="0" borderId="15" xfId="0" applyNumberFormat="1" applyFont="1" applyBorder="1" applyAlignment="1" applyProtection="1">
      <alignment horizontal="center" vertical="center"/>
      <protection hidden="1"/>
    </xf>
    <xf numFmtId="0" fontId="0" fillId="0" borderId="16" xfId="0" applyBorder="1" applyAlignment="1">
      <alignment vertical="center" wrapText="1"/>
    </xf>
    <xf numFmtId="0" fontId="20" fillId="0" borderId="16" xfId="0" applyFont="1" applyBorder="1" applyAlignment="1">
      <alignment vertical="center" wrapText="1"/>
    </xf>
    <xf numFmtId="0" fontId="21" fillId="0" borderId="16" xfId="0" applyFont="1" applyBorder="1" applyAlignment="1">
      <alignment vertical="center" wrapText="1"/>
    </xf>
    <xf numFmtId="0" fontId="21" fillId="0" borderId="16" xfId="0" applyFont="1" applyBorder="1" applyAlignment="1">
      <alignment horizontal="right" vertical="center" wrapText="1"/>
    </xf>
    <xf numFmtId="2" fontId="0" fillId="0" borderId="15" xfId="0" applyNumberFormat="1" applyBorder="1" applyAlignment="1">
      <alignment horizontal="center" vertical="center"/>
    </xf>
    <xf numFmtId="0" fontId="4" fillId="0" borderId="0" xfId="0" applyFont="1" applyAlignment="1">
      <alignment horizontal="center" vertical="top" wrapText="1"/>
    </xf>
    <xf numFmtId="2" fontId="6" fillId="16" borderId="4" xfId="0" applyNumberFormat="1" applyFont="1" applyFill="1" applyBorder="1" applyAlignment="1">
      <alignment horizontal="left" vertical="top" wrapText="1"/>
    </xf>
    <xf numFmtId="0" fontId="6" fillId="0" borderId="4" xfId="0" applyFont="1" applyFill="1" applyBorder="1" applyAlignment="1">
      <alignment horizontal="left" vertical="top" wrapText="1"/>
    </xf>
    <xf numFmtId="0" fontId="2" fillId="16" borderId="2" xfId="0" applyFont="1" applyFill="1" applyBorder="1" applyAlignment="1">
      <alignment horizontal="left" vertical="center" wrapText="1"/>
    </xf>
    <xf numFmtId="2" fontId="19" fillId="0" borderId="15" xfId="0" applyNumberFormat="1" applyFont="1" applyBorder="1" applyAlignment="1" applyProtection="1">
      <alignment horizontal="center" vertical="center"/>
      <protection hidden="1"/>
    </xf>
    <xf numFmtId="10" fontId="6" fillId="0" borderId="4" xfId="0" applyNumberFormat="1" applyFont="1" applyFill="1" applyBorder="1" applyAlignment="1">
      <alignment horizontal="center" vertical="top" wrapText="1"/>
    </xf>
    <xf numFmtId="0" fontId="6" fillId="0" borderId="4" xfId="0" applyFont="1" applyFill="1" applyBorder="1" applyAlignment="1">
      <alignment horizontal="left" vertical="top" wrapText="1"/>
    </xf>
    <xf numFmtId="0" fontId="1" fillId="13" borderId="3" xfId="0" applyFont="1" applyFill="1" applyBorder="1" applyAlignment="1">
      <alignment horizontal="left" vertical="center" wrapText="1"/>
    </xf>
    <xf numFmtId="3" fontId="6" fillId="16" borderId="4" xfId="0" applyNumberFormat="1" applyFont="1" applyFill="1" applyBorder="1" applyAlignment="1">
      <alignment horizontal="left" vertical="top" wrapText="1"/>
    </xf>
    <xf numFmtId="0" fontId="6" fillId="0" borderId="4" xfId="0" applyFont="1" applyFill="1" applyBorder="1" applyAlignment="1">
      <alignment horizontal="center" vertical="top" wrapText="1"/>
    </xf>
    <xf numFmtId="1" fontId="6" fillId="22" borderId="4" xfId="0" applyNumberFormat="1" applyFont="1" applyFill="1" applyBorder="1" applyAlignment="1">
      <alignment horizontal="center" vertical="top" wrapText="1"/>
    </xf>
    <xf numFmtId="2" fontId="6" fillId="22" borderId="4" xfId="0" applyNumberFormat="1" applyFont="1" applyFill="1" applyBorder="1" applyAlignment="1">
      <alignment horizontal="left" vertical="top" wrapText="1"/>
    </xf>
    <xf numFmtId="0" fontId="22" fillId="16" borderId="2"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13" borderId="5" xfId="0" applyFont="1" applyFill="1" applyBorder="1" applyAlignment="1">
      <alignment horizontal="left" vertical="center" wrapText="1"/>
    </xf>
    <xf numFmtId="14" fontId="6" fillId="16" borderId="4" xfId="0" applyNumberFormat="1" applyFont="1" applyFill="1" applyBorder="1" applyAlignment="1">
      <alignment horizontal="left" vertical="top" wrapText="1"/>
    </xf>
    <xf numFmtId="1" fontId="6" fillId="16" borderId="4" xfId="0" applyNumberFormat="1" applyFont="1" applyFill="1" applyBorder="1" applyAlignment="1">
      <alignment horizontal="center" vertical="top" wrapText="1"/>
    </xf>
    <xf numFmtId="0" fontId="2" fillId="0" borderId="2" xfId="0" applyFont="1" applyFill="1" applyBorder="1" applyAlignment="1">
      <alignment horizontal="center" vertical="center" wrapText="1"/>
    </xf>
    <xf numFmtId="0" fontId="6" fillId="23" borderId="4" xfId="0" applyFont="1" applyFill="1" applyBorder="1" applyAlignment="1">
      <alignment horizontal="left" vertical="top" wrapText="1"/>
    </xf>
    <xf numFmtId="0" fontId="6" fillId="24" borderId="4" xfId="0" applyFont="1" applyFill="1" applyBorder="1" applyAlignment="1">
      <alignment horizontal="left" vertical="top" wrapText="1"/>
    </xf>
    <xf numFmtId="10" fontId="6" fillId="24" borderId="4" xfId="0" applyNumberFormat="1" applyFont="1" applyFill="1" applyBorder="1" applyAlignment="1">
      <alignment horizontal="center" vertical="top" wrapText="1"/>
    </xf>
    <xf numFmtId="0" fontId="6" fillId="24" borderId="4" xfId="0" applyFont="1" applyFill="1" applyBorder="1" applyAlignment="1">
      <alignment horizontal="center" vertical="top" wrapText="1"/>
    </xf>
    <xf numFmtId="0" fontId="6" fillId="24" borderId="4" xfId="0" applyFont="1" applyFill="1" applyBorder="1" applyAlignment="1">
      <alignment horizontal="left" vertical="top" wrapText="1"/>
    </xf>
    <xf numFmtId="0" fontId="13" fillId="22" borderId="4" xfId="0" applyFont="1" applyFill="1" applyBorder="1" applyAlignment="1">
      <alignment vertical="top" wrapText="1"/>
    </xf>
    <xf numFmtId="0" fontId="0" fillId="0" borderId="0" xfId="0" applyAlignment="1">
      <alignment vertical="top"/>
    </xf>
    <xf numFmtId="0" fontId="0" fillId="0" borderId="4" xfId="0" applyBorder="1" applyAlignment="1">
      <alignment vertical="top" wrapText="1"/>
    </xf>
    <xf numFmtId="0" fontId="0" fillId="0" borderId="0" xfId="0" applyAlignment="1">
      <alignment vertical="top" wrapText="1"/>
    </xf>
    <xf numFmtId="0" fontId="4" fillId="16" borderId="4" xfId="0" applyFont="1" applyFill="1" applyBorder="1" applyAlignment="1">
      <alignment horizontal="left" vertical="top" wrapText="1"/>
    </xf>
    <xf numFmtId="1" fontId="0" fillId="0" borderId="0" xfId="0" applyNumberFormat="1" applyFont="1" applyFill="1" applyBorder="1" applyAlignment="1">
      <alignment horizontal="center" vertical="top" wrapText="1"/>
    </xf>
    <xf numFmtId="0" fontId="6" fillId="0" borderId="4" xfId="0" applyFont="1" applyFill="1" applyBorder="1" applyAlignment="1">
      <alignment horizontal="left" vertical="top" wrapText="1"/>
    </xf>
    <xf numFmtId="0" fontId="0" fillId="0" borderId="4" xfId="0" applyBorder="1" applyAlignment="1">
      <alignment horizontal="center" vertical="center" wrapText="1"/>
    </xf>
    <xf numFmtId="0" fontId="6" fillId="0" borderId="4" xfId="0" applyFont="1" applyFill="1" applyBorder="1" applyAlignment="1">
      <alignment horizontal="left" vertical="top" wrapText="1"/>
    </xf>
    <xf numFmtId="10" fontId="2" fillId="0" borderId="4" xfId="0" applyNumberFormat="1" applyFont="1" applyFill="1" applyBorder="1" applyAlignment="1">
      <alignment horizontal="left" vertical="center" wrapText="1"/>
    </xf>
    <xf numFmtId="165" fontId="6" fillId="0" borderId="4" xfId="0" applyNumberFormat="1" applyFont="1" applyFill="1" applyBorder="1" applyAlignment="1">
      <alignment horizontal="left" vertical="top" wrapText="1"/>
    </xf>
    <xf numFmtId="0" fontId="4" fillId="0" borderId="4" xfId="0" applyFont="1" applyBorder="1" applyAlignment="1">
      <alignment horizontal="left" vertical="top"/>
    </xf>
    <xf numFmtId="1" fontId="0" fillId="0" borderId="4" xfId="0" applyNumberFormat="1" applyFont="1" applyFill="1" applyBorder="1" applyAlignment="1">
      <alignment horizontal="left" vertical="top" wrapText="1"/>
    </xf>
    <xf numFmtId="10" fontId="6" fillId="0" borderId="4" xfId="0" applyNumberFormat="1" applyFont="1" applyFill="1" applyBorder="1" applyAlignment="1">
      <alignment horizontal="left" vertical="top" wrapText="1"/>
    </xf>
    <xf numFmtId="0" fontId="4" fillId="0" borderId="4" xfId="0" applyFont="1" applyFill="1" applyBorder="1" applyAlignment="1">
      <alignment horizontal="left" vertical="top"/>
    </xf>
    <xf numFmtId="1" fontId="4" fillId="0" borderId="4" xfId="0" applyNumberFormat="1" applyFont="1" applyBorder="1" applyAlignment="1">
      <alignment horizontal="left" vertical="top"/>
    </xf>
    <xf numFmtId="0" fontId="26" fillId="24" borderId="4" xfId="0" applyFont="1" applyFill="1" applyBorder="1" applyAlignment="1">
      <alignment horizontal="center" vertical="center" wrapText="1"/>
    </xf>
    <xf numFmtId="1" fontId="10" fillId="9" borderId="4" xfId="0" applyNumberFormat="1" applyFont="1" applyFill="1" applyBorder="1" applyAlignment="1">
      <alignment horizontal="center" vertical="center" wrapText="1"/>
    </xf>
    <xf numFmtId="164" fontId="0" fillId="0" borderId="4" xfId="1" applyNumberFormat="1" applyFont="1" applyBorder="1" applyAlignment="1">
      <alignment horizontal="center" vertical="center" wrapText="1"/>
    </xf>
    <xf numFmtId="9" fontId="10" fillId="9" borderId="4" xfId="0" applyNumberFormat="1" applyFont="1" applyFill="1" applyBorder="1" applyAlignment="1">
      <alignment horizontal="center" vertical="center" wrapText="1"/>
    </xf>
    <xf numFmtId="1" fontId="4" fillId="7" borderId="4" xfId="0" applyNumberFormat="1" applyFont="1" applyFill="1" applyBorder="1" applyAlignment="1">
      <alignment horizontal="center" vertical="center" wrapText="1"/>
    </xf>
    <xf numFmtId="0" fontId="6" fillId="0" borderId="4" xfId="0" applyFont="1" applyFill="1" applyBorder="1" applyAlignment="1">
      <alignment horizontal="left" vertical="top" wrapText="1"/>
    </xf>
    <xf numFmtId="0" fontId="13" fillId="22" borderId="4" xfId="0" applyFont="1" applyFill="1" applyBorder="1" applyAlignment="1">
      <alignment wrapText="1"/>
    </xf>
    <xf numFmtId="0" fontId="0" fillId="0" borderId="4" xfId="0" applyBorder="1" applyAlignment="1">
      <alignment wrapText="1"/>
    </xf>
    <xf numFmtId="0" fontId="13" fillId="22" borderId="4" xfId="0" applyFont="1" applyFill="1" applyBorder="1" applyAlignment="1">
      <alignment horizontal="center" vertical="center" wrapText="1"/>
    </xf>
    <xf numFmtId="0" fontId="0" fillId="0" borderId="0" xfId="0" applyAlignment="1">
      <alignment horizontal="center" vertical="center" wrapText="1"/>
    </xf>
    <xf numFmtId="0" fontId="1" fillId="14" borderId="6" xfId="0" applyFont="1" applyFill="1" applyBorder="1" applyAlignment="1">
      <alignment horizontal="center" vertical="center" wrapText="1"/>
    </xf>
    <xf numFmtId="0" fontId="4" fillId="0" borderId="4" xfId="0" applyFont="1" applyBorder="1" applyAlignment="1">
      <alignment horizontal="left" vertical="top" wrapText="1"/>
    </xf>
    <xf numFmtId="1" fontId="4" fillId="16" borderId="4" xfId="0" applyNumberFormat="1" applyFont="1" applyFill="1" applyBorder="1" applyAlignment="1">
      <alignment horizontal="left" vertical="top"/>
    </xf>
    <xf numFmtId="0" fontId="2" fillId="0" borderId="4" xfId="0" applyFont="1" applyFill="1" applyBorder="1" applyAlignment="1">
      <alignment horizontal="left" vertical="top" wrapText="1"/>
    </xf>
    <xf numFmtId="10" fontId="6" fillId="24" borderId="4" xfId="0" applyNumberFormat="1" applyFont="1" applyFill="1" applyBorder="1" applyAlignment="1">
      <alignment horizontal="left" vertical="top" wrapText="1"/>
    </xf>
    <xf numFmtId="10" fontId="6" fillId="23" borderId="4" xfId="0" applyNumberFormat="1" applyFont="1" applyFill="1" applyBorder="1" applyAlignment="1">
      <alignment horizontal="left" vertical="top" wrapText="1"/>
    </xf>
    <xf numFmtId="10" fontId="6" fillId="16" borderId="4" xfId="0" applyNumberFormat="1" applyFont="1" applyFill="1" applyBorder="1" applyAlignment="1">
      <alignment horizontal="left" vertical="top" wrapText="1"/>
    </xf>
    <xf numFmtId="1" fontId="0" fillId="0" borderId="4" xfId="0" applyNumberFormat="1" applyFont="1" applyFill="1" applyBorder="1" applyAlignment="1">
      <alignment horizontal="center" vertical="top" wrapText="1"/>
    </xf>
    <xf numFmtId="1" fontId="4" fillId="0" borderId="4" xfId="0" applyNumberFormat="1" applyFont="1" applyFill="1" applyBorder="1" applyAlignment="1">
      <alignment horizontal="left" vertical="top"/>
    </xf>
    <xf numFmtId="0" fontId="1" fillId="14" borderId="6" xfId="0" applyFont="1" applyFill="1" applyBorder="1" applyAlignment="1">
      <alignment horizontal="center" vertical="center" wrapText="1"/>
    </xf>
    <xf numFmtId="0" fontId="6" fillId="24" borderId="4" xfId="0" applyFont="1" applyFill="1" applyBorder="1" applyAlignment="1">
      <alignment horizontal="left" vertical="top" wrapText="1"/>
    </xf>
    <xf numFmtId="0" fontId="6" fillId="0" borderId="4" xfId="0" applyFont="1" applyFill="1" applyBorder="1" applyAlignment="1">
      <alignment horizontal="left" vertical="top" wrapText="1"/>
    </xf>
    <xf numFmtId="3" fontId="6" fillId="24" borderId="4" xfId="0" applyNumberFormat="1" applyFont="1" applyFill="1" applyBorder="1" applyAlignment="1">
      <alignment horizontal="left" vertical="top" wrapText="1"/>
    </xf>
    <xf numFmtId="1" fontId="6" fillId="24" borderId="4" xfId="0" applyNumberFormat="1" applyFont="1" applyFill="1" applyBorder="1" applyAlignment="1">
      <alignment horizontal="center" vertical="top" wrapText="1"/>
    </xf>
    <xf numFmtId="14" fontId="6" fillId="24" borderId="4" xfId="0" applyNumberFormat="1" applyFont="1" applyFill="1" applyBorder="1" applyAlignment="1">
      <alignment horizontal="left" vertical="top" wrapText="1"/>
    </xf>
    <xf numFmtId="2" fontId="6" fillId="24" borderId="4" xfId="0" applyNumberFormat="1" applyFont="1" applyFill="1" applyBorder="1" applyAlignment="1">
      <alignment horizontal="left" vertical="top" wrapText="1"/>
    </xf>
    <xf numFmtId="0" fontId="4" fillId="24" borderId="4" xfId="0" applyFont="1" applyFill="1" applyBorder="1" applyAlignment="1">
      <alignment horizontal="left" vertical="top"/>
    </xf>
    <xf numFmtId="1" fontId="0" fillId="24" borderId="4" xfId="0" applyNumberFormat="1" applyFont="1" applyFill="1" applyBorder="1" applyAlignment="1">
      <alignment horizontal="left" vertical="top" wrapText="1"/>
    </xf>
    <xf numFmtId="0" fontId="6" fillId="24" borderId="4" xfId="0" applyNumberFormat="1" applyFont="1" applyFill="1" applyBorder="1" applyAlignment="1">
      <alignment horizontal="left" vertical="top" wrapText="1"/>
    </xf>
    <xf numFmtId="0" fontId="22" fillId="0" borderId="2" xfId="0" applyFont="1" applyFill="1" applyBorder="1" applyAlignment="1">
      <alignment horizontal="left" vertical="center" wrapText="1"/>
    </xf>
    <xf numFmtId="0" fontId="2" fillId="16" borderId="6" xfId="0" applyFont="1" applyFill="1" applyBorder="1" applyAlignment="1">
      <alignment horizontal="center" vertical="center" wrapText="1"/>
    </xf>
    <xf numFmtId="0" fontId="4" fillId="0" borderId="0" xfId="0" applyFont="1" applyFill="1" applyAlignment="1">
      <alignment horizontal="center" vertical="top"/>
    </xf>
    <xf numFmtId="0" fontId="13" fillId="0" borderId="4" xfId="0"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4" fillId="0" borderId="0" xfId="0" applyNumberFormat="1" applyFont="1" applyFill="1" applyAlignment="1">
      <alignment horizontal="left" vertical="top"/>
    </xf>
    <xf numFmtId="0" fontId="6" fillId="0" borderId="4" xfId="0" applyFont="1" applyFill="1" applyBorder="1" applyAlignment="1">
      <alignment horizontal="left" vertical="top" wrapText="1"/>
    </xf>
    <xf numFmtId="0" fontId="6" fillId="3" borderId="4" xfId="0" applyFont="1" applyFill="1" applyBorder="1" applyAlignment="1">
      <alignment horizontal="left" vertical="top" wrapText="1"/>
    </xf>
    <xf numFmtId="1" fontId="1" fillId="14" borderId="6" xfId="0" applyNumberFormat="1" applyFont="1" applyFill="1" applyBorder="1" applyAlignment="1">
      <alignment horizontal="center" vertical="center" wrapText="1"/>
    </xf>
    <xf numFmtId="1" fontId="6" fillId="23" borderId="4" xfId="0" applyNumberFormat="1" applyFont="1" applyFill="1" applyBorder="1" applyAlignment="1">
      <alignment horizontal="left" vertical="top" wrapText="1"/>
    </xf>
    <xf numFmtId="1" fontId="6" fillId="24" borderId="4" xfId="0" applyNumberFormat="1" applyFont="1" applyFill="1" applyBorder="1" applyAlignment="1">
      <alignment horizontal="left" vertical="top" wrapText="1"/>
    </xf>
    <xf numFmtId="1" fontId="6" fillId="0" borderId="4" xfId="0" applyNumberFormat="1" applyFont="1" applyFill="1" applyBorder="1" applyAlignment="1">
      <alignment horizontal="left" vertical="top" wrapText="1"/>
    </xf>
    <xf numFmtId="1" fontId="6" fillId="16" borderId="4" xfId="0" applyNumberFormat="1" applyFont="1" applyFill="1" applyBorder="1" applyAlignment="1">
      <alignment horizontal="left" vertical="top" wrapText="1"/>
    </xf>
    <xf numFmtId="1" fontId="4" fillId="0" borderId="0" xfId="0" applyNumberFormat="1" applyFont="1" applyFill="1" applyAlignment="1">
      <alignment horizontal="left" vertical="top"/>
    </xf>
    <xf numFmtId="0" fontId="28" fillId="24" borderId="4" xfId="0" applyFont="1" applyFill="1" applyBorder="1" applyAlignment="1">
      <alignment horizontal="center" vertical="center" wrapText="1"/>
    </xf>
    <xf numFmtId="1" fontId="13" fillId="0" borderId="4" xfId="0" applyNumberFormat="1" applyFont="1" applyFill="1" applyBorder="1" applyAlignment="1">
      <alignment horizontal="center" vertical="center" wrapText="1"/>
    </xf>
    <xf numFmtId="9" fontId="10" fillId="7" borderId="4" xfId="0" applyNumberFormat="1" applyFont="1" applyFill="1" applyBorder="1" applyAlignment="1">
      <alignment horizontal="center" vertical="center" wrapText="1"/>
    </xf>
    <xf numFmtId="1" fontId="10" fillId="26" borderId="4" xfId="0" applyNumberFormat="1" applyFont="1" applyFill="1" applyBorder="1" applyAlignment="1">
      <alignment horizontal="center" vertical="center" wrapText="1"/>
    </xf>
    <xf numFmtId="0" fontId="28" fillId="0" borderId="4" xfId="0" applyFont="1" applyFill="1" applyBorder="1" applyAlignment="1">
      <alignment horizontal="center" vertical="center" wrapText="1"/>
    </xf>
    <xf numFmtId="1" fontId="28" fillId="0" borderId="4" xfId="0" applyNumberFormat="1" applyFont="1" applyFill="1" applyBorder="1" applyAlignment="1">
      <alignment horizontal="center" vertical="center" wrapText="1"/>
    </xf>
    <xf numFmtId="9" fontId="16" fillId="18" borderId="4" xfId="2" applyNumberFormat="1" applyFont="1" applyFill="1" applyBorder="1" applyAlignment="1">
      <alignment horizontal="center" vertical="center" wrapText="1"/>
    </xf>
    <xf numFmtId="9" fontId="17" fillId="0" borderId="4" xfId="2" applyNumberFormat="1" applyFont="1" applyFill="1" applyBorder="1" applyAlignment="1">
      <alignment horizontal="center" vertical="center" wrapText="1"/>
    </xf>
    <xf numFmtId="9" fontId="17" fillId="0" borderId="0" xfId="2" applyNumberFormat="1" applyFont="1" applyAlignment="1">
      <alignment horizontal="center" vertical="center"/>
    </xf>
    <xf numFmtId="0" fontId="16" fillId="18" borderId="4" xfId="2" applyFont="1" applyFill="1" applyBorder="1" applyAlignment="1">
      <alignment horizontal="left" vertical="center" wrapText="1"/>
    </xf>
    <xf numFmtId="0" fontId="17" fillId="0" borderId="0" xfId="2" applyFont="1" applyAlignment="1">
      <alignment horizontal="left" vertical="center"/>
    </xf>
    <xf numFmtId="0" fontId="17" fillId="0" borderId="0" xfId="2" applyFont="1" applyAlignment="1">
      <alignment horizontal="left" vertical="center" wrapText="1"/>
    </xf>
    <xf numFmtId="1" fontId="16" fillId="18" borderId="4" xfId="2" applyNumberFormat="1" applyFont="1" applyFill="1" applyBorder="1" applyAlignment="1">
      <alignment horizontal="center" vertical="center" wrapText="1"/>
    </xf>
    <xf numFmtId="1" fontId="17" fillId="0" borderId="4" xfId="2" applyNumberFormat="1" applyFont="1" applyFill="1" applyBorder="1" applyAlignment="1">
      <alignment horizontal="center" vertical="center" wrapText="1"/>
    </xf>
    <xf numFmtId="1" fontId="17" fillId="0" borderId="0" xfId="2" applyNumberFormat="1" applyFont="1" applyAlignment="1">
      <alignment horizontal="center" vertical="center"/>
    </xf>
    <xf numFmtId="0" fontId="6" fillId="23" borderId="4" xfId="0" applyFont="1" applyFill="1" applyBorder="1" applyAlignment="1">
      <alignment horizontal="left" vertical="top" wrapText="1"/>
    </xf>
    <xf numFmtId="0" fontId="6" fillId="24" borderId="4" xfId="0" applyFont="1" applyFill="1" applyBorder="1" applyAlignment="1">
      <alignment horizontal="left" vertical="top" wrapText="1"/>
    </xf>
    <xf numFmtId="0" fontId="6" fillId="0" borderId="4" xfId="0" applyFont="1" applyFill="1" applyBorder="1" applyAlignment="1">
      <alignment horizontal="left" vertical="top" wrapText="1"/>
    </xf>
    <xf numFmtId="0" fontId="29" fillId="0" borderId="21" xfId="0" applyFont="1" applyBorder="1" applyAlignment="1">
      <alignment horizontal="left" vertical="center" wrapText="1" indent="1"/>
    </xf>
    <xf numFmtId="0" fontId="29" fillId="0" borderId="22" xfId="0" applyFont="1" applyBorder="1" applyAlignment="1">
      <alignment horizontal="left" vertical="center" wrapText="1" indent="1"/>
    </xf>
    <xf numFmtId="0" fontId="30" fillId="0" borderId="23" xfId="0" applyFont="1" applyBorder="1" applyAlignment="1">
      <alignment horizontal="left" vertical="center" wrapText="1" indent="1"/>
    </xf>
    <xf numFmtId="6" fontId="30" fillId="0" borderId="24" xfId="0" applyNumberFormat="1" applyFont="1" applyBorder="1" applyAlignment="1">
      <alignment horizontal="left" vertical="center" wrapText="1" indent="1"/>
    </xf>
    <xf numFmtId="3" fontId="30" fillId="0" borderId="24" xfId="0" applyNumberFormat="1" applyFont="1" applyBorder="1" applyAlignment="1">
      <alignment horizontal="left" vertical="center" wrapText="1" indent="1"/>
    </xf>
    <xf numFmtId="0" fontId="30" fillId="0" borderId="0" xfId="0" applyFont="1" applyBorder="1" applyAlignment="1">
      <alignment horizontal="left" vertical="center" wrapText="1" indent="1"/>
    </xf>
    <xf numFmtId="3" fontId="30" fillId="0" borderId="0" xfId="0" applyNumberFormat="1" applyFont="1" applyBorder="1" applyAlignment="1">
      <alignment horizontal="left" vertical="center" wrapText="1" indent="1"/>
    </xf>
    <xf numFmtId="0" fontId="23" fillId="0" borderId="0" xfId="305"/>
    <xf numFmtId="4" fontId="4" fillId="0" borderId="0" xfId="0" applyNumberFormat="1" applyFont="1" applyAlignment="1">
      <alignment horizontal="center" vertical="top"/>
    </xf>
    <xf numFmtId="4" fontId="0" fillId="0" borderId="0" xfId="0" applyNumberFormat="1" applyFont="1" applyFill="1" applyBorder="1" applyAlignment="1">
      <alignment horizontal="center" vertical="top" wrapText="1"/>
    </xf>
    <xf numFmtId="4" fontId="2" fillId="16" borderId="2" xfId="0" applyNumberFormat="1" applyFont="1" applyFill="1" applyBorder="1" applyAlignment="1">
      <alignment horizontal="center" vertical="center" wrapText="1"/>
    </xf>
    <xf numFmtId="4" fontId="6" fillId="0" borderId="4" xfId="0" applyNumberFormat="1" applyFont="1" applyFill="1" applyBorder="1" applyAlignment="1">
      <alignment horizontal="center" vertical="top" wrapText="1"/>
    </xf>
    <xf numFmtId="4" fontId="6" fillId="24" borderId="4" xfId="0" applyNumberFormat="1" applyFont="1" applyFill="1" applyBorder="1" applyAlignment="1">
      <alignment horizontal="center" vertical="top" wrapText="1"/>
    </xf>
    <xf numFmtId="4" fontId="6" fillId="16" borderId="4" xfId="0" applyNumberFormat="1" applyFont="1" applyFill="1" applyBorder="1" applyAlignment="1">
      <alignment horizontal="center" vertical="top" wrapText="1"/>
    </xf>
    <xf numFmtId="4" fontId="4" fillId="0" borderId="4" xfId="0" applyNumberFormat="1" applyFont="1" applyBorder="1" applyAlignment="1">
      <alignment horizontal="center" vertical="top"/>
    </xf>
    <xf numFmtId="4" fontId="6" fillId="24" borderId="4" xfId="0" applyNumberFormat="1" applyFont="1" applyFill="1" applyBorder="1" applyAlignment="1">
      <alignment horizontal="left" vertical="top" wrapText="1"/>
    </xf>
    <xf numFmtId="4" fontId="4" fillId="0" borderId="4" xfId="0" applyNumberFormat="1" applyFont="1" applyFill="1" applyBorder="1" applyAlignment="1">
      <alignment horizontal="center" vertical="top"/>
    </xf>
    <xf numFmtId="4" fontId="4" fillId="16" borderId="4" xfId="0" applyNumberFormat="1" applyFont="1" applyFill="1" applyBorder="1" applyAlignment="1">
      <alignment horizontal="center" vertical="top"/>
    </xf>
    <xf numFmtId="4" fontId="0" fillId="0" borderId="0" xfId="0" applyNumberFormat="1" applyFont="1" applyFill="1" applyBorder="1" applyAlignment="1">
      <alignment horizontal="left" vertical="top" wrapText="1"/>
    </xf>
    <xf numFmtId="4" fontId="1" fillId="14" borderId="6" xfId="0" applyNumberFormat="1" applyFont="1" applyFill="1" applyBorder="1" applyAlignment="1">
      <alignment horizontal="center" vertical="center" wrapText="1"/>
    </xf>
    <xf numFmtId="4" fontId="6" fillId="23" borderId="4" xfId="0" applyNumberFormat="1" applyFont="1" applyFill="1" applyBorder="1" applyAlignment="1">
      <alignment horizontal="left" vertical="top" wrapText="1"/>
    </xf>
    <xf numFmtId="4" fontId="6" fillId="0" borderId="4" xfId="0" applyNumberFormat="1" applyFont="1" applyFill="1" applyBorder="1" applyAlignment="1">
      <alignment horizontal="left" vertical="top" wrapText="1"/>
    </xf>
    <xf numFmtId="4" fontId="4" fillId="0" borderId="0" xfId="0" applyNumberFormat="1" applyFont="1" applyFill="1" applyAlignment="1">
      <alignment horizontal="left" vertical="top"/>
    </xf>
    <xf numFmtId="0" fontId="0" fillId="0" borderId="0" xfId="0" applyFill="1" applyAlignment="1">
      <alignment horizontal="left" vertical="top" wrapText="1"/>
    </xf>
    <xf numFmtId="0" fontId="3" fillId="0" borderId="4" xfId="0" applyFont="1" applyBorder="1" applyAlignment="1">
      <alignment horizontal="center" vertical="center" wrapText="1"/>
    </xf>
    <xf numFmtId="0" fontId="4" fillId="0" borderId="0" xfId="0" applyFont="1" applyFill="1" applyAlignment="1">
      <alignment horizontal="center" vertical="center"/>
    </xf>
    <xf numFmtId="0" fontId="0" fillId="0" borderId="0" xfId="0" applyFont="1" applyFill="1" applyBorder="1" applyAlignment="1">
      <alignment horizontal="center" vertical="center" wrapText="1"/>
    </xf>
    <xf numFmtId="0" fontId="4" fillId="0" borderId="4" xfId="0" applyFont="1" applyFill="1" applyBorder="1" applyAlignment="1">
      <alignment horizontal="center" vertical="center"/>
    </xf>
    <xf numFmtId="0" fontId="2" fillId="27" borderId="6" xfId="0" applyFont="1" applyFill="1" applyBorder="1" applyAlignment="1">
      <alignment horizontal="center" vertical="center" wrapText="1"/>
    </xf>
    <xf numFmtId="0" fontId="6" fillId="23" borderId="4" xfId="0" applyFont="1" applyFill="1" applyBorder="1" applyAlignment="1">
      <alignment horizontal="left" vertical="top" wrapText="1"/>
    </xf>
    <xf numFmtId="0" fontId="6" fillId="24" borderId="4" xfId="0" applyFont="1" applyFill="1" applyBorder="1" applyAlignment="1">
      <alignment horizontal="left" vertical="top" wrapText="1"/>
    </xf>
    <xf numFmtId="0" fontId="6" fillId="0" borderId="4"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24" borderId="4" xfId="0" applyFont="1" applyFill="1" applyBorder="1" applyAlignment="1">
      <alignment horizontal="left" vertical="top" wrapText="1"/>
    </xf>
    <xf numFmtId="0" fontId="0" fillId="29" borderId="0" xfId="0" applyFill="1" applyAlignment="1">
      <alignment wrapText="1"/>
    </xf>
    <xf numFmtId="0" fontId="31" fillId="24" borderId="4" xfId="0" applyFont="1" applyFill="1" applyBorder="1" applyAlignment="1">
      <alignment horizontal="left" vertical="top" wrapText="1"/>
    </xf>
    <xf numFmtId="10" fontId="12" fillId="13" borderId="4" xfId="0" applyNumberFormat="1" applyFont="1" applyFill="1" applyBorder="1" applyAlignment="1">
      <alignment horizontal="left" vertical="center" wrapText="1"/>
    </xf>
    <xf numFmtId="10" fontId="13" fillId="13" borderId="4" xfId="0" applyNumberFormat="1" applyFont="1" applyFill="1" applyBorder="1" applyAlignment="1">
      <alignment horizontal="left" vertical="center"/>
    </xf>
    <xf numFmtId="10" fontId="13" fillId="15" borderId="4" xfId="0" applyNumberFormat="1" applyFont="1" applyFill="1" applyBorder="1" applyAlignment="1">
      <alignment horizontal="left" vertical="center"/>
    </xf>
    <xf numFmtId="10" fontId="13" fillId="25" borderId="4" xfId="0" applyNumberFormat="1" applyFont="1" applyFill="1" applyBorder="1" applyAlignment="1">
      <alignment horizontal="left" vertical="center"/>
    </xf>
    <xf numFmtId="10" fontId="13" fillId="25" borderId="4" xfId="0" applyNumberFormat="1" applyFont="1" applyFill="1" applyBorder="1" applyAlignment="1">
      <alignment horizontal="left" vertical="top"/>
    </xf>
    <xf numFmtId="10" fontId="13" fillId="15" borderId="8" xfId="0" applyNumberFormat="1" applyFont="1" applyFill="1" applyBorder="1" applyAlignment="1">
      <alignment horizontal="left" vertical="top"/>
    </xf>
    <xf numFmtId="10" fontId="4" fillId="0" borderId="4" xfId="0" applyNumberFormat="1" applyFont="1" applyFill="1" applyBorder="1" applyAlignment="1">
      <alignment horizontal="left" vertical="top"/>
    </xf>
    <xf numFmtId="0" fontId="6" fillId="30" borderId="4" xfId="0" applyFont="1" applyFill="1" applyBorder="1" applyAlignment="1">
      <alignment horizontal="left" vertical="top" wrapText="1"/>
    </xf>
    <xf numFmtId="0" fontId="3" fillId="0" borderId="4" xfId="0" applyFont="1" applyBorder="1" applyAlignment="1">
      <alignment horizontal="left" vertical="center" wrapText="1"/>
    </xf>
    <xf numFmtId="0" fontId="25" fillId="0" borderId="4" xfId="0" applyFont="1" applyBorder="1" applyAlignment="1">
      <alignment horizontal="left" vertical="center" wrapText="1"/>
    </xf>
    <xf numFmtId="0" fontId="4" fillId="0" borderId="4" xfId="0" applyFont="1" applyFill="1" applyBorder="1" applyAlignment="1">
      <alignment horizontal="left" vertical="center" wrapText="1"/>
    </xf>
    <xf numFmtId="0" fontId="6" fillId="3" borderId="2" xfId="0" applyFont="1" applyFill="1" applyBorder="1" applyAlignment="1">
      <alignment horizontal="left" vertical="top" wrapText="1"/>
    </xf>
    <xf numFmtId="0" fontId="0" fillId="0" borderId="18" xfId="0" applyBorder="1" applyAlignment="1">
      <alignment horizontal="left" vertical="top" wrapText="1"/>
    </xf>
    <xf numFmtId="0" fontId="6" fillId="23" borderId="4" xfId="0" applyFont="1" applyFill="1" applyBorder="1" applyAlignment="1">
      <alignment horizontal="left" vertical="top" wrapText="1"/>
    </xf>
    <xf numFmtId="0" fontId="0" fillId="0" borderId="17" xfId="0" applyBorder="1" applyAlignment="1">
      <alignment horizontal="left" vertical="top" wrapText="1"/>
    </xf>
    <xf numFmtId="0" fontId="6" fillId="0" borderId="4" xfId="0" applyFont="1" applyFill="1" applyBorder="1" applyAlignment="1">
      <alignment horizontal="left" vertical="top" wrapText="1"/>
    </xf>
    <xf numFmtId="0" fontId="6" fillId="24" borderId="4" xfId="0" applyFont="1" applyFill="1" applyBorder="1" applyAlignment="1">
      <alignment horizontal="left" vertical="top" wrapText="1"/>
    </xf>
    <xf numFmtId="0" fontId="4" fillId="3" borderId="4" xfId="0" applyFont="1" applyFill="1" applyBorder="1" applyAlignment="1">
      <alignment horizontal="left" vertical="top" wrapText="1"/>
    </xf>
    <xf numFmtId="0" fontId="0" fillId="0" borderId="4" xfId="0" applyBorder="1" applyAlignment="1">
      <alignment horizontal="left" vertical="top" wrapText="1"/>
    </xf>
    <xf numFmtId="164" fontId="0" fillId="0" borderId="0" xfId="0" applyNumberFormat="1"/>
    <xf numFmtId="164" fontId="2" fillId="27" borderId="6" xfId="0" applyNumberFormat="1" applyFont="1" applyFill="1" applyBorder="1" applyAlignment="1">
      <alignment horizontal="center" vertical="center" wrapText="1"/>
    </xf>
    <xf numFmtId="164" fontId="6" fillId="23" borderId="4" xfId="0" applyNumberFormat="1" applyFont="1" applyFill="1" applyBorder="1" applyAlignment="1">
      <alignment horizontal="left" vertical="top" wrapText="1"/>
    </xf>
    <xf numFmtId="164" fontId="6" fillId="24" borderId="4" xfId="0" applyNumberFormat="1" applyFont="1" applyFill="1" applyBorder="1" applyAlignment="1">
      <alignment horizontal="left" vertical="top" wrapText="1"/>
    </xf>
    <xf numFmtId="164" fontId="6" fillId="0" borderId="4" xfId="0" applyNumberFormat="1" applyFont="1" applyFill="1" applyBorder="1" applyAlignment="1">
      <alignment horizontal="left" vertical="top" wrapText="1"/>
    </xf>
    <xf numFmtId="164" fontId="4" fillId="0" borderId="4" xfId="0" applyNumberFormat="1" applyFont="1" applyFill="1" applyBorder="1" applyAlignment="1">
      <alignment horizontal="left" vertical="top"/>
    </xf>
    <xf numFmtId="164" fontId="4" fillId="0" borderId="0" xfId="0" applyNumberFormat="1" applyFont="1" applyFill="1" applyAlignment="1">
      <alignment horizontal="left" vertical="top"/>
    </xf>
    <xf numFmtId="0" fontId="6" fillId="0" borderId="4" xfId="0" applyFont="1" applyFill="1" applyBorder="1" applyAlignment="1">
      <alignment horizontal="left" vertical="top" wrapText="1"/>
    </xf>
    <xf numFmtId="10" fontId="0" fillId="0" borderId="0" xfId="0" applyNumberFormat="1"/>
    <xf numFmtId="10" fontId="2" fillId="27" borderId="6" xfId="0" applyNumberFormat="1" applyFont="1" applyFill="1" applyBorder="1" applyAlignment="1">
      <alignment horizontal="center" vertical="center" wrapText="1"/>
    </xf>
    <xf numFmtId="10" fontId="6" fillId="30" borderId="4" xfId="0" applyNumberFormat="1" applyFont="1" applyFill="1" applyBorder="1" applyAlignment="1">
      <alignment horizontal="left" vertical="top" wrapText="1"/>
    </xf>
    <xf numFmtId="10" fontId="4" fillId="0" borderId="0" xfId="0" applyNumberFormat="1" applyFont="1" applyFill="1" applyAlignment="1">
      <alignment horizontal="left" vertical="top"/>
    </xf>
    <xf numFmtId="0" fontId="25" fillId="0" borderId="4" xfId="0" applyFont="1" applyBorder="1" applyAlignment="1">
      <alignment horizontal="left" vertical="top" wrapText="1"/>
    </xf>
    <xf numFmtId="2" fontId="0" fillId="0" borderId="0" xfId="0" applyNumberFormat="1" applyFill="1" applyAlignment="1">
      <alignment horizontal="left" vertical="top" wrapText="1"/>
    </xf>
    <xf numFmtId="2" fontId="2" fillId="27" borderId="6" xfId="0" applyNumberFormat="1" applyFont="1" applyFill="1" applyBorder="1" applyAlignment="1">
      <alignment horizontal="center" vertical="center" wrapText="1"/>
    </xf>
    <xf numFmtId="2" fontId="6" fillId="23" borderId="4" xfId="0" applyNumberFormat="1" applyFont="1" applyFill="1" applyBorder="1" applyAlignment="1">
      <alignment horizontal="left" vertical="top" wrapText="1"/>
    </xf>
    <xf numFmtId="2" fontId="6" fillId="30" borderId="4" xfId="0" applyNumberFormat="1" applyFont="1" applyFill="1" applyBorder="1" applyAlignment="1">
      <alignment horizontal="left" vertical="top" wrapText="1"/>
    </xf>
    <xf numFmtId="2" fontId="4" fillId="0" borderId="4" xfId="0" applyNumberFormat="1" applyFont="1" applyFill="1" applyBorder="1" applyAlignment="1">
      <alignment horizontal="left" vertical="top"/>
    </xf>
    <xf numFmtId="0" fontId="6" fillId="24" borderId="4" xfId="0" applyFont="1" applyFill="1" applyBorder="1" applyAlignment="1">
      <alignment horizontal="left" vertical="top" wrapText="1"/>
    </xf>
    <xf numFmtId="0" fontId="6" fillId="0" borderId="4" xfId="0" applyFont="1" applyFill="1" applyBorder="1" applyAlignment="1">
      <alignment horizontal="left" vertical="top" wrapText="1"/>
    </xf>
    <xf numFmtId="1" fontId="0" fillId="0" borderId="0" xfId="0" applyNumberFormat="1" applyFont="1" applyFill="1" applyBorder="1" applyAlignment="1">
      <alignment horizontal="left" vertical="top"/>
    </xf>
    <xf numFmtId="0" fontId="0" fillId="0" borderId="4" xfId="0" applyFill="1" applyBorder="1" applyAlignment="1">
      <alignment vertical="top" wrapText="1"/>
    </xf>
    <xf numFmtId="10" fontId="6" fillId="16" borderId="4" xfId="0" applyNumberFormat="1" applyFont="1" applyFill="1" applyBorder="1" applyAlignment="1">
      <alignment horizontal="center" vertical="top" wrapText="1"/>
    </xf>
    <xf numFmtId="0" fontId="6" fillId="24" borderId="2" xfId="0" applyFont="1" applyFill="1" applyBorder="1" applyAlignment="1">
      <alignment horizontal="center" vertical="top" wrapText="1"/>
    </xf>
    <xf numFmtId="0" fontId="6" fillId="24" borderId="17" xfId="0" applyFont="1" applyFill="1" applyBorder="1" applyAlignment="1">
      <alignment horizontal="center" vertical="top" wrapText="1"/>
    </xf>
    <xf numFmtId="0" fontId="6" fillId="24" borderId="18" xfId="0" applyFont="1" applyFill="1" applyBorder="1" applyAlignment="1">
      <alignment horizontal="center" vertical="top" wrapText="1"/>
    </xf>
    <xf numFmtId="0" fontId="28" fillId="24" borderId="2" xfId="0" applyFont="1" applyFill="1" applyBorder="1" applyAlignment="1">
      <alignment horizontal="center" vertical="center" wrapText="1"/>
    </xf>
    <xf numFmtId="0" fontId="28" fillId="24" borderId="17" xfId="0" applyFont="1" applyFill="1" applyBorder="1" applyAlignment="1">
      <alignment horizontal="center" vertical="center" wrapText="1"/>
    </xf>
    <xf numFmtId="0" fontId="28" fillId="24" borderId="18" xfId="0" applyFont="1" applyFill="1" applyBorder="1" applyAlignment="1">
      <alignment horizontal="center" vertical="center" wrapText="1"/>
    </xf>
    <xf numFmtId="1" fontId="0" fillId="0" borderId="2" xfId="0" applyNumberFormat="1" applyFont="1" applyFill="1" applyBorder="1" applyAlignment="1">
      <alignment horizontal="center" vertical="top" wrapText="1"/>
    </xf>
    <xf numFmtId="1" fontId="0" fillId="0" borderId="17" xfId="0" applyNumberFormat="1" applyFont="1" applyFill="1" applyBorder="1" applyAlignment="1">
      <alignment horizontal="center" vertical="top" wrapText="1"/>
    </xf>
    <xf numFmtId="1" fontId="0" fillId="0" borderId="18" xfId="0" applyNumberFormat="1" applyFont="1" applyFill="1" applyBorder="1" applyAlignment="1">
      <alignment horizontal="center" vertical="top" wrapText="1"/>
    </xf>
    <xf numFmtId="1" fontId="13" fillId="0" borderId="2" xfId="0" applyNumberFormat="1" applyFont="1" applyFill="1" applyBorder="1" applyAlignment="1">
      <alignment horizontal="center" vertical="center" wrapText="1"/>
    </xf>
    <xf numFmtId="1" fontId="13" fillId="0" borderId="17" xfId="0" applyNumberFormat="1" applyFont="1" applyFill="1" applyBorder="1" applyAlignment="1">
      <alignment horizontal="center" vertical="center" wrapText="1"/>
    </xf>
    <xf numFmtId="1" fontId="13" fillId="0" borderId="18" xfId="0" applyNumberFormat="1"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1" fontId="28" fillId="0" borderId="2" xfId="0" applyNumberFormat="1" applyFont="1" applyFill="1" applyBorder="1" applyAlignment="1">
      <alignment horizontal="center" vertical="center" wrapText="1"/>
    </xf>
    <xf numFmtId="1" fontId="28" fillId="0" borderId="17" xfId="0" applyNumberFormat="1" applyFont="1" applyFill="1" applyBorder="1" applyAlignment="1">
      <alignment horizontal="center" vertical="center" wrapText="1"/>
    </xf>
    <xf numFmtId="1" fontId="28" fillId="0" borderId="18" xfId="0" applyNumberFormat="1" applyFont="1" applyFill="1" applyBorder="1" applyAlignment="1">
      <alignment horizontal="center" vertical="center" wrapText="1"/>
    </xf>
    <xf numFmtId="0" fontId="6" fillId="0" borderId="2" xfId="0" applyFont="1" applyFill="1" applyBorder="1" applyAlignment="1">
      <alignment horizontal="center" vertical="top" wrapText="1"/>
    </xf>
    <xf numFmtId="0" fontId="6" fillId="0" borderId="18" xfId="0" applyFont="1" applyFill="1" applyBorder="1" applyAlignment="1">
      <alignment horizontal="center" vertical="top" wrapText="1"/>
    </xf>
    <xf numFmtId="0" fontId="28" fillId="0" borderId="2" xfId="0" applyFont="1" applyFill="1" applyBorder="1" applyAlignment="1">
      <alignment horizontal="center" vertical="center" wrapText="1"/>
    </xf>
    <xf numFmtId="0" fontId="28" fillId="0" borderId="18" xfId="0" applyFont="1" applyFill="1" applyBorder="1" applyAlignment="1">
      <alignment horizontal="center" vertical="center" wrapText="1"/>
    </xf>
    <xf numFmtId="0" fontId="0" fillId="0" borderId="17" xfId="0" applyFill="1" applyBorder="1" applyAlignment="1">
      <alignment horizontal="center" vertical="center" wrapText="1"/>
    </xf>
    <xf numFmtId="0" fontId="0" fillId="0" borderId="18" xfId="0" applyFill="1" applyBorder="1" applyAlignment="1">
      <alignment horizontal="center" vertical="center" wrapText="1"/>
    </xf>
    <xf numFmtId="1" fontId="6" fillId="0" borderId="2" xfId="0" applyNumberFormat="1" applyFont="1" applyFill="1" applyBorder="1" applyAlignment="1">
      <alignment horizontal="center" vertical="top" wrapText="1"/>
    </xf>
    <xf numFmtId="1" fontId="6" fillId="0" borderId="17" xfId="0" applyNumberFormat="1" applyFont="1" applyFill="1" applyBorder="1" applyAlignment="1">
      <alignment horizontal="center" vertical="top" wrapText="1"/>
    </xf>
    <xf numFmtId="1" fontId="6" fillId="0" borderId="18" xfId="0" applyNumberFormat="1" applyFont="1" applyFill="1" applyBorder="1" applyAlignment="1">
      <alignment horizontal="center" vertical="top" wrapText="1"/>
    </xf>
    <xf numFmtId="0" fontId="28" fillId="0" borderId="17" xfId="0" applyFont="1" applyFill="1" applyBorder="1" applyAlignment="1">
      <alignment horizontal="center" vertical="center" wrapText="1"/>
    </xf>
    <xf numFmtId="0" fontId="6" fillId="0" borderId="17" xfId="0" applyFont="1" applyFill="1" applyBorder="1" applyAlignment="1">
      <alignment horizontal="center" vertical="top" wrapText="1"/>
    </xf>
    <xf numFmtId="1" fontId="27" fillId="26" borderId="3" xfId="0" applyNumberFormat="1" applyFont="1" applyFill="1" applyBorder="1" applyAlignment="1">
      <alignment horizontal="center" vertical="center" wrapText="1"/>
    </xf>
    <xf numFmtId="0" fontId="13" fillId="26" borderId="1" xfId="0" applyFont="1" applyFill="1" applyBorder="1" applyAlignment="1">
      <alignment horizontal="center" vertical="center" wrapText="1"/>
    </xf>
    <xf numFmtId="0" fontId="2" fillId="27" borderId="2" xfId="0" applyFont="1" applyFill="1" applyBorder="1" applyAlignment="1">
      <alignment horizontal="center" vertical="center" wrapText="1"/>
    </xf>
    <xf numFmtId="0" fontId="0" fillId="27" borderId="17" xfId="0" applyFill="1" applyBorder="1" applyAlignment="1">
      <alignment horizontal="center" vertical="center" wrapText="1"/>
    </xf>
    <xf numFmtId="0" fontId="0" fillId="27" borderId="18" xfId="0" applyFill="1" applyBorder="1" applyAlignment="1">
      <alignment horizontal="center" vertical="center" wrapText="1"/>
    </xf>
    <xf numFmtId="0" fontId="1" fillId="28" borderId="6" xfId="0" applyFont="1" applyFill="1" applyBorder="1" applyAlignment="1">
      <alignment horizontal="center" vertical="center"/>
    </xf>
    <xf numFmtId="0" fontId="4" fillId="28" borderId="11" xfId="0" applyFont="1" applyFill="1" applyBorder="1" applyAlignment="1">
      <alignment horizontal="center" vertical="center"/>
    </xf>
    <xf numFmtId="164" fontId="4" fillId="28" borderId="8" xfId="0" applyNumberFormat="1" applyFont="1" applyFill="1" applyBorder="1" applyAlignment="1">
      <alignment horizontal="center" vertical="center"/>
    </xf>
    <xf numFmtId="0" fontId="4" fillId="28" borderId="7" xfId="0" applyFont="1" applyFill="1" applyBorder="1" applyAlignment="1">
      <alignment horizontal="center" vertical="center"/>
    </xf>
    <xf numFmtId="0" fontId="4" fillId="28" borderId="10" xfId="0" applyFont="1" applyFill="1" applyBorder="1" applyAlignment="1">
      <alignment horizontal="center" vertical="center"/>
    </xf>
    <xf numFmtId="164" fontId="4" fillId="28" borderId="9" xfId="0" applyNumberFormat="1" applyFont="1" applyFill="1" applyBorder="1" applyAlignment="1">
      <alignment horizontal="center" vertical="center"/>
    </xf>
    <xf numFmtId="0" fontId="0" fillId="0" borderId="11" xfId="0" applyBorder="1" applyAlignment="1">
      <alignment vertical="center"/>
    </xf>
    <xf numFmtId="0" fontId="0" fillId="0" borderId="8"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0" fillId="0" borderId="18" xfId="0" applyBorder="1" applyAlignment="1">
      <alignment horizontal="center" vertical="top" wrapText="1"/>
    </xf>
    <xf numFmtId="0" fontId="0" fillId="0" borderId="0" xfId="0" applyAlignment="1">
      <alignment wrapText="1"/>
    </xf>
    <xf numFmtId="0" fontId="0" fillId="28" borderId="11" xfId="0" applyFill="1" applyBorder="1" applyAlignment="1"/>
    <xf numFmtId="164" fontId="0" fillId="28" borderId="8" xfId="0" applyNumberFormat="1" applyFill="1" applyBorder="1" applyAlignment="1"/>
    <xf numFmtId="0" fontId="0" fillId="28" borderId="7" xfId="0" applyFill="1" applyBorder="1" applyAlignment="1"/>
    <xf numFmtId="0" fontId="0" fillId="28" borderId="10" xfId="0" applyFill="1" applyBorder="1" applyAlignment="1"/>
    <xf numFmtId="164" fontId="0" fillId="28" borderId="9" xfId="0" applyNumberFormat="1" applyFill="1" applyBorder="1" applyAlignment="1"/>
    <xf numFmtId="0" fontId="1" fillId="14" borderId="20" xfId="0" applyFont="1" applyFill="1" applyBorder="1" applyAlignment="1">
      <alignment horizontal="left" vertical="center" wrapText="1"/>
    </xf>
    <xf numFmtId="0" fontId="0" fillId="0" borderId="0" xfId="0" applyAlignment="1"/>
    <xf numFmtId="0" fontId="0" fillId="0" borderId="19" xfId="0" applyBorder="1" applyAlignment="1"/>
    <xf numFmtId="0" fontId="0" fillId="0" borderId="7" xfId="0" applyBorder="1" applyAlignment="1"/>
    <xf numFmtId="0" fontId="0" fillId="0" borderId="10" xfId="0" applyBorder="1" applyAlignment="1"/>
    <xf numFmtId="0" fontId="0" fillId="0" borderId="9" xfId="0" applyBorder="1" applyAlignment="1"/>
    <xf numFmtId="0" fontId="0" fillId="0" borderId="17" xfId="0" applyBorder="1" applyAlignment="1">
      <alignment horizontal="center" vertical="top" wrapText="1"/>
    </xf>
    <xf numFmtId="0" fontId="6" fillId="23" borderId="2" xfId="0" applyFont="1" applyFill="1" applyBorder="1" applyAlignment="1">
      <alignment horizontal="center" vertical="top" wrapText="1"/>
    </xf>
    <xf numFmtId="0" fontId="6" fillId="23" borderId="4" xfId="0" applyFont="1" applyFill="1" applyBorder="1" applyAlignment="1">
      <alignment horizontal="left" vertical="top" wrapText="1"/>
    </xf>
    <xf numFmtId="0" fontId="6" fillId="24" borderId="4" xfId="0" applyFont="1" applyFill="1" applyBorder="1" applyAlignment="1">
      <alignment horizontal="left" vertical="top" wrapText="1"/>
    </xf>
    <xf numFmtId="0" fontId="6" fillId="0" borderId="4" xfId="0" applyFont="1" applyFill="1" applyBorder="1" applyAlignment="1">
      <alignment horizontal="center" vertical="top" wrapText="1"/>
    </xf>
    <xf numFmtId="0" fontId="0" fillId="0" borderId="4" xfId="0" applyBorder="1" applyAlignment="1">
      <alignment horizontal="center" vertical="top" wrapText="1"/>
    </xf>
    <xf numFmtId="0" fontId="1" fillId="6" borderId="4"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8" borderId="3" xfId="0" applyFont="1" applyFill="1" applyBorder="1" applyAlignment="1">
      <alignment horizontal="left" vertical="center" wrapText="1"/>
    </xf>
    <xf numFmtId="0" fontId="0" fillId="0" borderId="5" xfId="0" applyBorder="1" applyAlignment="1"/>
    <xf numFmtId="0" fontId="0" fillId="0" borderId="1" xfId="0" applyBorder="1" applyAlignment="1"/>
    <xf numFmtId="0" fontId="1" fillId="19" borderId="3" xfId="0" applyFont="1" applyFill="1" applyBorder="1" applyAlignment="1">
      <alignment horizontal="left" vertical="center" wrapText="1"/>
    </xf>
    <xf numFmtId="0" fontId="1" fillId="19" borderId="5"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12" borderId="5"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1" fillId="11" borderId="3" xfId="0" applyFont="1" applyFill="1" applyBorder="1" applyAlignment="1">
      <alignment horizontal="left" vertical="center" wrapText="1"/>
    </xf>
    <xf numFmtId="0" fontId="1" fillId="11" borderId="5"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5" borderId="4" xfId="0" applyFont="1" applyFill="1" applyBorder="1" applyAlignment="1">
      <alignment horizontal="left" vertical="center" wrapText="1"/>
    </xf>
    <xf numFmtId="0" fontId="6" fillId="0" borderId="4" xfId="0" applyFont="1" applyFill="1" applyBorder="1" applyAlignment="1">
      <alignment horizontal="left" vertical="top" wrapText="1"/>
    </xf>
    <xf numFmtId="0" fontId="1" fillId="17" borderId="0" xfId="0" applyFont="1" applyFill="1" applyBorder="1" applyAlignment="1">
      <alignment horizontal="left" vertical="center" wrapText="1"/>
    </xf>
    <xf numFmtId="0" fontId="0" fillId="0" borderId="0" xfId="0" applyAlignment="1">
      <alignment vertical="center" wrapText="1"/>
    </xf>
    <xf numFmtId="0" fontId="0" fillId="0" borderId="19" xfId="0" applyBorder="1" applyAlignment="1">
      <alignment vertical="center" wrapText="1"/>
    </xf>
    <xf numFmtId="0" fontId="0" fillId="0" borderId="10" xfId="0" applyBorder="1" applyAlignment="1">
      <alignment vertical="center" wrapText="1"/>
    </xf>
    <xf numFmtId="0" fontId="0" fillId="0" borderId="9" xfId="0" applyBorder="1" applyAlignment="1">
      <alignment vertical="center" wrapText="1"/>
    </xf>
    <xf numFmtId="0" fontId="6" fillId="24" borderId="2" xfId="0" applyFont="1" applyFill="1"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4" fillId="0" borderId="2" xfId="0" applyFont="1" applyBorder="1" applyAlignment="1">
      <alignment horizontal="center" vertical="top"/>
    </xf>
    <xf numFmtId="0" fontId="0" fillId="0" borderId="18" xfId="0" applyBorder="1" applyAlignment="1">
      <alignment horizontal="center" vertical="top"/>
    </xf>
    <xf numFmtId="0" fontId="0" fillId="0" borderId="17" xfId="0" applyBorder="1" applyAlignment="1">
      <alignment horizontal="center" vertical="top"/>
    </xf>
    <xf numFmtId="0" fontId="1" fillId="10" borderId="4" xfId="0" applyFont="1" applyFill="1" applyBorder="1" applyAlignment="1">
      <alignment horizontal="center" vertical="center"/>
    </xf>
  </cellXfs>
  <cellStyles count="306">
    <cellStyle name="Accent1" xfId="3" builtinId="29"/>
    <cellStyle name="Accent2" xfId="4" builtinId="33"/>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305" builtinId="8"/>
    <cellStyle name="Normal" xfId="0" builtinId="0"/>
    <cellStyle name="Normal 2" xfId="2"/>
    <cellStyle name="Percent" xfId="1" builtinId="5"/>
  </cellStyles>
  <dxfs count="8">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Medium9"/>
  <colors>
    <mruColors>
      <color rgb="FF4BACC6"/>
      <color rgb="FFFFFF66"/>
      <color rgb="FFFFCC66"/>
      <color rgb="FFFF6600"/>
      <color rgb="FFC0504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115</xdr:col>
      <xdr:colOff>238125</xdr:colOff>
      <xdr:row>44</xdr:row>
      <xdr:rowOff>0</xdr:rowOff>
    </xdr:from>
    <xdr:to>
      <xdr:col>119</xdr:col>
      <xdr:colOff>51736</xdr:colOff>
      <xdr:row>46</xdr:row>
      <xdr:rowOff>78314</xdr:rowOff>
    </xdr:to>
    <xdr:pic>
      <xdr:nvPicPr>
        <xdr:cNvPr id="2" name="Picture 1"/>
        <xdr:cNvPicPr>
          <a:picLocks noChangeAspect="1"/>
        </xdr:cNvPicPr>
      </xdr:nvPicPr>
      <xdr:blipFill>
        <a:blip xmlns:r="http://schemas.openxmlformats.org/officeDocument/2006/relationships" r:embed="rId1"/>
        <a:stretch>
          <a:fillRect/>
        </a:stretch>
      </xdr:blipFill>
      <xdr:spPr>
        <a:xfrm flipV="1">
          <a:off x="29749750" y="12152022"/>
          <a:ext cx="3814110" cy="15150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federalregister.gov/articles/2016/01/25/2016-01450/annual-update-of-the-hhs-poverty-guideline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X93"/>
  <sheetViews>
    <sheetView showGridLines="0" tabSelected="1" zoomScale="80" zoomScaleNormal="80" zoomScalePageLayoutView="80" workbookViewId="0">
      <pane xSplit="13" ySplit="13" topLeftCell="AI43" activePane="bottomRight" state="frozen"/>
      <selection pane="topRight" activeCell="N1" sqref="N1"/>
      <selection pane="bottomLeft" activeCell="A14" sqref="A14"/>
      <selection pane="bottomRight" activeCell="E49" sqref="E49:E52"/>
    </sheetView>
  </sheetViews>
  <sheetFormatPr defaultColWidth="13.140625" defaultRowHeight="24" customHeight="1" outlineLevelRow="1" outlineLevelCol="1"/>
  <cols>
    <col min="1" max="1" width="5.42578125" style="53" customWidth="1"/>
    <col min="2" max="2" width="11.140625" style="196" hidden="1" customWidth="1"/>
    <col min="3" max="3" width="12.85546875" style="53" customWidth="1"/>
    <col min="4" max="4" width="9.7109375" style="32" customWidth="1"/>
    <col min="5" max="5" width="22.7109375" style="32" customWidth="1"/>
    <col min="6" max="6" width="12.42578125" style="32" customWidth="1"/>
    <col min="7" max="7" width="9.5703125" style="32" hidden="1" customWidth="1"/>
    <col min="8" max="8" width="15.28515625" style="32" hidden="1" customWidth="1" outlineLevel="1"/>
    <col min="9" max="9" width="21.42578125" style="32" hidden="1" customWidth="1" outlineLevel="1"/>
    <col min="10" max="10" width="13.42578125" style="32" customWidth="1" outlineLevel="1"/>
    <col min="11" max="11" width="10.7109375" style="32" customWidth="1" outlineLevel="1"/>
    <col min="12" max="12" width="12.42578125" style="32" customWidth="1" outlineLevel="1"/>
    <col min="13" max="13" width="10.42578125" style="32" customWidth="1" outlineLevel="1"/>
    <col min="14" max="14" width="13.42578125" style="32" customWidth="1" outlineLevel="1"/>
    <col min="15" max="15" width="12.85546875" style="32" customWidth="1" outlineLevel="1"/>
    <col min="16" max="16" width="9.85546875" style="30" customWidth="1" outlineLevel="1"/>
    <col min="17" max="17" width="12.28515625" style="32" customWidth="1" outlineLevel="1"/>
    <col min="18" max="18" width="14.5703125" style="32" customWidth="1" outlineLevel="1"/>
    <col min="19" max="19" width="23" style="32" customWidth="1" outlineLevel="1"/>
    <col min="20" max="20" width="16.7109375" style="32" customWidth="1" outlineLevel="1"/>
    <col min="21" max="21" width="15.28515625" style="32" customWidth="1" outlineLevel="1"/>
    <col min="22" max="22" width="13.5703125" style="32" customWidth="1" outlineLevel="1"/>
    <col min="23" max="23" width="20" style="32" customWidth="1" outlineLevel="1"/>
    <col min="24" max="24" width="20.7109375" style="32" customWidth="1" outlineLevel="1"/>
    <col min="25" max="25" width="11.42578125" style="32" customWidth="1" outlineLevel="1"/>
    <col min="26" max="26" width="5" style="32" customWidth="1" outlineLevel="1"/>
    <col min="27" max="27" width="20" style="32" customWidth="1" outlineLevel="1"/>
    <col min="28" max="28" width="13.85546875" style="32" customWidth="1" outlineLevel="1"/>
    <col min="29" max="29" width="16" style="32" customWidth="1" outlineLevel="1"/>
    <col min="30" max="30" width="16.28515625" style="32" customWidth="1" outlineLevel="1"/>
    <col min="31" max="31" width="18.42578125" style="32" customWidth="1" outlineLevel="1"/>
    <col min="32" max="32" width="18.7109375" style="32" customWidth="1" outlineLevel="1"/>
    <col min="33" max="33" width="16.85546875" style="32" customWidth="1" outlineLevel="1"/>
    <col min="34" max="34" width="18" style="32" customWidth="1" outlineLevel="1"/>
    <col min="35" max="36" width="18.140625" style="32" customWidth="1" outlineLevel="1"/>
    <col min="37" max="37" width="19.28515625" style="32" customWidth="1" outlineLevel="1"/>
    <col min="38" max="38" width="13.7109375" style="32" customWidth="1" outlineLevel="1"/>
    <col min="39" max="39" width="13.42578125" style="32" customWidth="1"/>
    <col min="40" max="40" width="11" style="32" customWidth="1"/>
    <col min="41" max="41" width="19.7109375" style="32" customWidth="1"/>
    <col min="42" max="42" width="39.140625" style="32" customWidth="1"/>
    <col min="43" max="43" width="24.42578125" style="33" hidden="1" customWidth="1"/>
    <col min="44" max="44" width="14" style="179" customWidth="1"/>
    <col min="45" max="45" width="7.7109375" style="58" customWidth="1"/>
    <col min="46" max="46" width="12.7109375" style="32" hidden="1" customWidth="1"/>
    <col min="47" max="47" width="14.7109375" style="32" hidden="1" customWidth="1"/>
    <col min="48" max="48" width="22" style="32" hidden="1" customWidth="1" outlineLevel="1"/>
    <col min="49" max="49" width="19" style="32" hidden="1" customWidth="1" outlineLevel="1"/>
    <col min="50" max="50" width="14.28515625" style="32" customWidth="1" outlineLevel="1"/>
    <col min="51" max="51" width="6.7109375" style="32" customWidth="1" outlineLevel="1"/>
    <col min="52" max="52" width="7.85546875" style="32" customWidth="1" outlineLevel="1"/>
    <col min="53" max="53" width="14.140625" style="32" hidden="1" customWidth="1" outlineLevel="1"/>
    <col min="54" max="54" width="1.5703125" style="32" customWidth="1" outlineLevel="1"/>
    <col min="55" max="55" width="11" style="32" customWidth="1" outlineLevel="1"/>
    <col min="56" max="56" width="9.28515625" style="32" customWidth="1" outlineLevel="1"/>
    <col min="57" max="57" width="11.28515625" style="32" customWidth="1" outlineLevel="1"/>
    <col min="58" max="58" width="15.140625" style="33" hidden="1" customWidth="1" outlineLevel="1"/>
    <col min="59" max="59" width="10.42578125" style="34" hidden="1" customWidth="1" outlineLevel="1"/>
    <col min="60" max="60" width="10.7109375" style="71" customWidth="1" collapsed="1"/>
    <col min="61" max="61" width="11.28515625" style="71" customWidth="1"/>
    <col min="62" max="62" width="11" style="71" hidden="1" customWidth="1"/>
    <col min="63" max="63" width="10.140625" style="32" hidden="1" customWidth="1"/>
    <col min="64" max="64" width="11.85546875" style="28" hidden="1" customWidth="1"/>
    <col min="65" max="65" width="9.140625" style="32" hidden="1" customWidth="1"/>
    <col min="66" max="66" width="8.28515625" style="32" hidden="1" customWidth="1"/>
    <col min="67" max="67" width="8.5703125" style="28" hidden="1" customWidth="1"/>
    <col min="68" max="68" width="13.140625" style="30" customWidth="1"/>
    <col min="69" max="69" width="10.42578125" style="141" hidden="1" customWidth="1"/>
    <col min="70" max="70" width="8.42578125" style="141" hidden="1" customWidth="1"/>
    <col min="71" max="71" width="8.5703125" style="141" hidden="1" customWidth="1"/>
    <col min="72" max="72" width="12.42578125" style="193" customWidth="1"/>
    <col min="73" max="73" width="4.140625" style="152" customWidth="1"/>
    <col min="74" max="74" width="10.42578125" style="144" customWidth="1"/>
    <col min="75" max="75" width="8.7109375" style="99" hidden="1" customWidth="1"/>
    <col min="76" max="76" width="10.7109375" style="30" hidden="1" customWidth="1"/>
    <col min="77" max="77" width="7.7109375" style="30" hidden="1" customWidth="1"/>
    <col min="78" max="78" width="8" style="30" hidden="1" customWidth="1"/>
    <col min="79" max="79" width="9.7109375" style="30" hidden="1" customWidth="1"/>
    <col min="80" max="80" width="12.7109375" style="30" hidden="1" customWidth="1"/>
    <col min="81" max="81" width="9" style="30" hidden="1" customWidth="1"/>
    <col min="82" max="82" width="11" style="30" hidden="1" customWidth="1"/>
    <col min="83" max="83" width="12.42578125" style="30" hidden="1" customWidth="1"/>
    <col min="84" max="84" width="10.42578125" style="232" hidden="1" customWidth="1"/>
    <col min="85" max="85" width="10.42578125" style="51" hidden="1" customWidth="1"/>
    <col min="86" max="86" width="9" style="51" hidden="1" customWidth="1"/>
    <col min="87" max="88" width="8.5703125" style="99" hidden="1" customWidth="1"/>
    <col min="89" max="89" width="1.140625" style="51" hidden="1" customWidth="1"/>
    <col min="90" max="90" width="8.7109375" style="99" customWidth="1"/>
    <col min="91" max="91" width="10.7109375" style="30" customWidth="1"/>
    <col min="92" max="92" width="13.5703125" style="30" customWidth="1"/>
    <col min="93" max="93" width="10.42578125" style="30" customWidth="1"/>
    <col min="94" max="94" width="11.7109375" style="30" customWidth="1"/>
    <col min="95" max="95" width="11" style="30" customWidth="1"/>
    <col min="96" max="96" width="12.42578125" style="144" customWidth="1"/>
    <col min="97" max="97" width="10.42578125" style="237" customWidth="1"/>
    <col min="98" max="98" width="8.85546875" style="51" customWidth="1"/>
    <col min="99" max="99" width="9" style="51" customWidth="1"/>
    <col min="100" max="101" width="8.5703125" style="99" customWidth="1"/>
    <col min="102" max="102" width="34.28515625" style="51" customWidth="1"/>
    <col min="103" max="106" width="13.140625" style="30" customWidth="1"/>
    <col min="107" max="16384" width="13.140625" style="30"/>
  </cols>
  <sheetData>
    <row r="1" spans="1:102" ht="30.75" customHeight="1">
      <c r="BP1" s="294" t="s">
        <v>1023</v>
      </c>
      <c r="BQ1" s="294"/>
      <c r="BR1" s="294"/>
      <c r="BS1" s="294"/>
      <c r="BT1" s="294"/>
      <c r="BU1" s="294"/>
      <c r="BV1" s="294"/>
      <c r="BX1" s="194"/>
      <c r="BY1" s="194"/>
      <c r="BZ1" s="194"/>
      <c r="CA1" s="194"/>
      <c r="CB1" s="194"/>
      <c r="CC1" s="194"/>
      <c r="CD1" s="194"/>
      <c r="CE1" s="194"/>
      <c r="CF1" s="226"/>
      <c r="CG1" s="110" t="s">
        <v>979</v>
      </c>
      <c r="CH1" s="110" t="s">
        <v>577</v>
      </c>
      <c r="CM1" s="194"/>
      <c r="CN1" s="194"/>
      <c r="CO1" s="194"/>
      <c r="CP1" s="194"/>
      <c r="CQ1" s="194"/>
      <c r="CR1" s="239"/>
      <c r="CS1" s="234"/>
      <c r="CT1" s="110" t="s">
        <v>979</v>
      </c>
      <c r="CU1" s="110" t="s">
        <v>577</v>
      </c>
    </row>
    <row r="2" spans="1:102" s="6" customFormat="1" ht="18" hidden="1" customHeight="1" outlineLevel="1">
      <c r="A2" s="52"/>
      <c r="B2" s="197"/>
      <c r="C2" s="52"/>
      <c r="AR2" s="180"/>
      <c r="AS2" s="28"/>
      <c r="BH2" s="52"/>
      <c r="BI2" s="52"/>
      <c r="BJ2" s="52"/>
      <c r="BL2" s="28"/>
      <c r="BO2" s="28"/>
      <c r="BQ2" s="52"/>
      <c r="BR2" s="52"/>
      <c r="BS2" s="52"/>
      <c r="BT2" s="189"/>
      <c r="BU2" s="28"/>
      <c r="BV2" s="143"/>
      <c r="BW2" s="99"/>
      <c r="CF2" s="207" t="s">
        <v>229</v>
      </c>
      <c r="CG2" s="111">
        <f>COUNTIF(CG$14:CG$93,"PASS*")</f>
        <v>6</v>
      </c>
      <c r="CH2" s="111">
        <f>COUNTIF(CH$14:CH$225,"PASS*")</f>
        <v>2</v>
      </c>
      <c r="CI2" s="99"/>
      <c r="CJ2" s="99"/>
      <c r="CL2" s="99"/>
      <c r="CR2" s="143"/>
      <c r="CS2" s="207" t="s">
        <v>229</v>
      </c>
      <c r="CT2" s="111">
        <f>COUNTIF(CT$14:CT$93,"PASS*")</f>
        <v>8</v>
      </c>
      <c r="CU2" s="111">
        <f>COUNTIF(CU$14:CU$225,"PASS*")</f>
        <v>8</v>
      </c>
      <c r="CV2" s="246" t="s">
        <v>1102</v>
      </c>
      <c r="CW2" s="99"/>
    </row>
    <row r="3" spans="1:102" s="6" customFormat="1" ht="18" hidden="1" customHeight="1" outlineLevel="1">
      <c r="A3" s="52"/>
      <c r="B3" s="197"/>
      <c r="C3" s="52"/>
      <c r="AR3" s="180"/>
      <c r="AS3" s="28"/>
      <c r="BH3" s="52"/>
      <c r="BI3" s="52"/>
      <c r="BJ3" s="52"/>
      <c r="BL3" s="28"/>
      <c r="BO3" s="28"/>
      <c r="BQ3" s="52"/>
      <c r="BR3" s="52"/>
      <c r="BS3" s="52"/>
      <c r="BT3" s="189"/>
      <c r="BU3" s="28"/>
      <c r="BV3" s="143"/>
      <c r="BW3" s="99"/>
      <c r="CF3" s="208" t="s">
        <v>230</v>
      </c>
      <c r="CG3" s="112">
        <f>CG2/(CG2+CG4+CG6)</f>
        <v>1</v>
      </c>
      <c r="CH3" s="112">
        <f>CH2/(CH2+CH4+CH6)</f>
        <v>2.5000000000000001E-2</v>
      </c>
      <c r="CI3" s="99"/>
      <c r="CJ3" s="99"/>
      <c r="CL3" s="99"/>
      <c r="CR3" s="143"/>
      <c r="CS3" s="208" t="s">
        <v>230</v>
      </c>
      <c r="CT3" s="112">
        <f>CT2/(CT2+CT4+CT6)</f>
        <v>1</v>
      </c>
      <c r="CU3" s="112">
        <f>CU2/(CU2+CU4+CU6)</f>
        <v>0.1</v>
      </c>
      <c r="CV3" s="99"/>
      <c r="CW3" s="99"/>
    </row>
    <row r="4" spans="1:102" s="6" customFormat="1" ht="18" hidden="1" customHeight="1" outlineLevel="1">
      <c r="A4" s="52"/>
      <c r="B4" s="197"/>
      <c r="C4" s="52"/>
      <c r="AR4" s="180"/>
      <c r="AS4" s="28"/>
      <c r="BH4" s="52"/>
      <c r="BI4" s="52"/>
      <c r="BJ4" s="52"/>
      <c r="BL4" s="28"/>
      <c r="BO4" s="28"/>
      <c r="BQ4" s="52"/>
      <c r="BR4" s="52"/>
      <c r="BS4" s="52"/>
      <c r="BT4" s="189"/>
      <c r="BU4" s="28"/>
      <c r="BV4" s="143"/>
      <c r="BW4" s="99"/>
      <c r="CF4" s="209" t="s">
        <v>231</v>
      </c>
      <c r="CG4" s="111">
        <f>COUNTIF(CG$14:CG$225,"FAIL")</f>
        <v>0</v>
      </c>
      <c r="CH4" s="111">
        <f>COUNTIF(CH$14:CH$93,"FAIL")</f>
        <v>78</v>
      </c>
      <c r="CI4" s="99"/>
      <c r="CJ4" s="99"/>
      <c r="CL4" s="99"/>
      <c r="CR4" s="143"/>
      <c r="CS4" s="209" t="s">
        <v>231</v>
      </c>
      <c r="CT4" s="111">
        <f>COUNTIF(CT$14:CT$225,"FAIL")</f>
        <v>0</v>
      </c>
      <c r="CU4" s="111">
        <f>COUNTIF(CU$14:CU$93,"FAIL")</f>
        <v>72</v>
      </c>
      <c r="CV4" s="99"/>
      <c r="CW4" s="99"/>
    </row>
    <row r="5" spans="1:102" s="6" customFormat="1" ht="18" hidden="1" customHeight="1" outlineLevel="1">
      <c r="A5" s="52"/>
      <c r="B5" s="197"/>
      <c r="C5" s="52"/>
      <c r="AR5" s="180"/>
      <c r="AS5" s="28"/>
      <c r="BH5" s="52"/>
      <c r="BI5" s="52"/>
      <c r="BJ5" s="52"/>
      <c r="BL5" s="28"/>
      <c r="BO5" s="28"/>
      <c r="BQ5" s="52"/>
      <c r="BR5" s="52"/>
      <c r="BS5" s="52"/>
      <c r="BT5" s="189"/>
      <c r="BU5" s="28"/>
      <c r="BV5" s="143"/>
      <c r="BW5" s="99"/>
      <c r="CF5" s="209" t="s">
        <v>232</v>
      </c>
      <c r="CG5" s="112">
        <f>CG4/(CG2+CG4+CG6)</f>
        <v>0</v>
      </c>
      <c r="CH5" s="112">
        <f>CH4/(CH2+CH4+CH6)</f>
        <v>0.97499999999999998</v>
      </c>
      <c r="CI5" s="99"/>
      <c r="CJ5" s="99"/>
      <c r="CL5" s="99"/>
      <c r="CR5" s="143"/>
      <c r="CS5" s="209" t="s">
        <v>232</v>
      </c>
      <c r="CT5" s="112">
        <f>CT4/(CT2+CT4+CT6)</f>
        <v>0</v>
      </c>
      <c r="CU5" s="112">
        <f>CU4/(CU2+CU4+CU6)</f>
        <v>0.9</v>
      </c>
      <c r="CV5" s="99"/>
      <c r="CW5" s="99"/>
    </row>
    <row r="6" spans="1:102" s="6" customFormat="1" ht="18" hidden="1" customHeight="1" outlineLevel="1">
      <c r="A6" s="52"/>
      <c r="B6" s="197"/>
      <c r="C6" s="52"/>
      <c r="AR6" s="180"/>
      <c r="AS6" s="28"/>
      <c r="BH6" s="52"/>
      <c r="BI6" s="52"/>
      <c r="BJ6" s="52"/>
      <c r="BL6" s="28"/>
      <c r="BO6" s="28"/>
      <c r="BQ6" s="52"/>
      <c r="BR6" s="52"/>
      <c r="BS6" s="52"/>
      <c r="BT6" s="189"/>
      <c r="BU6" s="28"/>
      <c r="BV6" s="143"/>
      <c r="BW6" s="99"/>
      <c r="CF6" s="210" t="s">
        <v>511</v>
      </c>
      <c r="CG6" s="111">
        <f>COUNTBLANK(CG14:CG81)</f>
        <v>0</v>
      </c>
      <c r="CH6" s="111">
        <f>COUNTBLANK(CH14:CH93)</f>
        <v>0</v>
      </c>
      <c r="CI6" s="99"/>
      <c r="CJ6" s="99"/>
      <c r="CL6" s="99"/>
      <c r="CR6" s="143"/>
      <c r="CS6" s="210" t="s">
        <v>511</v>
      </c>
      <c r="CT6" s="111">
        <f>COUNTBLANK(CT14:CT81)</f>
        <v>0</v>
      </c>
      <c r="CU6" s="111">
        <f>COUNTBLANK(CU14:CU93)</f>
        <v>0</v>
      </c>
      <c r="CV6" s="99"/>
      <c r="CW6" s="99"/>
    </row>
    <row r="7" spans="1:102" s="6" customFormat="1" ht="18" hidden="1" customHeight="1" outlineLevel="1">
      <c r="A7" s="52"/>
      <c r="B7" s="197"/>
      <c r="C7" s="52"/>
      <c r="AR7" s="180"/>
      <c r="AS7" s="28"/>
      <c r="BH7" s="52"/>
      <c r="BI7" s="52"/>
      <c r="BJ7" s="52"/>
      <c r="BL7" s="28"/>
      <c r="BO7" s="28"/>
      <c r="BQ7" s="52"/>
      <c r="BR7" s="52"/>
      <c r="BS7" s="52"/>
      <c r="BT7" s="189"/>
      <c r="BU7" s="28"/>
      <c r="BV7" s="143"/>
      <c r="BW7" s="99"/>
      <c r="CF7" s="210" t="s">
        <v>512</v>
      </c>
      <c r="CG7" s="113">
        <f>CG6/SUM(CG6+CG4+CG2)</f>
        <v>0</v>
      </c>
      <c r="CH7" s="113">
        <f>CH6/SUM(CH6+CH4+CH2)</f>
        <v>0</v>
      </c>
      <c r="CI7" s="99"/>
      <c r="CJ7" s="99"/>
      <c r="CL7" s="99"/>
      <c r="CR7" s="143"/>
      <c r="CS7" s="210" t="s">
        <v>512</v>
      </c>
      <c r="CT7" s="113">
        <f>CT6/SUM(CT6+CT4+CT2)</f>
        <v>0</v>
      </c>
      <c r="CU7" s="113">
        <f>CU6/SUM(CU6+CU4+CU2)</f>
        <v>0</v>
      </c>
      <c r="CV7" s="99"/>
      <c r="CW7" s="99"/>
    </row>
    <row r="8" spans="1:102" s="6" customFormat="1" ht="18" hidden="1" customHeight="1" outlineLevel="1">
      <c r="A8" s="52"/>
      <c r="B8" s="197"/>
      <c r="C8" s="52"/>
      <c r="AR8" s="180"/>
      <c r="AS8" s="28"/>
      <c r="BH8" s="52"/>
      <c r="BI8" s="52"/>
      <c r="BJ8" s="52"/>
      <c r="BL8" s="28"/>
      <c r="BO8" s="28"/>
      <c r="BQ8" s="52"/>
      <c r="BR8" s="52"/>
      <c r="BS8" s="52"/>
      <c r="BT8" s="189"/>
      <c r="BU8" s="28"/>
      <c r="BV8" s="143"/>
      <c r="BW8" s="99"/>
      <c r="CF8" s="210" t="s">
        <v>578</v>
      </c>
      <c r="CG8" s="114">
        <f>SUM(CG2+CG4+CG6)</f>
        <v>6</v>
      </c>
      <c r="CH8" s="114">
        <f>SUM(CH2+CH4+CH6)</f>
        <v>80</v>
      </c>
      <c r="CI8" s="99"/>
      <c r="CJ8" s="99"/>
      <c r="CL8" s="99"/>
      <c r="CR8" s="143"/>
      <c r="CS8" s="210" t="s">
        <v>578</v>
      </c>
      <c r="CT8" s="114">
        <f>SUM(CT2+CT4+CT6)</f>
        <v>8</v>
      </c>
      <c r="CU8" s="114">
        <f>SUM(CU2+CU4+CU6)</f>
        <v>80</v>
      </c>
      <c r="CV8" s="99"/>
      <c r="CW8" s="99"/>
    </row>
    <row r="9" spans="1:102" s="6" customFormat="1" ht="18" hidden="1" customHeight="1" outlineLevel="1">
      <c r="A9" s="52"/>
      <c r="B9" s="197"/>
      <c r="C9" s="52"/>
      <c r="AR9" s="180"/>
      <c r="AS9" s="28"/>
      <c r="BH9" s="52"/>
      <c r="BI9" s="52"/>
      <c r="BJ9" s="52"/>
      <c r="BL9" s="28"/>
      <c r="BM9" s="28"/>
      <c r="BN9" s="28"/>
      <c r="BO9" s="28"/>
      <c r="BQ9" s="52"/>
      <c r="BR9" s="52"/>
      <c r="BS9" s="52"/>
      <c r="BT9" s="189"/>
      <c r="BU9" s="28"/>
      <c r="BV9" s="143"/>
      <c r="BW9" s="99"/>
      <c r="CF9" s="211" t="s">
        <v>829</v>
      </c>
      <c r="CG9" s="156" t="e">
        <f>SUM(#REF!)</f>
        <v>#REF!</v>
      </c>
      <c r="CH9" s="155" t="e">
        <f>CG9/COUNT(M14:M93)</f>
        <v>#REF!</v>
      </c>
      <c r="CI9" s="99"/>
      <c r="CJ9" s="99"/>
      <c r="CL9" s="99"/>
      <c r="CR9" s="143"/>
      <c r="CS9" s="211" t="s">
        <v>829</v>
      </c>
      <c r="CT9" s="156" t="e">
        <f>SUM(#REF!)</f>
        <v>#REF!</v>
      </c>
      <c r="CU9" s="155" t="e">
        <f>CT9/COUNT(AB14:AB93)</f>
        <v>#REF!</v>
      </c>
      <c r="CV9" s="99"/>
      <c r="CW9" s="99"/>
    </row>
    <row r="10" spans="1:102" s="6" customFormat="1" ht="18" hidden="1" customHeight="1" outlineLevel="1">
      <c r="A10" s="52"/>
      <c r="B10" s="197"/>
      <c r="C10" s="52"/>
      <c r="AR10" s="180"/>
      <c r="AS10" s="28"/>
      <c r="BH10" s="52"/>
      <c r="BI10" s="52"/>
      <c r="BJ10" s="52"/>
      <c r="BL10" s="28"/>
      <c r="BM10" s="28"/>
      <c r="BN10" s="28"/>
      <c r="BO10" s="28"/>
      <c r="BQ10" s="52"/>
      <c r="BR10" s="52"/>
      <c r="BS10" s="52"/>
      <c r="BT10" s="189"/>
      <c r="BU10" s="28"/>
      <c r="BV10" s="143"/>
      <c r="BW10" s="99"/>
      <c r="CF10" s="212" t="s">
        <v>827</v>
      </c>
      <c r="CG10" s="277">
        <f>COUNTIF(CI$14:CI$225,"FAIL")</f>
        <v>26</v>
      </c>
      <c r="CH10" s="278"/>
      <c r="CI10" s="99"/>
      <c r="CJ10" s="99"/>
      <c r="CL10" s="99"/>
      <c r="CR10" s="143"/>
      <c r="CS10" s="212" t="s">
        <v>827</v>
      </c>
      <c r="CT10" s="277">
        <f>COUNTIF(CV$14:CV$225,"FAIL")</f>
        <v>22</v>
      </c>
      <c r="CU10" s="278"/>
      <c r="CV10" s="99"/>
      <c r="CW10" s="99"/>
    </row>
    <row r="11" spans="1:102" s="29" customFormat="1" ht="24" customHeight="1" collapsed="1">
      <c r="A11" s="331"/>
      <c r="B11" s="332"/>
      <c r="C11" s="332"/>
      <c r="D11" s="332"/>
      <c r="E11" s="333"/>
      <c r="F11" s="313"/>
      <c r="G11" s="314"/>
      <c r="H11" s="314"/>
      <c r="I11" s="314"/>
      <c r="J11" s="314"/>
      <c r="K11" s="314"/>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5"/>
      <c r="BF11" s="84"/>
      <c r="BG11" s="84"/>
      <c r="BH11" s="300" t="s">
        <v>1119</v>
      </c>
      <c r="BI11" s="301"/>
      <c r="BJ11" s="301"/>
      <c r="BK11" s="301"/>
      <c r="BL11" s="301"/>
      <c r="BM11" s="301"/>
      <c r="BN11" s="301"/>
      <c r="BO11" s="301"/>
      <c r="BP11" s="301"/>
      <c r="BQ11" s="301"/>
      <c r="BR11" s="301"/>
      <c r="BS11" s="301"/>
      <c r="BT11" s="301"/>
      <c r="BU11" s="301"/>
      <c r="BV11" s="302"/>
      <c r="BW11" s="279" t="s">
        <v>982</v>
      </c>
      <c r="BX11" s="279" t="s">
        <v>983</v>
      </c>
      <c r="BY11" s="282" t="s">
        <v>985</v>
      </c>
      <c r="BZ11" s="295"/>
      <c r="CA11" s="295"/>
      <c r="CB11" s="295"/>
      <c r="CC11" s="295"/>
      <c r="CD11" s="295"/>
      <c r="CE11" s="295"/>
      <c r="CF11" s="296"/>
      <c r="CG11" s="282" t="s">
        <v>875</v>
      </c>
      <c r="CH11" s="288"/>
      <c r="CI11" s="288"/>
      <c r="CJ11" s="288"/>
      <c r="CK11" s="289"/>
      <c r="CL11" s="279" t="s">
        <v>1120</v>
      </c>
      <c r="CM11" s="279" t="s">
        <v>1063</v>
      </c>
      <c r="CN11" s="282" t="s">
        <v>1064</v>
      </c>
      <c r="CO11" s="283"/>
      <c r="CP11" s="283"/>
      <c r="CQ11" s="283"/>
      <c r="CR11" s="283"/>
      <c r="CS11" s="284"/>
      <c r="CT11" s="282" t="s">
        <v>1065</v>
      </c>
      <c r="CU11" s="288"/>
      <c r="CV11" s="288"/>
      <c r="CW11" s="288"/>
      <c r="CX11" s="289"/>
    </row>
    <row r="12" spans="1:102" s="29" customFormat="1" ht="24" customHeight="1">
      <c r="A12" s="334"/>
      <c r="B12" s="334"/>
      <c r="C12" s="334"/>
      <c r="D12" s="334"/>
      <c r="E12" s="335"/>
      <c r="F12" s="322"/>
      <c r="G12" s="322"/>
      <c r="H12" s="322"/>
      <c r="I12" s="322"/>
      <c r="J12" s="322"/>
      <c r="K12" s="322"/>
      <c r="L12" s="322"/>
      <c r="M12" s="322"/>
      <c r="N12" s="322"/>
      <c r="O12" s="322"/>
      <c r="P12" s="322"/>
      <c r="Q12" s="322"/>
      <c r="R12" s="322"/>
      <c r="S12" s="322"/>
      <c r="T12" s="322"/>
      <c r="U12" s="322"/>
      <c r="V12" s="322"/>
      <c r="W12" s="322"/>
      <c r="X12" s="322"/>
      <c r="Y12" s="322"/>
      <c r="Z12" s="322"/>
      <c r="AA12" s="323" t="s">
        <v>24</v>
      </c>
      <c r="AB12" s="323"/>
      <c r="AC12" s="323"/>
      <c r="AD12" s="324"/>
      <c r="AE12" s="325" t="s">
        <v>47</v>
      </c>
      <c r="AF12" s="326"/>
      <c r="AG12" s="326"/>
      <c r="AH12" s="326"/>
      <c r="AI12" s="326"/>
      <c r="AJ12" s="327"/>
      <c r="AK12" s="328" t="s">
        <v>1</v>
      </c>
      <c r="AL12" s="328"/>
      <c r="AM12" s="329" t="s">
        <v>2</v>
      </c>
      <c r="AN12" s="329"/>
      <c r="AO12" s="329"/>
      <c r="AP12" s="312" t="s">
        <v>3</v>
      </c>
      <c r="AQ12" s="312"/>
      <c r="AR12" s="312"/>
      <c r="AS12" s="312"/>
      <c r="AT12" s="312"/>
      <c r="AU12" s="312"/>
      <c r="AV12" s="316" t="s">
        <v>97</v>
      </c>
      <c r="AW12" s="316"/>
      <c r="AX12" s="320" t="s">
        <v>175</v>
      </c>
      <c r="AY12" s="321"/>
      <c r="AZ12" s="321"/>
      <c r="BA12" s="318"/>
      <c r="BB12" s="319"/>
      <c r="BC12" s="78" t="s">
        <v>309</v>
      </c>
      <c r="BD12" s="85"/>
      <c r="BE12" s="317" t="s">
        <v>4</v>
      </c>
      <c r="BF12" s="318"/>
      <c r="BG12" s="319"/>
      <c r="BH12" s="303"/>
      <c r="BI12" s="304"/>
      <c r="BJ12" s="304"/>
      <c r="BK12" s="304"/>
      <c r="BL12" s="304"/>
      <c r="BM12" s="304"/>
      <c r="BN12" s="304"/>
      <c r="BO12" s="304"/>
      <c r="BP12" s="304"/>
      <c r="BQ12" s="304"/>
      <c r="BR12" s="304"/>
      <c r="BS12" s="304"/>
      <c r="BT12" s="304"/>
      <c r="BU12" s="304"/>
      <c r="BV12" s="305"/>
      <c r="BW12" s="280"/>
      <c r="BX12" s="280"/>
      <c r="BY12" s="297"/>
      <c r="BZ12" s="298"/>
      <c r="CA12" s="298"/>
      <c r="CB12" s="298"/>
      <c r="CC12" s="298"/>
      <c r="CD12" s="298"/>
      <c r="CE12" s="298"/>
      <c r="CF12" s="299"/>
      <c r="CG12" s="290"/>
      <c r="CH12" s="291"/>
      <c r="CI12" s="291"/>
      <c r="CJ12" s="291"/>
      <c r="CK12" s="292"/>
      <c r="CL12" s="280"/>
      <c r="CM12" s="280"/>
      <c r="CN12" s="285"/>
      <c r="CO12" s="286"/>
      <c r="CP12" s="286"/>
      <c r="CQ12" s="286"/>
      <c r="CR12" s="286"/>
      <c r="CS12" s="287"/>
      <c r="CT12" s="290"/>
      <c r="CU12" s="291"/>
      <c r="CV12" s="291"/>
      <c r="CW12" s="291"/>
      <c r="CX12" s="292"/>
    </row>
    <row r="13" spans="1:102" s="48" customFormat="1" ht="49.5" customHeight="1">
      <c r="A13" s="54" t="s">
        <v>519</v>
      </c>
      <c r="B13" s="15" t="s">
        <v>918</v>
      </c>
      <c r="C13" s="74" t="s">
        <v>1024</v>
      </c>
      <c r="D13" s="42" t="s">
        <v>522</v>
      </c>
      <c r="E13" s="42" t="s">
        <v>5</v>
      </c>
      <c r="F13" s="42" t="s">
        <v>6</v>
      </c>
      <c r="G13" s="42" t="s">
        <v>7</v>
      </c>
      <c r="H13" s="42" t="s">
        <v>8</v>
      </c>
      <c r="I13" s="42" t="s">
        <v>9</v>
      </c>
      <c r="J13" s="42" t="s">
        <v>233</v>
      </c>
      <c r="K13" s="42" t="s">
        <v>118</v>
      </c>
      <c r="L13" s="42" t="s">
        <v>308</v>
      </c>
      <c r="M13" s="42" t="s">
        <v>10</v>
      </c>
      <c r="N13" s="42" t="s">
        <v>11</v>
      </c>
      <c r="O13" s="42" t="s">
        <v>12</v>
      </c>
      <c r="P13" s="139" t="s">
        <v>13</v>
      </c>
      <c r="Q13" s="42" t="s">
        <v>14</v>
      </c>
      <c r="R13" s="42" t="s">
        <v>15</v>
      </c>
      <c r="S13" s="42" t="s">
        <v>16</v>
      </c>
      <c r="T13" s="42" t="s">
        <v>17</v>
      </c>
      <c r="U13" s="42" t="s">
        <v>18</v>
      </c>
      <c r="V13" s="42" t="s">
        <v>19</v>
      </c>
      <c r="W13" s="42" t="s">
        <v>20</v>
      </c>
      <c r="X13" s="42" t="s">
        <v>21</v>
      </c>
      <c r="Y13" s="42" t="s">
        <v>22</v>
      </c>
      <c r="Z13" s="42" t="s">
        <v>23</v>
      </c>
      <c r="AA13" s="42" t="s">
        <v>119</v>
      </c>
      <c r="AB13" s="42" t="s">
        <v>120</v>
      </c>
      <c r="AC13" s="83" t="s">
        <v>121</v>
      </c>
      <c r="AD13" s="42" t="s">
        <v>122</v>
      </c>
      <c r="AE13" s="41" t="s">
        <v>123</v>
      </c>
      <c r="AF13" s="42" t="s">
        <v>124</v>
      </c>
      <c r="AG13" s="42" t="s">
        <v>125</v>
      </c>
      <c r="AH13" s="42" t="s">
        <v>126</v>
      </c>
      <c r="AI13" s="42" t="s">
        <v>127</v>
      </c>
      <c r="AJ13" s="41" t="s">
        <v>128</v>
      </c>
      <c r="AK13" s="42" t="s">
        <v>25</v>
      </c>
      <c r="AL13" s="42" t="s">
        <v>26</v>
      </c>
      <c r="AM13" s="42" t="s">
        <v>27</v>
      </c>
      <c r="AN13" s="42" t="s">
        <v>28</v>
      </c>
      <c r="AO13" s="42" t="s">
        <v>29</v>
      </c>
      <c r="AP13" s="42" t="s">
        <v>30</v>
      </c>
      <c r="AQ13" s="74" t="s">
        <v>491</v>
      </c>
      <c r="AR13" s="181" t="s">
        <v>833</v>
      </c>
      <c r="AS13" s="56" t="s">
        <v>834</v>
      </c>
      <c r="AT13" s="42" t="s">
        <v>372</v>
      </c>
      <c r="AU13" s="42" t="s">
        <v>373</v>
      </c>
      <c r="AV13" s="42" t="s">
        <v>31</v>
      </c>
      <c r="AW13" s="42" t="s">
        <v>32</v>
      </c>
      <c r="AX13" s="42" t="s">
        <v>33</v>
      </c>
      <c r="AY13" s="42" t="s">
        <v>34</v>
      </c>
      <c r="AZ13" s="42" t="s">
        <v>35</v>
      </c>
      <c r="BA13" s="42" t="s">
        <v>374</v>
      </c>
      <c r="BB13" s="42" t="s">
        <v>375</v>
      </c>
      <c r="BC13" s="42" t="s">
        <v>334</v>
      </c>
      <c r="BD13" s="42" t="s">
        <v>176</v>
      </c>
      <c r="BE13" s="42" t="s">
        <v>36</v>
      </c>
      <c r="BF13" s="42" t="s">
        <v>37</v>
      </c>
      <c r="BG13" s="42" t="s">
        <v>38</v>
      </c>
      <c r="BH13" s="54" t="s">
        <v>873</v>
      </c>
      <c r="BI13" s="54" t="s">
        <v>488</v>
      </c>
      <c r="BJ13" s="54" t="s">
        <v>487</v>
      </c>
      <c r="BK13" s="43" t="s">
        <v>282</v>
      </c>
      <c r="BL13" s="42" t="s">
        <v>300</v>
      </c>
      <c r="BM13" s="103" t="s">
        <v>567</v>
      </c>
      <c r="BN13" s="103" t="s">
        <v>568</v>
      </c>
      <c r="BO13" s="103" t="s">
        <v>569</v>
      </c>
      <c r="BP13" s="120" t="s">
        <v>590</v>
      </c>
      <c r="BQ13" s="140" t="s">
        <v>987</v>
      </c>
      <c r="BR13" s="140" t="s">
        <v>806</v>
      </c>
      <c r="BS13" s="140" t="s">
        <v>878</v>
      </c>
      <c r="BT13" s="190" t="s">
        <v>520</v>
      </c>
      <c r="BU13" s="147" t="s">
        <v>822</v>
      </c>
      <c r="BV13" s="129" t="s">
        <v>597</v>
      </c>
      <c r="BW13" s="281"/>
      <c r="BX13" s="281"/>
      <c r="BY13" s="199" t="s">
        <v>876</v>
      </c>
      <c r="BZ13" s="199" t="s">
        <v>607</v>
      </c>
      <c r="CA13" s="199" t="s">
        <v>877</v>
      </c>
      <c r="CB13" s="199" t="s">
        <v>1016</v>
      </c>
      <c r="CC13" s="199" t="s">
        <v>979</v>
      </c>
      <c r="CD13" s="199" t="s">
        <v>980</v>
      </c>
      <c r="CE13" s="199" t="s">
        <v>520</v>
      </c>
      <c r="CF13" s="227" t="s">
        <v>981</v>
      </c>
      <c r="CG13" s="42" t="s">
        <v>879</v>
      </c>
      <c r="CH13" s="88" t="s">
        <v>830</v>
      </c>
      <c r="CI13" s="195" t="s">
        <v>828</v>
      </c>
      <c r="CJ13" s="195" t="s">
        <v>832</v>
      </c>
      <c r="CK13" s="215" t="s">
        <v>991</v>
      </c>
      <c r="CL13" s="281"/>
      <c r="CM13" s="281"/>
      <c r="CN13" s="199" t="s">
        <v>1016</v>
      </c>
      <c r="CO13" s="199" t="s">
        <v>979</v>
      </c>
      <c r="CP13" s="199" t="s">
        <v>1020</v>
      </c>
      <c r="CQ13" s="199" t="s">
        <v>980</v>
      </c>
      <c r="CR13" s="240" t="s">
        <v>520</v>
      </c>
      <c r="CS13" s="235" t="s">
        <v>981</v>
      </c>
      <c r="CT13" s="42" t="s">
        <v>879</v>
      </c>
      <c r="CU13" s="88" t="s">
        <v>830</v>
      </c>
      <c r="CV13" s="195" t="s">
        <v>828</v>
      </c>
      <c r="CW13" s="195" t="s">
        <v>832</v>
      </c>
      <c r="CX13" s="215" t="s">
        <v>1095</v>
      </c>
    </row>
    <row r="14" spans="1:102" ht="105" customHeight="1">
      <c r="A14" s="310">
        <v>1</v>
      </c>
      <c r="B14" s="198">
        <v>1</v>
      </c>
      <c r="C14" s="218" t="s">
        <v>1025</v>
      </c>
      <c r="D14" s="308" t="s">
        <v>211</v>
      </c>
      <c r="E14" s="308" t="s">
        <v>307</v>
      </c>
      <c r="F14" s="50" t="s">
        <v>181</v>
      </c>
      <c r="G14" s="50" t="s">
        <v>418</v>
      </c>
      <c r="H14" s="50" t="s">
        <v>419</v>
      </c>
      <c r="I14" s="50" t="s">
        <v>178</v>
      </c>
      <c r="J14" s="50" t="s">
        <v>178</v>
      </c>
      <c r="K14" s="50" t="s">
        <v>70</v>
      </c>
      <c r="L14" s="50" t="s">
        <v>380</v>
      </c>
      <c r="M14" s="50" t="s">
        <v>48</v>
      </c>
      <c r="N14" s="50" t="s">
        <v>40</v>
      </c>
      <c r="O14" s="50" t="s">
        <v>41</v>
      </c>
      <c r="P14" s="131" t="s">
        <v>42</v>
      </c>
      <c r="Q14" s="50" t="s">
        <v>43</v>
      </c>
      <c r="R14" s="50" t="s">
        <v>42</v>
      </c>
      <c r="S14" s="50" t="s">
        <v>44</v>
      </c>
      <c r="T14" s="50">
        <v>554447762</v>
      </c>
      <c r="U14" s="50" t="s">
        <v>45</v>
      </c>
      <c r="V14" s="50" t="s">
        <v>53</v>
      </c>
      <c r="W14" s="50" t="s">
        <v>180</v>
      </c>
      <c r="X14" s="50" t="s">
        <v>62</v>
      </c>
      <c r="Y14" s="50">
        <v>20002</v>
      </c>
      <c r="Z14" s="50" t="s">
        <v>42</v>
      </c>
      <c r="AA14" s="50" t="s">
        <v>43</v>
      </c>
      <c r="AB14" s="50" t="s">
        <v>42</v>
      </c>
      <c r="AC14" s="50" t="s">
        <v>42</v>
      </c>
      <c r="AD14" s="50" t="s">
        <v>42</v>
      </c>
      <c r="AE14" s="50" t="s">
        <v>42</v>
      </c>
      <c r="AF14" s="50" t="s">
        <v>42</v>
      </c>
      <c r="AG14" s="50" t="s">
        <v>42</v>
      </c>
      <c r="AH14" s="50" t="s">
        <v>42</v>
      </c>
      <c r="AI14" s="50" t="s">
        <v>42</v>
      </c>
      <c r="AJ14" s="50" t="s">
        <v>42</v>
      </c>
      <c r="AK14" s="50" t="s">
        <v>182</v>
      </c>
      <c r="AL14" s="50" t="s">
        <v>42</v>
      </c>
      <c r="AM14" s="50" t="s">
        <v>46</v>
      </c>
      <c r="AN14" s="50" t="s">
        <v>42</v>
      </c>
      <c r="AO14" s="50" t="s">
        <v>42</v>
      </c>
      <c r="AP14" s="44" t="s">
        <v>273</v>
      </c>
      <c r="AQ14" s="44"/>
      <c r="AR14" s="182">
        <f>20261+15235</f>
        <v>35496</v>
      </c>
      <c r="AS14" s="57">
        <v>2</v>
      </c>
      <c r="AT14" s="46">
        <v>40909</v>
      </c>
      <c r="AU14" s="44"/>
      <c r="AV14" s="50"/>
      <c r="AW14" s="50"/>
      <c r="AX14" s="50" t="s">
        <v>43</v>
      </c>
      <c r="AY14" s="50" t="s">
        <v>72</v>
      </c>
      <c r="AZ14" s="50" t="s">
        <v>43</v>
      </c>
      <c r="BA14" s="50"/>
      <c r="BB14" s="50"/>
      <c r="BC14" s="50" t="s">
        <v>43</v>
      </c>
      <c r="BD14" s="50" t="s">
        <v>42</v>
      </c>
      <c r="BE14" s="50" t="s">
        <v>43</v>
      </c>
      <c r="BF14" s="50" t="s">
        <v>43</v>
      </c>
      <c r="BG14" s="50" t="s">
        <v>43</v>
      </c>
      <c r="BH14" s="76">
        <f ca="1">AR14/INDIRECT("'Formula for FPL-2016'!B"&amp;'24 Core'!AS14)</f>
        <v>2.2157303370786519</v>
      </c>
      <c r="BI14" s="248">
        <f ca="1">AR14/INDIRECT("'Formula for FPL-2015'!B"&amp;'24 Core'!AS14)</f>
        <v>2.2282485875706213</v>
      </c>
      <c r="BJ14" s="76">
        <f ca="1">AR14/INDIRECT("'Formula for FPL-2014'!B"&amp;'24 Core'!AS14)</f>
        <v>2.2565797838525112</v>
      </c>
      <c r="BK14" s="47">
        <v>225.66</v>
      </c>
      <c r="BL14" s="50">
        <v>228.86</v>
      </c>
      <c r="BM14" s="105"/>
      <c r="BN14" s="105"/>
      <c r="BO14" s="106"/>
      <c r="BP14" s="55" t="s">
        <v>168</v>
      </c>
      <c r="BQ14" s="80" t="s">
        <v>510</v>
      </c>
      <c r="BR14" s="202" t="s">
        <v>509</v>
      </c>
      <c r="BS14" s="202" t="s">
        <v>509</v>
      </c>
      <c r="BT14" s="191">
        <f>AR14</f>
        <v>35496</v>
      </c>
      <c r="BU14" s="148">
        <f>AS14</f>
        <v>2</v>
      </c>
      <c r="BV14" s="126">
        <v>2.2282485875706213</v>
      </c>
      <c r="BW14" s="266"/>
      <c r="BX14" s="168" t="s">
        <v>984</v>
      </c>
      <c r="BY14" s="168"/>
      <c r="BZ14" s="168"/>
      <c r="CA14" s="168"/>
      <c r="CB14" s="200" t="s">
        <v>992</v>
      </c>
      <c r="CC14" s="168" t="s">
        <v>988</v>
      </c>
      <c r="CD14" s="168">
        <v>2</v>
      </c>
      <c r="CE14" s="168">
        <v>35000</v>
      </c>
      <c r="CF14" s="228">
        <v>2.1848000000000001</v>
      </c>
      <c r="CG14" s="142" t="str">
        <f t="shared" ref="CG14:CG45" si="0">IF(CC14="medicaid",IF(AND(BQ14="Y",BR14="N",BS14="N"),"PASS","FAIL"),IF(CC14="aptc",IF(AND(BQ14="N",BR14="Y",BS14="N"),"PASS","FAIL"),IF(CC14="aptc+csr",IF(AND(BQ14="N",BR14="Y",BS14="Y"),"PASS","FAIL"),IF(CC14="n/a",IF(BQ14="NA","PASS","FAIL"),IF(CC14="unassisted",IF(AND(BQ14="N",BR14="N",BS14="N"),"PASS","FAIL"),"BLANK")))))</f>
        <v>PASS</v>
      </c>
      <c r="CH14" s="142" t="str">
        <f>IF(ISNUMBER(CF14),
      IF(EXACT(
           ROUND(BV14,3),
           $CF14),
      "PASS","FAIL"),
    IF(AND(BV14="NA",CF14="n/a"),"PASS","FAIL")
)</f>
        <v>FAIL</v>
      </c>
      <c r="CI14" s="268" t="str">
        <f>IF(COUNTIF(CG14:CH15, "FAIL")=0,"PASS","FAIL")</f>
        <v>FAIL</v>
      </c>
      <c r="CJ14" s="157"/>
      <c r="CK14" s="216"/>
      <c r="CL14" s="266">
        <v>1</v>
      </c>
      <c r="CM14" s="220"/>
      <c r="CN14" s="220" t="s">
        <v>1100</v>
      </c>
      <c r="CO14" s="220" t="s">
        <v>988</v>
      </c>
      <c r="CP14" s="220" t="s">
        <v>1099</v>
      </c>
      <c r="CQ14" s="220">
        <v>2</v>
      </c>
      <c r="CR14" s="241">
        <v>35496.44</v>
      </c>
      <c r="CS14" s="125">
        <v>2.2282999999999999</v>
      </c>
      <c r="CT14" s="142" t="str">
        <f t="shared" ref="CT14:CT36" si="1">IF(CO14="medicaid",IF(AND(BQ14="Y",BR14="N",BS14="N"),"PASS","FAIL"),IF(CO14="aptc",IF(AND(BQ14="N",BR14="Y",BS14="N"),"PASS","FAIL"),IF(CO14="aptc+csr",IF(AND(BQ14="N",BR14="Y",BS14="Y"),"PASS","FAIL"),IF(CO14="n/a",IF(BQ14="NA","PASS","FAIL"),IF(CO14="unassisted",IF(AND(BQ14="N",BR14="N",BS14="N"),"PASS","FAIL"),"BLANK")))))</f>
        <v>PASS</v>
      </c>
      <c r="CU14" s="142" t="str">
        <f t="shared" ref="CU14:CU21" si="2">IF(ISNUMBER(CS14),
      IF(EXACT(
           ROUND(BV14,2),
           ROUND($CS14,2)),
      "PASS","FAIL"),
    IF(AND(BV14="NA",CS14="n/a"),"PASS","FAIL")
)</f>
        <v>PASS</v>
      </c>
      <c r="CV14" s="268" t="str">
        <f>IF(COUNTIF(CT14:CU15, "FAIL")=0,"PASS","FAIL")</f>
        <v>PASS</v>
      </c>
      <c r="CW14" s="157"/>
      <c r="CX14" s="216" t="s">
        <v>1103</v>
      </c>
    </row>
    <row r="15" spans="1:102" ht="72.75" customHeight="1">
      <c r="A15" s="311"/>
      <c r="B15" s="198">
        <v>2</v>
      </c>
      <c r="C15" s="219"/>
      <c r="D15" s="308"/>
      <c r="E15" s="308"/>
      <c r="F15" s="50" t="s">
        <v>183</v>
      </c>
      <c r="G15" s="50" t="s">
        <v>420</v>
      </c>
      <c r="H15" s="50" t="s">
        <v>419</v>
      </c>
      <c r="I15" s="50" t="s">
        <v>184</v>
      </c>
      <c r="J15" s="50" t="s">
        <v>184</v>
      </c>
      <c r="K15" s="50" t="s">
        <v>73</v>
      </c>
      <c r="L15" s="50" t="s">
        <v>381</v>
      </c>
      <c r="M15" s="50" t="s">
        <v>48</v>
      </c>
      <c r="N15" s="50" t="s">
        <v>40</v>
      </c>
      <c r="O15" s="50" t="s">
        <v>43</v>
      </c>
      <c r="P15" s="131" t="s">
        <v>42</v>
      </c>
      <c r="Q15" s="50" t="s">
        <v>43</v>
      </c>
      <c r="R15" s="50" t="s">
        <v>43</v>
      </c>
      <c r="S15" s="50" t="s">
        <v>44</v>
      </c>
      <c r="T15" s="50">
        <v>554447763</v>
      </c>
      <c r="U15" s="50" t="s">
        <v>45</v>
      </c>
      <c r="V15" s="50" t="s">
        <v>185</v>
      </c>
      <c r="W15" s="50" t="s">
        <v>186</v>
      </c>
      <c r="X15" s="50" t="s">
        <v>187</v>
      </c>
      <c r="Y15" s="50">
        <v>28722</v>
      </c>
      <c r="Z15" s="50" t="s">
        <v>42</v>
      </c>
      <c r="AA15" s="50" t="s">
        <v>43</v>
      </c>
      <c r="AB15" s="50" t="s">
        <v>42</v>
      </c>
      <c r="AC15" s="50" t="s">
        <v>42</v>
      </c>
      <c r="AD15" s="50" t="s">
        <v>42</v>
      </c>
      <c r="AE15" s="50" t="s">
        <v>42</v>
      </c>
      <c r="AF15" s="50" t="s">
        <v>42</v>
      </c>
      <c r="AG15" s="50" t="s">
        <v>42</v>
      </c>
      <c r="AH15" s="50" t="s">
        <v>42</v>
      </c>
      <c r="AI15" s="50" t="s">
        <v>42</v>
      </c>
      <c r="AJ15" s="50" t="s">
        <v>42</v>
      </c>
      <c r="AK15" s="50" t="s">
        <v>42</v>
      </c>
      <c r="AL15" s="50" t="s">
        <v>42</v>
      </c>
      <c r="AM15" s="50" t="s">
        <v>58</v>
      </c>
      <c r="AN15" s="50" t="s">
        <v>42</v>
      </c>
      <c r="AO15" s="50" t="s">
        <v>181</v>
      </c>
      <c r="AP15" s="50" t="s">
        <v>274</v>
      </c>
      <c r="AQ15" s="115"/>
      <c r="AR15" s="182">
        <v>15234.98</v>
      </c>
      <c r="AS15" s="57">
        <v>1</v>
      </c>
      <c r="AT15" s="46">
        <v>40909</v>
      </c>
      <c r="AU15" s="50"/>
      <c r="AV15" s="50"/>
      <c r="AW15" s="50"/>
      <c r="AX15" s="50" t="s">
        <v>43</v>
      </c>
      <c r="AY15" s="50" t="s">
        <v>72</v>
      </c>
      <c r="AZ15" s="50" t="s">
        <v>98</v>
      </c>
      <c r="BA15" s="46">
        <v>41640</v>
      </c>
      <c r="BB15" s="50"/>
      <c r="BC15" s="50" t="s">
        <v>43</v>
      </c>
      <c r="BD15" s="50" t="s">
        <v>42</v>
      </c>
      <c r="BE15" s="50" t="s">
        <v>41</v>
      </c>
      <c r="BF15" s="50" t="s">
        <v>43</v>
      </c>
      <c r="BG15" s="50" t="s">
        <v>43</v>
      </c>
      <c r="BH15" s="76">
        <f ca="1">AR15/INDIRECT("'Formula for FPL-2016'!B"&amp;'24 Core'!AS15)</f>
        <v>1.2824057239057238</v>
      </c>
      <c r="BI15" s="76">
        <f ca="1">AR15/INDIRECT("'Formula for FPL-2015'!B"&amp;'24 Core'!AS15)</f>
        <v>1.2943908241291417</v>
      </c>
      <c r="BJ15" s="76">
        <f ca="1">AR15/INDIRECT("'Formula for FPL-2014'!B"&amp;'24 Core'!AS15)</f>
        <v>1.3054824335904027</v>
      </c>
      <c r="BK15" s="50" t="s">
        <v>42</v>
      </c>
      <c r="BL15" s="50" t="s">
        <v>42</v>
      </c>
      <c r="BM15" s="105"/>
      <c r="BN15" s="105"/>
      <c r="BO15" s="106"/>
      <c r="BP15" s="89" t="s">
        <v>106</v>
      </c>
      <c r="BQ15" s="80" t="s">
        <v>259</v>
      </c>
      <c r="BR15" s="80" t="s">
        <v>259</v>
      </c>
      <c r="BS15" s="80" t="s">
        <v>259</v>
      </c>
      <c r="BT15" s="191" t="s">
        <v>259</v>
      </c>
      <c r="BU15" s="148" t="s">
        <v>259</v>
      </c>
      <c r="BV15" s="125" t="s">
        <v>259</v>
      </c>
      <c r="BW15" s="293"/>
      <c r="BX15" s="168"/>
      <c r="BY15" s="168"/>
      <c r="BZ15" s="168"/>
      <c r="CA15" s="168"/>
      <c r="CB15" s="200"/>
      <c r="CC15" s="200" t="s">
        <v>42</v>
      </c>
      <c r="CD15" s="168" t="s">
        <v>42</v>
      </c>
      <c r="CE15" s="168" t="s">
        <v>42</v>
      </c>
      <c r="CF15" s="125" t="s">
        <v>42</v>
      </c>
      <c r="CG15" s="142" t="str">
        <f t="shared" si="0"/>
        <v>PASS</v>
      </c>
      <c r="CH15" s="142" t="str">
        <f>IF(ISNUMBER(CF15),
      IF(EXACT(
           (ROUND(BV15,2)*100),
           $CF15),
      "PASS","FAIL"),
    IF(AND(BV15="NA",CF15="n/a"),"PASS","FAIL")
)</f>
        <v>PASS</v>
      </c>
      <c r="CI15" s="269"/>
      <c r="CJ15" s="157"/>
      <c r="CK15" s="216"/>
      <c r="CL15" s="293"/>
      <c r="CM15" s="220"/>
      <c r="CN15" s="220" t="s">
        <v>1101</v>
      </c>
      <c r="CO15" s="220" t="s">
        <v>42</v>
      </c>
      <c r="CP15" s="220" t="s">
        <v>42</v>
      </c>
      <c r="CQ15" s="220" t="s">
        <v>42</v>
      </c>
      <c r="CR15" s="241" t="s">
        <v>42</v>
      </c>
      <c r="CS15" s="125" t="s">
        <v>42</v>
      </c>
      <c r="CT15" s="142" t="str">
        <f t="shared" si="1"/>
        <v>PASS</v>
      </c>
      <c r="CU15" s="142" t="str">
        <f t="shared" si="2"/>
        <v>PASS</v>
      </c>
      <c r="CV15" s="269"/>
      <c r="CW15" s="157"/>
      <c r="CX15" s="216" t="s">
        <v>1061</v>
      </c>
    </row>
    <row r="16" spans="1:102" ht="52.5" customHeight="1">
      <c r="A16" s="311">
        <v>2</v>
      </c>
      <c r="B16" s="198">
        <v>1</v>
      </c>
      <c r="C16" s="218" t="s">
        <v>1026</v>
      </c>
      <c r="D16" s="309" t="s">
        <v>234</v>
      </c>
      <c r="E16" s="309" t="s">
        <v>336</v>
      </c>
      <c r="F16" s="130" t="s">
        <v>183</v>
      </c>
      <c r="G16" s="130" t="s">
        <v>421</v>
      </c>
      <c r="H16" s="130" t="s">
        <v>422</v>
      </c>
      <c r="I16" s="130" t="s">
        <v>51</v>
      </c>
      <c r="J16" s="130" t="s">
        <v>178</v>
      </c>
      <c r="K16" s="130" t="s">
        <v>70</v>
      </c>
      <c r="L16" s="130" t="s">
        <v>380</v>
      </c>
      <c r="M16" s="130" t="s">
        <v>48</v>
      </c>
      <c r="N16" s="130" t="s">
        <v>40</v>
      </c>
      <c r="O16" s="130" t="s">
        <v>41</v>
      </c>
      <c r="P16" s="131" t="s">
        <v>42</v>
      </c>
      <c r="Q16" s="130" t="s">
        <v>43</v>
      </c>
      <c r="R16" s="130" t="s">
        <v>42</v>
      </c>
      <c r="S16" s="130" t="s">
        <v>44</v>
      </c>
      <c r="T16" s="130">
        <v>554447764</v>
      </c>
      <c r="U16" s="130" t="s">
        <v>45</v>
      </c>
      <c r="V16" s="130" t="s">
        <v>53</v>
      </c>
      <c r="W16" s="130" t="s">
        <v>180</v>
      </c>
      <c r="X16" s="130" t="s">
        <v>62</v>
      </c>
      <c r="Y16" s="130">
        <v>20002</v>
      </c>
      <c r="Z16" s="130" t="s">
        <v>42</v>
      </c>
      <c r="AA16" s="130" t="s">
        <v>43</v>
      </c>
      <c r="AB16" s="130" t="s">
        <v>42</v>
      </c>
      <c r="AC16" s="130" t="s">
        <v>42</v>
      </c>
      <c r="AD16" s="130" t="s">
        <v>42</v>
      </c>
      <c r="AE16" s="130" t="s">
        <v>42</v>
      </c>
      <c r="AF16" s="130" t="s">
        <v>42</v>
      </c>
      <c r="AG16" s="130" t="s">
        <v>42</v>
      </c>
      <c r="AH16" s="130" t="s">
        <v>42</v>
      </c>
      <c r="AI16" s="130" t="s">
        <v>42</v>
      </c>
      <c r="AJ16" s="130" t="s">
        <v>42</v>
      </c>
      <c r="AK16" s="130" t="s">
        <v>69</v>
      </c>
      <c r="AL16" s="130" t="s">
        <v>42</v>
      </c>
      <c r="AM16" s="130" t="s">
        <v>46</v>
      </c>
      <c r="AN16" s="130" t="s">
        <v>42</v>
      </c>
      <c r="AO16" s="130" t="s">
        <v>42</v>
      </c>
      <c r="AP16" s="130" t="s">
        <v>275</v>
      </c>
      <c r="AQ16" s="130"/>
      <c r="AR16" s="183">
        <v>35496.449999999997</v>
      </c>
      <c r="AS16" s="133">
        <v>2</v>
      </c>
      <c r="AT16" s="134">
        <v>40909</v>
      </c>
      <c r="AU16" s="130"/>
      <c r="AV16" s="130"/>
      <c r="AW16" s="130"/>
      <c r="AX16" s="130" t="s">
        <v>43</v>
      </c>
      <c r="AY16" s="130" t="s">
        <v>72</v>
      </c>
      <c r="AZ16" s="130" t="s">
        <v>43</v>
      </c>
      <c r="BA16" s="130"/>
      <c r="BB16" s="130"/>
      <c r="BC16" s="130" t="s">
        <v>43</v>
      </c>
      <c r="BD16" s="130" t="s">
        <v>42</v>
      </c>
      <c r="BE16" s="130" t="s">
        <v>43</v>
      </c>
      <c r="BF16" s="130" t="s">
        <v>43</v>
      </c>
      <c r="BG16" s="130" t="s">
        <v>43</v>
      </c>
      <c r="BH16" s="76">
        <f ca="1">AR16/INDIRECT("'Formula for FPL-2016'!B"&amp;'24 Core'!AS16)</f>
        <v>2.2157584269662918</v>
      </c>
      <c r="BI16" s="248">
        <f ca="1">AR16/INDIRECT("'Formula for FPL-2015'!B"&amp;'24 Core'!AS16)</f>
        <v>2.2282768361581917</v>
      </c>
      <c r="BJ16" s="91">
        <f ca="1">AR16/INDIRECT("'Formula for FPL-2014'!B"&amp;'24 Core'!AS16)</f>
        <v>2.2566083916083914</v>
      </c>
      <c r="BK16" s="135">
        <v>225.66</v>
      </c>
      <c r="BL16" s="50">
        <v>228.86</v>
      </c>
      <c r="BM16" s="105"/>
      <c r="BN16" s="105"/>
      <c r="BO16" s="106"/>
      <c r="BP16" s="55" t="s">
        <v>168</v>
      </c>
      <c r="BQ16" s="80" t="s">
        <v>510</v>
      </c>
      <c r="BR16" s="80" t="s">
        <v>509</v>
      </c>
      <c r="BS16" s="80" t="s">
        <v>509</v>
      </c>
      <c r="BT16" s="186">
        <f>AR16</f>
        <v>35496.449999999997</v>
      </c>
      <c r="BU16" s="149">
        <f>AS16</f>
        <v>2</v>
      </c>
      <c r="BV16" s="126">
        <v>2.2282485875706213</v>
      </c>
      <c r="BW16" s="266"/>
      <c r="BX16" s="169" t="s">
        <v>984</v>
      </c>
      <c r="BY16" s="169"/>
      <c r="BZ16" s="169"/>
      <c r="CA16" s="169"/>
      <c r="CB16" s="201" t="s">
        <v>993</v>
      </c>
      <c r="CC16" s="169" t="s">
        <v>988</v>
      </c>
      <c r="CD16" s="169">
        <v>2</v>
      </c>
      <c r="CE16" s="169">
        <v>35500</v>
      </c>
      <c r="CF16" s="229">
        <v>2.2160000000000002</v>
      </c>
      <c r="CG16" s="142" t="str">
        <f t="shared" si="0"/>
        <v>PASS</v>
      </c>
      <c r="CH16" s="142" t="str">
        <f>IF(ISNUMBER(CF16),
      IF(EXACT(
           ROUND(BV16,3),
           $CF16),
      "PASS","FAIL"),
    IF(AND(BV16="NA",CF16="n/a"),"PASS","FAIL")
)</f>
        <v>FAIL</v>
      </c>
      <c r="CI16" s="268" t="str">
        <f>IF(COUNTIF(CG16:CH17, "FAIL")=0,"PASS","FAIL")</f>
        <v>FAIL</v>
      </c>
      <c r="CJ16" s="157"/>
      <c r="CK16" s="216"/>
      <c r="CL16" s="266">
        <v>1</v>
      </c>
      <c r="CM16" s="223"/>
      <c r="CN16" s="223" t="s">
        <v>1104</v>
      </c>
      <c r="CO16" s="223" t="s">
        <v>988</v>
      </c>
      <c r="CP16" s="223" t="s">
        <v>1105</v>
      </c>
      <c r="CQ16" s="223">
        <v>2</v>
      </c>
      <c r="CR16" s="135">
        <v>35495.449999999997</v>
      </c>
      <c r="CS16" s="124">
        <v>2.2282999999999999</v>
      </c>
      <c r="CT16" s="142" t="str">
        <f t="shared" si="1"/>
        <v>PASS</v>
      </c>
      <c r="CU16" s="142" t="str">
        <f t="shared" si="2"/>
        <v>PASS</v>
      </c>
      <c r="CV16" s="268" t="str">
        <f>IF(COUNTIF(CT16:CU17, "FAIL")=0,"PASS","FAIL")</f>
        <v>PASS</v>
      </c>
      <c r="CW16" s="157"/>
      <c r="CX16" s="216" t="s">
        <v>1062</v>
      </c>
    </row>
    <row r="17" spans="1:102" ht="83.25" customHeight="1">
      <c r="A17" s="311"/>
      <c r="B17" s="198">
        <v>2</v>
      </c>
      <c r="C17" s="219"/>
      <c r="D17" s="309"/>
      <c r="E17" s="309"/>
      <c r="F17" s="130" t="s">
        <v>181</v>
      </c>
      <c r="G17" s="130" t="s">
        <v>423</v>
      </c>
      <c r="H17" s="130" t="s">
        <v>422</v>
      </c>
      <c r="I17" s="130" t="s">
        <v>188</v>
      </c>
      <c r="J17" s="130" t="s">
        <v>188</v>
      </c>
      <c r="K17" s="130" t="s">
        <v>96</v>
      </c>
      <c r="L17" s="130" t="s">
        <v>382</v>
      </c>
      <c r="M17" s="130" t="s">
        <v>48</v>
      </c>
      <c r="N17" s="130" t="s">
        <v>40</v>
      </c>
      <c r="O17" s="130" t="s">
        <v>41</v>
      </c>
      <c r="P17" s="131" t="s">
        <v>42</v>
      </c>
      <c r="Q17" s="130" t="s">
        <v>43</v>
      </c>
      <c r="R17" s="130" t="s">
        <v>41</v>
      </c>
      <c r="S17" s="130" t="s">
        <v>44</v>
      </c>
      <c r="T17" s="130">
        <v>554447765</v>
      </c>
      <c r="U17" s="130" t="s">
        <v>45</v>
      </c>
      <c r="V17" s="130" t="s">
        <v>53</v>
      </c>
      <c r="W17" s="130" t="s">
        <v>180</v>
      </c>
      <c r="X17" s="130" t="s">
        <v>62</v>
      </c>
      <c r="Y17" s="130">
        <v>20002</v>
      </c>
      <c r="Z17" s="130" t="s">
        <v>42</v>
      </c>
      <c r="AA17" s="130" t="s">
        <v>43</v>
      </c>
      <c r="AB17" s="130" t="s">
        <v>42</v>
      </c>
      <c r="AC17" s="130" t="s">
        <v>42</v>
      </c>
      <c r="AD17" s="130" t="s">
        <v>42</v>
      </c>
      <c r="AE17" s="130" t="s">
        <v>43</v>
      </c>
      <c r="AF17" s="130" t="s">
        <v>42</v>
      </c>
      <c r="AG17" s="130" t="s">
        <v>42</v>
      </c>
      <c r="AH17" s="130" t="s">
        <v>42</v>
      </c>
      <c r="AI17" s="130" t="s">
        <v>42</v>
      </c>
      <c r="AJ17" s="130" t="s">
        <v>42</v>
      </c>
      <c r="AK17" s="130" t="s">
        <v>42</v>
      </c>
      <c r="AL17" s="130" t="s">
        <v>42</v>
      </c>
      <c r="AM17" s="130" t="s">
        <v>58</v>
      </c>
      <c r="AN17" s="130" t="s">
        <v>42</v>
      </c>
      <c r="AO17" s="130" t="s">
        <v>183</v>
      </c>
      <c r="AP17" s="130"/>
      <c r="AQ17" s="130"/>
      <c r="AR17" s="183">
        <v>35496.449999999997</v>
      </c>
      <c r="AS17" s="133">
        <v>2</v>
      </c>
      <c r="AT17" s="130"/>
      <c r="AU17" s="130"/>
      <c r="AV17" s="130"/>
      <c r="AW17" s="130"/>
      <c r="AX17" s="130" t="s">
        <v>43</v>
      </c>
      <c r="AY17" s="130" t="s">
        <v>72</v>
      </c>
      <c r="AZ17" s="130" t="s">
        <v>43</v>
      </c>
      <c r="BA17" s="130"/>
      <c r="BB17" s="130"/>
      <c r="BC17" s="130" t="s">
        <v>43</v>
      </c>
      <c r="BD17" s="130" t="s">
        <v>42</v>
      </c>
      <c r="BE17" s="130" t="s">
        <v>43</v>
      </c>
      <c r="BF17" s="130" t="s">
        <v>43</v>
      </c>
      <c r="BG17" s="130" t="s">
        <v>43</v>
      </c>
      <c r="BH17" s="76">
        <f ca="1">AR17/INDIRECT("'Formula for FPL-2016'!B"&amp;'24 Core'!AS17)</f>
        <v>2.2157584269662918</v>
      </c>
      <c r="BI17" s="248">
        <f ca="1">AR17/INDIRECT("'Formula for FPL-2015'!B"&amp;'24 Core'!AS17)</f>
        <v>2.2282768361581917</v>
      </c>
      <c r="BJ17" s="91">
        <f ca="1">AR17/INDIRECT("'Formula for FPL-2014'!B"&amp;'24 Core'!AS17)</f>
        <v>2.2566083916083914</v>
      </c>
      <c r="BK17" s="135">
        <v>225.66</v>
      </c>
      <c r="BL17" s="50">
        <v>228.86</v>
      </c>
      <c r="BM17" s="105"/>
      <c r="BN17" s="105"/>
      <c r="BO17" s="106"/>
      <c r="BP17" s="55" t="s">
        <v>168</v>
      </c>
      <c r="BQ17" s="80" t="s">
        <v>510</v>
      </c>
      <c r="BR17" s="80" t="s">
        <v>509</v>
      </c>
      <c r="BS17" s="80" t="s">
        <v>509</v>
      </c>
      <c r="BT17" s="186">
        <f>AR17</f>
        <v>35496.449999999997</v>
      </c>
      <c r="BU17" s="149">
        <f>AS17</f>
        <v>2</v>
      </c>
      <c r="BV17" s="126">
        <v>2.2282485875706213</v>
      </c>
      <c r="BW17" s="267"/>
      <c r="BX17" s="169" t="s">
        <v>984</v>
      </c>
      <c r="BY17" s="169"/>
      <c r="BZ17" s="169"/>
      <c r="CA17" s="169"/>
      <c r="CB17" s="201"/>
      <c r="CC17" s="204" t="s">
        <v>988</v>
      </c>
      <c r="CD17" s="169">
        <v>2</v>
      </c>
      <c r="CE17" s="169">
        <v>35500</v>
      </c>
      <c r="CF17" s="229">
        <f>ROUND(BV16,3)</f>
        <v>2.2280000000000002</v>
      </c>
      <c r="CG17" s="142" t="str">
        <f t="shared" si="0"/>
        <v>PASS</v>
      </c>
      <c r="CH17" s="142" t="str">
        <f>IF(ISNUMBER(CF17),
      IF(EXACT(
           ROUND(BV17,3),
           $CF17),
      "PASS","FAIL"),
    IF(AND(BV17="NA",CF17="n/a"),"PASS","FAIL")
)</f>
        <v>PASS</v>
      </c>
      <c r="CI17" s="269"/>
      <c r="CJ17" s="157"/>
      <c r="CK17" s="216"/>
      <c r="CL17" s="267"/>
      <c r="CM17" s="223"/>
      <c r="CN17" s="223" t="s">
        <v>1106</v>
      </c>
      <c r="CO17" s="244" t="s">
        <v>988</v>
      </c>
      <c r="CP17" s="244" t="s">
        <v>1105</v>
      </c>
      <c r="CQ17" s="223">
        <v>2</v>
      </c>
      <c r="CR17" s="135">
        <v>35495.449999999997</v>
      </c>
      <c r="CS17" s="124">
        <v>2.2282999999999999</v>
      </c>
      <c r="CT17" s="142" t="str">
        <f t="shared" si="1"/>
        <v>PASS</v>
      </c>
      <c r="CU17" s="142" t="str">
        <f t="shared" si="2"/>
        <v>PASS</v>
      </c>
      <c r="CV17" s="269"/>
      <c r="CW17" s="157"/>
      <c r="CX17" s="216"/>
    </row>
    <row r="18" spans="1:102" ht="128.1" customHeight="1">
      <c r="A18" s="266">
        <v>3</v>
      </c>
      <c r="B18" s="198">
        <v>1</v>
      </c>
      <c r="C18" s="218" t="s">
        <v>1027</v>
      </c>
      <c r="D18" s="330" t="s">
        <v>212</v>
      </c>
      <c r="E18" s="330" t="s">
        <v>335</v>
      </c>
      <c r="F18" s="77" t="s">
        <v>189</v>
      </c>
      <c r="G18" s="77" t="s">
        <v>190</v>
      </c>
      <c r="H18" s="77" t="s">
        <v>424</v>
      </c>
      <c r="I18" s="77" t="s">
        <v>51</v>
      </c>
      <c r="J18" s="77" t="s">
        <v>51</v>
      </c>
      <c r="K18" s="77" t="s">
        <v>67</v>
      </c>
      <c r="L18" s="77" t="s">
        <v>383</v>
      </c>
      <c r="M18" s="77" t="s">
        <v>39</v>
      </c>
      <c r="N18" s="77" t="s">
        <v>40</v>
      </c>
      <c r="O18" s="77" t="s">
        <v>43</v>
      </c>
      <c r="P18" s="131" t="s">
        <v>42</v>
      </c>
      <c r="Q18" s="77" t="s">
        <v>43</v>
      </c>
      <c r="R18" s="77" t="s">
        <v>42</v>
      </c>
      <c r="S18" s="77" t="s">
        <v>66</v>
      </c>
      <c r="T18" s="77" t="s">
        <v>42</v>
      </c>
      <c r="U18" s="77" t="s">
        <v>177</v>
      </c>
      <c r="V18" s="77" t="s">
        <v>53</v>
      </c>
      <c r="W18" s="77" t="s">
        <v>180</v>
      </c>
      <c r="X18" s="77" t="s">
        <v>62</v>
      </c>
      <c r="Y18" s="77">
        <v>20002</v>
      </c>
      <c r="Z18" s="77" t="s">
        <v>42</v>
      </c>
      <c r="AA18" s="77" t="s">
        <v>42</v>
      </c>
      <c r="AB18" s="77" t="s">
        <v>42</v>
      </c>
      <c r="AC18" s="77" t="s">
        <v>42</v>
      </c>
      <c r="AD18" s="77" t="s">
        <v>42</v>
      </c>
      <c r="AE18" s="77" t="s">
        <v>42</v>
      </c>
      <c r="AF18" s="77" t="s">
        <v>42</v>
      </c>
      <c r="AG18" s="77" t="s">
        <v>42</v>
      </c>
      <c r="AH18" s="77" t="s">
        <v>42</v>
      </c>
      <c r="AI18" s="77" t="s">
        <v>42</v>
      </c>
      <c r="AJ18" s="77" t="s">
        <v>42</v>
      </c>
      <c r="AK18" s="77" t="s">
        <v>69</v>
      </c>
      <c r="AL18" s="77" t="s">
        <v>42</v>
      </c>
      <c r="AM18" s="77" t="s">
        <v>49</v>
      </c>
      <c r="AN18" s="77" t="s">
        <v>42</v>
      </c>
      <c r="AO18" s="77" t="s">
        <v>42</v>
      </c>
      <c r="AP18" s="44" t="s">
        <v>276</v>
      </c>
      <c r="AQ18" s="233" t="s">
        <v>1109</v>
      </c>
      <c r="AR18" s="182">
        <v>10141.84</v>
      </c>
      <c r="AS18" s="57">
        <v>2</v>
      </c>
      <c r="AT18" s="46">
        <v>40909</v>
      </c>
      <c r="AU18" s="44"/>
      <c r="AV18" s="77"/>
      <c r="AW18" s="77"/>
      <c r="AX18" s="77" t="s">
        <v>43</v>
      </c>
      <c r="AY18" s="77" t="s">
        <v>72</v>
      </c>
      <c r="AZ18" s="77" t="s">
        <v>43</v>
      </c>
      <c r="BA18" s="77"/>
      <c r="BB18" s="77"/>
      <c r="BC18" s="77" t="s">
        <v>43</v>
      </c>
      <c r="BD18" s="77" t="s">
        <v>42</v>
      </c>
      <c r="BE18" s="77" t="s">
        <v>41</v>
      </c>
      <c r="BF18" s="77" t="s">
        <v>43</v>
      </c>
      <c r="BG18" s="77" t="s">
        <v>43</v>
      </c>
      <c r="BH18" s="76">
        <f ca="1">AR18/INDIRECT("'Formula for FPL-2016'!B"&amp;'24 Core'!AS18)</f>
        <v>0.63307365792759052</v>
      </c>
      <c r="BI18" s="76">
        <f ca="1">AR18/INDIRECT("'Formula for FPL-2015'!B"&amp;'24 Core'!AS18)</f>
        <v>0.63665034526051478</v>
      </c>
      <c r="BJ18" s="76">
        <f ca="1">AR18/INDIRECT("'Formula for FPL-2014'!B"&amp;'24 Core'!AS18)</f>
        <v>0.64474507310870943</v>
      </c>
      <c r="BK18" s="47">
        <v>64.474532559638902</v>
      </c>
      <c r="BL18" s="77" t="s">
        <v>259</v>
      </c>
      <c r="BM18" s="105"/>
      <c r="BN18" s="105"/>
      <c r="BO18" s="106"/>
      <c r="BP18" s="100" t="s">
        <v>106</v>
      </c>
      <c r="BQ18" s="80" t="s">
        <v>259</v>
      </c>
      <c r="BR18" s="80" t="s">
        <v>259</v>
      </c>
      <c r="BS18" s="80" t="s">
        <v>259</v>
      </c>
      <c r="BT18" s="192"/>
      <c r="BU18" s="150"/>
      <c r="BV18" s="107" t="s">
        <v>259</v>
      </c>
      <c r="BW18" s="266"/>
      <c r="BX18" s="170"/>
      <c r="BY18" s="170"/>
      <c r="BZ18" s="170"/>
      <c r="CA18" s="170"/>
      <c r="CB18" s="205" t="s">
        <v>986</v>
      </c>
      <c r="CC18" s="201"/>
      <c r="CD18" s="170"/>
      <c r="CE18" s="170"/>
      <c r="CF18" s="230"/>
      <c r="CG18" s="142" t="str">
        <f t="shared" si="0"/>
        <v>BLANK</v>
      </c>
      <c r="CH18" s="142" t="str">
        <f>IF(ISNUMBER(CF18),
      IF(EXACT(
           ROUND(BV18,3),
           $CF18),
      "PASS","FAIL"),
    IF(AND(BV18="NA",CF18="n/a"),"PASS","FAIL")
)</f>
        <v>FAIL</v>
      </c>
      <c r="CI18" s="268" t="str">
        <f>IF(COUNTIF(CG18:CH19, "FAIL")=0,"PASS","FAIL")</f>
        <v>FAIL</v>
      </c>
      <c r="CJ18" s="157"/>
      <c r="CK18" s="216" t="s">
        <v>1019</v>
      </c>
      <c r="CL18" s="266">
        <v>1</v>
      </c>
      <c r="CM18" s="222"/>
      <c r="CN18" s="247" t="s">
        <v>1108</v>
      </c>
      <c r="CO18" s="245" t="s">
        <v>42</v>
      </c>
      <c r="CP18" s="245" t="s">
        <v>42</v>
      </c>
      <c r="CQ18" s="222" t="s">
        <v>42</v>
      </c>
      <c r="CR18" s="47" t="s">
        <v>42</v>
      </c>
      <c r="CS18" s="107" t="s">
        <v>42</v>
      </c>
      <c r="CT18" s="142" t="str">
        <f t="shared" si="1"/>
        <v>PASS</v>
      </c>
      <c r="CU18" s="142" t="str">
        <f t="shared" si="2"/>
        <v>PASS</v>
      </c>
      <c r="CV18" s="268" t="str">
        <f>IF(COUNTIF(CT18:CU19, "FAIL")=0,"PASS","FAIL")</f>
        <v>PASS</v>
      </c>
      <c r="CW18" s="157"/>
      <c r="CX18" s="216" t="s">
        <v>1067</v>
      </c>
    </row>
    <row r="19" spans="1:102" ht="42" customHeight="1">
      <c r="A19" s="293"/>
      <c r="B19" s="198">
        <v>2</v>
      </c>
      <c r="C19" s="219"/>
      <c r="D19" s="330"/>
      <c r="E19" s="330"/>
      <c r="F19" s="77" t="s">
        <v>59</v>
      </c>
      <c r="G19" s="77" t="s">
        <v>425</v>
      </c>
      <c r="H19" s="77" t="s">
        <v>424</v>
      </c>
      <c r="I19" s="77" t="s">
        <v>191</v>
      </c>
      <c r="J19" s="77" t="s">
        <v>191</v>
      </c>
      <c r="K19" s="77" t="s">
        <v>60</v>
      </c>
      <c r="L19" s="77" t="s">
        <v>384</v>
      </c>
      <c r="M19" s="77" t="s">
        <v>48</v>
      </c>
      <c r="N19" s="77" t="s">
        <v>40</v>
      </c>
      <c r="O19" s="77" t="s">
        <v>41</v>
      </c>
      <c r="P19" s="131" t="s">
        <v>42</v>
      </c>
      <c r="Q19" s="77" t="s">
        <v>43</v>
      </c>
      <c r="R19" s="77" t="s">
        <v>41</v>
      </c>
      <c r="S19" s="77" t="s">
        <v>44</v>
      </c>
      <c r="T19" s="77">
        <v>554447766</v>
      </c>
      <c r="U19" s="77" t="s">
        <v>45</v>
      </c>
      <c r="V19" s="77" t="s">
        <v>53</v>
      </c>
      <c r="W19" s="77" t="s">
        <v>180</v>
      </c>
      <c r="X19" s="77" t="s">
        <v>62</v>
      </c>
      <c r="Y19" s="77">
        <v>20002</v>
      </c>
      <c r="Z19" s="77" t="s">
        <v>42</v>
      </c>
      <c r="AA19" s="77" t="s">
        <v>43</v>
      </c>
      <c r="AB19" s="77" t="s">
        <v>42</v>
      </c>
      <c r="AC19" s="77" t="s">
        <v>42</v>
      </c>
      <c r="AD19" s="77" t="s">
        <v>42</v>
      </c>
      <c r="AE19" s="77" t="s">
        <v>42</v>
      </c>
      <c r="AF19" s="77" t="s">
        <v>42</v>
      </c>
      <c r="AG19" s="77" t="s">
        <v>42</v>
      </c>
      <c r="AH19" s="77" t="s">
        <v>42</v>
      </c>
      <c r="AI19" s="77" t="s">
        <v>42</v>
      </c>
      <c r="AJ19" s="77" t="s">
        <v>42</v>
      </c>
      <c r="AK19" s="77" t="s">
        <v>42</v>
      </c>
      <c r="AL19" s="77" t="s">
        <v>42</v>
      </c>
      <c r="AM19" s="77" t="s">
        <v>49</v>
      </c>
      <c r="AN19" s="77" t="s">
        <v>42</v>
      </c>
      <c r="AO19" s="77" t="s">
        <v>42</v>
      </c>
      <c r="AP19" s="77"/>
      <c r="AQ19" s="115"/>
      <c r="AR19" s="182">
        <v>10141.84</v>
      </c>
      <c r="AS19" s="57">
        <v>2</v>
      </c>
      <c r="AT19" s="77"/>
      <c r="AU19" s="77"/>
      <c r="AV19" s="77"/>
      <c r="AW19" s="77"/>
      <c r="AX19" s="77" t="s">
        <v>43</v>
      </c>
      <c r="AY19" s="77" t="s">
        <v>72</v>
      </c>
      <c r="AZ19" s="77" t="s">
        <v>43</v>
      </c>
      <c r="BA19" s="77"/>
      <c r="BB19" s="77"/>
      <c r="BC19" s="77" t="s">
        <v>43</v>
      </c>
      <c r="BD19" s="77" t="s">
        <v>42</v>
      </c>
      <c r="BE19" s="77" t="s">
        <v>41</v>
      </c>
      <c r="BF19" s="77" t="s">
        <v>43</v>
      </c>
      <c r="BG19" s="77" t="s">
        <v>43</v>
      </c>
      <c r="BH19" s="76">
        <f ca="1">AR19/INDIRECT("'Formula for FPL-2016'!B"&amp;'24 Core'!AS19)</f>
        <v>0.63307365792759052</v>
      </c>
      <c r="BI19" s="76">
        <f ca="1">AR19/INDIRECT("'Formula for FPL-2015'!B"&amp;'24 Core'!AS19)</f>
        <v>0.63665034526051478</v>
      </c>
      <c r="BJ19" s="76">
        <f ca="1">AR19/INDIRECT("'Formula for FPL-2014'!B"&amp;'24 Core'!AS19)</f>
        <v>0.64474507310870943</v>
      </c>
      <c r="BK19" s="47">
        <v>64.47</v>
      </c>
      <c r="BL19" s="77" t="s">
        <v>259</v>
      </c>
      <c r="BM19" s="105"/>
      <c r="BN19" s="105"/>
      <c r="BO19" s="106"/>
      <c r="BP19" s="77" t="s">
        <v>173</v>
      </c>
      <c r="BQ19" s="80" t="s">
        <v>509</v>
      </c>
      <c r="BR19" s="80" t="s">
        <v>510</v>
      </c>
      <c r="BS19" s="80" t="s">
        <v>510</v>
      </c>
      <c r="BT19" s="192">
        <f t="shared" ref="BT19:BT41" si="3">AR19</f>
        <v>10141.84</v>
      </c>
      <c r="BU19" s="150">
        <f t="shared" ref="BU19:BU41" si="4">AS19</f>
        <v>2</v>
      </c>
      <c r="BV19" s="107">
        <v>0.63308364544319595</v>
      </c>
      <c r="BW19" s="267"/>
      <c r="BX19" s="170"/>
      <c r="BY19" s="170"/>
      <c r="BZ19" s="170"/>
      <c r="CA19" s="170"/>
      <c r="CB19" s="203"/>
      <c r="CC19" s="170"/>
      <c r="CD19" s="170"/>
      <c r="CE19" s="170"/>
      <c r="CF19" s="230"/>
      <c r="CG19" s="142" t="str">
        <f t="shared" si="0"/>
        <v>BLANK</v>
      </c>
      <c r="CH19" s="142" t="str">
        <f>IF(ISNUMBER(CF19),
      IF(EXACT(
           ROUND(BV19,3),
           $CF19),
      "PASS","FAIL"),
    IF(AND(BV19="NA",CF19="n/a"),"PASS","FAIL")
)</f>
        <v>FAIL</v>
      </c>
      <c r="CI19" s="269"/>
      <c r="CJ19" s="157"/>
      <c r="CK19" s="216"/>
      <c r="CL19" s="267"/>
      <c r="CM19" s="222"/>
      <c r="CN19" s="247" t="s">
        <v>1107</v>
      </c>
      <c r="CO19" s="222" t="s">
        <v>889</v>
      </c>
      <c r="CP19" s="222"/>
      <c r="CQ19" s="222">
        <v>2</v>
      </c>
      <c r="CR19" s="47">
        <f>844.82*12</f>
        <v>10137.84</v>
      </c>
      <c r="CS19" s="107">
        <v>0.6331</v>
      </c>
      <c r="CT19" s="142" t="str">
        <f t="shared" si="1"/>
        <v>PASS</v>
      </c>
      <c r="CU19" s="142" t="str">
        <f t="shared" si="2"/>
        <v>PASS</v>
      </c>
      <c r="CV19" s="269"/>
      <c r="CW19" s="157"/>
      <c r="CX19" s="216"/>
    </row>
    <row r="20" spans="1:102" ht="54" customHeight="1">
      <c r="A20" s="266">
        <v>4</v>
      </c>
      <c r="B20" s="198">
        <v>1</v>
      </c>
      <c r="C20" s="218" t="s">
        <v>1028</v>
      </c>
      <c r="D20" s="309" t="s">
        <v>235</v>
      </c>
      <c r="E20" s="309" t="s">
        <v>346</v>
      </c>
      <c r="F20" s="130" t="s">
        <v>183</v>
      </c>
      <c r="G20" s="130" t="s">
        <v>426</v>
      </c>
      <c r="H20" s="130" t="s">
        <v>427</v>
      </c>
      <c r="I20" s="130" t="s">
        <v>51</v>
      </c>
      <c r="J20" s="130" t="s">
        <v>178</v>
      </c>
      <c r="K20" s="130" t="s">
        <v>70</v>
      </c>
      <c r="L20" s="130" t="s">
        <v>380</v>
      </c>
      <c r="M20" s="130" t="s">
        <v>48</v>
      </c>
      <c r="N20" s="130" t="s">
        <v>40</v>
      </c>
      <c r="O20" s="130" t="s">
        <v>41</v>
      </c>
      <c r="P20" s="131" t="s">
        <v>42</v>
      </c>
      <c r="Q20" s="130" t="s">
        <v>43</v>
      </c>
      <c r="R20" s="130" t="s">
        <v>42</v>
      </c>
      <c r="S20" s="130" t="s">
        <v>44</v>
      </c>
      <c r="T20" s="130">
        <v>554447767</v>
      </c>
      <c r="U20" s="130" t="s">
        <v>45</v>
      </c>
      <c r="V20" s="130" t="s">
        <v>53</v>
      </c>
      <c r="W20" s="130" t="s">
        <v>180</v>
      </c>
      <c r="X20" s="130" t="s">
        <v>62</v>
      </c>
      <c r="Y20" s="130">
        <v>20002</v>
      </c>
      <c r="Z20" s="130" t="s">
        <v>42</v>
      </c>
      <c r="AA20" s="130" t="s">
        <v>43</v>
      </c>
      <c r="AB20" s="130" t="s">
        <v>42</v>
      </c>
      <c r="AC20" s="130" t="s">
        <v>42</v>
      </c>
      <c r="AD20" s="130" t="s">
        <v>42</v>
      </c>
      <c r="AE20" s="130" t="s">
        <v>42</v>
      </c>
      <c r="AF20" s="130" t="s">
        <v>42</v>
      </c>
      <c r="AG20" s="130" t="s">
        <v>42</v>
      </c>
      <c r="AH20" s="130" t="s">
        <v>42</v>
      </c>
      <c r="AI20" s="130" t="s">
        <v>42</v>
      </c>
      <c r="AJ20" s="130" t="s">
        <v>42</v>
      </c>
      <c r="AK20" s="130" t="s">
        <v>69</v>
      </c>
      <c r="AL20" s="130" t="s">
        <v>42</v>
      </c>
      <c r="AM20" s="130" t="s">
        <v>49</v>
      </c>
      <c r="AN20" s="130" t="s">
        <v>42</v>
      </c>
      <c r="AO20" s="130" t="s">
        <v>42</v>
      </c>
      <c r="AP20" s="132" t="s">
        <v>278</v>
      </c>
      <c r="AQ20" s="79" t="s">
        <v>1066</v>
      </c>
      <c r="AR20" s="183">
        <f>(27.82*365)</f>
        <v>10154.299999999999</v>
      </c>
      <c r="AS20" s="133">
        <v>1</v>
      </c>
      <c r="AT20" s="134">
        <v>40909</v>
      </c>
      <c r="AU20" s="132"/>
      <c r="AV20" s="130"/>
      <c r="AW20" s="130"/>
      <c r="AX20" s="130" t="s">
        <v>43</v>
      </c>
      <c r="AY20" s="130" t="s">
        <v>72</v>
      </c>
      <c r="AZ20" s="130" t="s">
        <v>43</v>
      </c>
      <c r="BA20" s="130"/>
      <c r="BB20" s="130"/>
      <c r="BC20" s="130" t="s">
        <v>43</v>
      </c>
      <c r="BD20" s="130" t="s">
        <v>42</v>
      </c>
      <c r="BE20" s="130" t="s">
        <v>43</v>
      </c>
      <c r="BF20" s="130" t="s">
        <v>43</v>
      </c>
      <c r="BG20" s="130" t="s">
        <v>43</v>
      </c>
      <c r="BH20" s="76">
        <f ca="1">AR20/INDIRECT("'Formula for FPL-2016'!B"&amp;'24 Core'!AS20)</f>
        <v>0.85473905723905719</v>
      </c>
      <c r="BI20" s="91">
        <f ca="1">AR20/INDIRECT("'Formula for FPL-2015'!B"&amp;'24 Core'!AS20)</f>
        <v>0.86272727272727268</v>
      </c>
      <c r="BJ20" s="91">
        <f ca="1">AR20/INDIRECT("'Formula for FPL-2014'!B"&amp;'24 Core'!AS20)</f>
        <v>0.87011996572407879</v>
      </c>
      <c r="BK20" s="72">
        <v>87.05</v>
      </c>
      <c r="BL20" s="50" t="s">
        <v>259</v>
      </c>
      <c r="BM20" s="105"/>
      <c r="BN20" s="105"/>
      <c r="BO20" s="106"/>
      <c r="BP20" s="90" t="s">
        <v>172</v>
      </c>
      <c r="BQ20" s="80" t="s">
        <v>509</v>
      </c>
      <c r="BR20" s="80" t="s">
        <v>510</v>
      </c>
      <c r="BS20" s="80" t="s">
        <v>510</v>
      </c>
      <c r="BT20" s="186">
        <f t="shared" si="3"/>
        <v>10154.299999999999</v>
      </c>
      <c r="BU20" s="149">
        <f t="shared" si="4"/>
        <v>1</v>
      </c>
      <c r="BV20" s="124">
        <v>0.85473905723905719</v>
      </c>
      <c r="BW20" s="266"/>
      <c r="BX20" s="169"/>
      <c r="BY20" s="169"/>
      <c r="BZ20" s="169"/>
      <c r="CA20" s="169"/>
      <c r="CB20" s="201" t="s">
        <v>994</v>
      </c>
      <c r="CC20" s="169"/>
      <c r="CD20" s="169"/>
      <c r="CE20" s="169"/>
      <c r="CF20" s="124"/>
      <c r="CG20" s="142" t="str">
        <f t="shared" si="0"/>
        <v>BLANK</v>
      </c>
      <c r="CH20" s="142" t="str">
        <f t="shared" ref="CH20:CH29" si="5">IF(ISNUMBER(CF20),
      IF(EXACT(
           (ROUND(BV20,2)*100),
           $CF20),
      "PASS","FAIL"),
    IF(AND(BV20="NA",CF20="n/a"),"PASS","FAIL")
)</f>
        <v>FAIL</v>
      </c>
      <c r="CI20" s="268" t="str">
        <f>IF(COUNTIF(CG20:CH21, "FAIL")=0,"PASS","FAIL")</f>
        <v>FAIL</v>
      </c>
      <c r="CJ20" s="157"/>
      <c r="CK20" s="216"/>
      <c r="CL20" s="266">
        <v>1</v>
      </c>
      <c r="CM20" s="245"/>
      <c r="CN20" s="223" t="s">
        <v>1110</v>
      </c>
      <c r="CO20" s="223" t="s">
        <v>889</v>
      </c>
      <c r="CP20" s="223"/>
      <c r="CQ20" s="223">
        <v>1</v>
      </c>
      <c r="CR20" s="135">
        <f>845.85*12</f>
        <v>10150.200000000001</v>
      </c>
      <c r="CS20" s="124">
        <v>0.85470000000000002</v>
      </c>
      <c r="CT20" s="142" t="str">
        <f t="shared" si="1"/>
        <v>PASS</v>
      </c>
      <c r="CU20" s="142" t="str">
        <f t="shared" si="2"/>
        <v>PASS</v>
      </c>
      <c r="CV20" s="268" t="str">
        <f>IF(COUNTIF(CT20:CU21, "FAIL")=0,"PASS","FAIL")</f>
        <v>PASS</v>
      </c>
      <c r="CW20" s="157"/>
      <c r="CX20" s="216" t="s">
        <v>1122</v>
      </c>
    </row>
    <row r="21" spans="1:102" ht="76.5" customHeight="1">
      <c r="A21" s="293"/>
      <c r="B21" s="198">
        <v>2</v>
      </c>
      <c r="C21" s="219"/>
      <c r="D21" s="309"/>
      <c r="E21" s="309"/>
      <c r="F21" s="130" t="s">
        <v>181</v>
      </c>
      <c r="G21" s="130" t="s">
        <v>428</v>
      </c>
      <c r="H21" s="130" t="s">
        <v>427</v>
      </c>
      <c r="I21" s="130" t="s">
        <v>188</v>
      </c>
      <c r="J21" s="130" t="s">
        <v>188</v>
      </c>
      <c r="K21" s="130" t="s">
        <v>96</v>
      </c>
      <c r="L21" s="130" t="s">
        <v>385</v>
      </c>
      <c r="M21" s="130" t="s">
        <v>48</v>
      </c>
      <c r="N21" s="130" t="s">
        <v>40</v>
      </c>
      <c r="O21" s="130" t="s">
        <v>41</v>
      </c>
      <c r="P21" s="131" t="s">
        <v>42</v>
      </c>
      <c r="Q21" s="130" t="s">
        <v>43</v>
      </c>
      <c r="R21" s="130" t="s">
        <v>41</v>
      </c>
      <c r="S21" s="130" t="s">
        <v>44</v>
      </c>
      <c r="T21" s="130">
        <v>554447768</v>
      </c>
      <c r="U21" s="130" t="s">
        <v>45</v>
      </c>
      <c r="V21" s="130" t="s">
        <v>53</v>
      </c>
      <c r="W21" s="130" t="s">
        <v>180</v>
      </c>
      <c r="X21" s="130" t="s">
        <v>62</v>
      </c>
      <c r="Y21" s="130">
        <v>20002</v>
      </c>
      <c r="Z21" s="130" t="s">
        <v>42</v>
      </c>
      <c r="AA21" s="130" t="s">
        <v>43</v>
      </c>
      <c r="AB21" s="130" t="s">
        <v>42</v>
      </c>
      <c r="AC21" s="130" t="s">
        <v>42</v>
      </c>
      <c r="AD21" s="130" t="s">
        <v>42</v>
      </c>
      <c r="AE21" s="130" t="s">
        <v>43</v>
      </c>
      <c r="AF21" s="130" t="s">
        <v>42</v>
      </c>
      <c r="AG21" s="130" t="s">
        <v>42</v>
      </c>
      <c r="AH21" s="130" t="s">
        <v>42</v>
      </c>
      <c r="AI21" s="130" t="s">
        <v>42</v>
      </c>
      <c r="AJ21" s="130" t="s">
        <v>42</v>
      </c>
      <c r="AK21" s="130" t="s">
        <v>42</v>
      </c>
      <c r="AL21" s="130" t="s">
        <v>42</v>
      </c>
      <c r="AM21" s="130" t="s">
        <v>49</v>
      </c>
      <c r="AN21" s="130" t="s">
        <v>42</v>
      </c>
      <c r="AO21" s="130" t="s">
        <v>42</v>
      </c>
      <c r="AP21" s="132" t="s">
        <v>277</v>
      </c>
      <c r="AQ21" s="79"/>
      <c r="AR21" s="183">
        <v>3046.99</v>
      </c>
      <c r="AS21" s="133">
        <v>1</v>
      </c>
      <c r="AT21" s="134">
        <v>40909</v>
      </c>
      <c r="AU21" s="132"/>
      <c r="AV21" s="130"/>
      <c r="AW21" s="130"/>
      <c r="AX21" s="130" t="s">
        <v>43</v>
      </c>
      <c r="AY21" s="130" t="s">
        <v>72</v>
      </c>
      <c r="AZ21" s="130" t="s">
        <v>43</v>
      </c>
      <c r="BA21" s="130"/>
      <c r="BB21" s="130"/>
      <c r="BC21" s="130" t="s">
        <v>43</v>
      </c>
      <c r="BD21" s="130" t="s">
        <v>42</v>
      </c>
      <c r="BE21" s="130" t="s">
        <v>43</v>
      </c>
      <c r="BF21" s="130" t="s">
        <v>43</v>
      </c>
      <c r="BG21" s="130" t="s">
        <v>43</v>
      </c>
      <c r="BH21" s="76">
        <f ca="1">AR21/INDIRECT("'Formula for FPL-2016'!B"&amp;'24 Core'!AS21)</f>
        <v>0.25648063973063973</v>
      </c>
      <c r="BI21" s="91">
        <f ca="1">AR21/INDIRECT("'Formula for FPL-2015'!B"&amp;'24 Core'!AS21)</f>
        <v>0.25887765505522514</v>
      </c>
      <c r="BJ21" s="91">
        <f ca="1">AR21/INDIRECT("'Formula for FPL-2014'!B"&amp;'24 Core'!AS21)</f>
        <v>0.26109597257926304</v>
      </c>
      <c r="BK21" s="135">
        <v>26.11</v>
      </c>
      <c r="BL21" s="50" t="s">
        <v>259</v>
      </c>
      <c r="BM21" s="105"/>
      <c r="BN21" s="105"/>
      <c r="BO21" s="106"/>
      <c r="BP21" s="90" t="s">
        <v>172</v>
      </c>
      <c r="BQ21" s="80" t="s">
        <v>509</v>
      </c>
      <c r="BR21" s="80" t="s">
        <v>510</v>
      </c>
      <c r="BS21" s="80" t="s">
        <v>510</v>
      </c>
      <c r="BT21" s="186">
        <f t="shared" si="3"/>
        <v>3046.99</v>
      </c>
      <c r="BU21" s="149">
        <f t="shared" si="4"/>
        <v>1</v>
      </c>
      <c r="BV21" s="124">
        <v>0.25648063973063973</v>
      </c>
      <c r="BW21" s="267"/>
      <c r="BX21" s="169"/>
      <c r="BY21" s="169"/>
      <c r="BZ21" s="169"/>
      <c r="CA21" s="169"/>
      <c r="CB21" s="201"/>
      <c r="CC21" s="169"/>
      <c r="CD21" s="169"/>
      <c r="CE21" s="169"/>
      <c r="CF21" s="124"/>
      <c r="CG21" s="142" t="str">
        <f t="shared" si="0"/>
        <v>BLANK</v>
      </c>
      <c r="CH21" s="142" t="str">
        <f t="shared" si="5"/>
        <v>FAIL</v>
      </c>
      <c r="CI21" s="269"/>
      <c r="CJ21" s="157"/>
      <c r="CK21" s="216"/>
      <c r="CL21" s="267"/>
      <c r="CM21" s="245"/>
      <c r="CN21" s="223" t="s">
        <v>1111</v>
      </c>
      <c r="CO21" s="223" t="s">
        <v>889</v>
      </c>
      <c r="CP21" s="223"/>
      <c r="CQ21" s="223">
        <v>1</v>
      </c>
      <c r="CR21" s="135">
        <f>253.81*12</f>
        <v>3045.7200000000003</v>
      </c>
      <c r="CS21" s="124">
        <v>0.25650000000000001</v>
      </c>
      <c r="CT21" s="142" t="str">
        <f t="shared" si="1"/>
        <v>PASS</v>
      </c>
      <c r="CU21" s="142" t="str">
        <f t="shared" si="2"/>
        <v>PASS</v>
      </c>
      <c r="CV21" s="269"/>
      <c r="CW21" s="157"/>
      <c r="CX21" s="216" t="s">
        <v>1074</v>
      </c>
    </row>
    <row r="22" spans="1:102" ht="68.25" customHeight="1">
      <c r="A22" s="266">
        <v>5</v>
      </c>
      <c r="B22" s="198">
        <v>1</v>
      </c>
      <c r="C22" s="218" t="s">
        <v>1118</v>
      </c>
      <c r="D22" s="308" t="s">
        <v>213</v>
      </c>
      <c r="E22" s="308" t="s">
        <v>1050</v>
      </c>
      <c r="F22" s="50" t="s">
        <v>189</v>
      </c>
      <c r="G22" s="50" t="s">
        <v>429</v>
      </c>
      <c r="H22" s="50" t="s">
        <v>430</v>
      </c>
      <c r="I22" s="50" t="s">
        <v>51</v>
      </c>
      <c r="J22" s="50" t="s">
        <v>178</v>
      </c>
      <c r="K22" s="50" t="s">
        <v>71</v>
      </c>
      <c r="L22" s="50" t="s">
        <v>386</v>
      </c>
      <c r="M22" s="50" t="s">
        <v>39</v>
      </c>
      <c r="N22" s="50" t="s">
        <v>52</v>
      </c>
      <c r="O22" s="50" t="s">
        <v>41</v>
      </c>
      <c r="P22" s="131" t="s">
        <v>43</v>
      </c>
      <c r="Q22" s="50" t="s">
        <v>43</v>
      </c>
      <c r="R22" s="50" t="s">
        <v>42</v>
      </c>
      <c r="S22" s="50" t="s">
        <v>44</v>
      </c>
      <c r="T22" s="50">
        <v>554447769</v>
      </c>
      <c r="U22" s="50" t="s">
        <v>45</v>
      </c>
      <c r="V22" s="50" t="s">
        <v>53</v>
      </c>
      <c r="W22" s="50" t="s">
        <v>180</v>
      </c>
      <c r="X22" s="50" t="s">
        <v>62</v>
      </c>
      <c r="Y22" s="50">
        <v>20002</v>
      </c>
      <c r="Z22" s="50" t="s">
        <v>42</v>
      </c>
      <c r="AA22" s="50" t="s">
        <v>42</v>
      </c>
      <c r="AB22" s="50" t="s">
        <v>42</v>
      </c>
      <c r="AC22" s="50" t="s">
        <v>42</v>
      </c>
      <c r="AD22" s="50" t="s">
        <v>42</v>
      </c>
      <c r="AE22" s="50" t="s">
        <v>42</v>
      </c>
      <c r="AF22" s="50" t="s">
        <v>42</v>
      </c>
      <c r="AG22" s="50" t="s">
        <v>42</v>
      </c>
      <c r="AH22" s="50" t="s">
        <v>42</v>
      </c>
      <c r="AI22" s="50" t="s">
        <v>42</v>
      </c>
      <c r="AJ22" s="50" t="s">
        <v>42</v>
      </c>
      <c r="AK22" s="50" t="s">
        <v>311</v>
      </c>
      <c r="AL22" s="50" t="s">
        <v>42</v>
      </c>
      <c r="AM22" s="50" t="s">
        <v>46</v>
      </c>
      <c r="AN22" s="50" t="s">
        <v>41</v>
      </c>
      <c r="AO22" s="50" t="s">
        <v>42</v>
      </c>
      <c r="AP22" s="50" t="s">
        <v>279</v>
      </c>
      <c r="AQ22" s="115" t="s">
        <v>490</v>
      </c>
      <c r="AR22" s="182">
        <f>20732+35000</f>
        <v>55732</v>
      </c>
      <c r="AS22" s="57">
        <v>3</v>
      </c>
      <c r="AT22" s="46">
        <v>40909</v>
      </c>
      <c r="AU22" s="50"/>
      <c r="AV22" s="50"/>
      <c r="AW22" s="50"/>
      <c r="AX22" s="50" t="s">
        <v>43</v>
      </c>
      <c r="AY22" s="50" t="s">
        <v>72</v>
      </c>
      <c r="AZ22" s="50" t="s">
        <v>43</v>
      </c>
      <c r="BA22" s="50"/>
      <c r="BB22" s="50"/>
      <c r="BC22" s="50" t="s">
        <v>43</v>
      </c>
      <c r="BD22" s="50" t="s">
        <v>42</v>
      </c>
      <c r="BE22" s="50" t="s">
        <v>43</v>
      </c>
      <c r="BF22" s="50" t="s">
        <v>43</v>
      </c>
      <c r="BG22" s="50" t="s">
        <v>43</v>
      </c>
      <c r="BH22" s="76">
        <f ca="1">AR22/INDIRECT("'Formula for FPL-2016'!B"&amp;'24 Core'!AS22)</f>
        <v>2.7644841269841272</v>
      </c>
      <c r="BI22" s="248">
        <f ca="1">AR22/INDIRECT("'Formula for FPL-2015'!B"&amp;'24 Core'!AS22)</f>
        <v>2.7741164758586363</v>
      </c>
      <c r="BJ22" s="76">
        <f ca="1">AR22/INDIRECT("'Formula for FPL-2014'!B"&amp;'24 Core'!AS22)</f>
        <v>2.8161697827185446</v>
      </c>
      <c r="BK22" s="47">
        <v>281.62</v>
      </c>
      <c r="BL22" s="50">
        <v>285.37</v>
      </c>
      <c r="BM22" s="105"/>
      <c r="BN22" s="105"/>
      <c r="BO22" s="106"/>
      <c r="BP22" s="55" t="s">
        <v>167</v>
      </c>
      <c r="BQ22" s="80" t="s">
        <v>510</v>
      </c>
      <c r="BR22" s="80" t="s">
        <v>509</v>
      </c>
      <c r="BS22" s="80" t="s">
        <v>510</v>
      </c>
      <c r="BT22" s="191">
        <f t="shared" si="3"/>
        <v>55732</v>
      </c>
      <c r="BU22" s="148">
        <f t="shared" si="4"/>
        <v>3</v>
      </c>
      <c r="BV22" s="126">
        <v>2.7741164758586363</v>
      </c>
      <c r="BW22" s="266"/>
      <c r="BX22" s="168"/>
      <c r="BY22" s="168"/>
      <c r="BZ22" s="168"/>
      <c r="CA22" s="168"/>
      <c r="CB22" s="200" t="s">
        <v>995</v>
      </c>
      <c r="CC22" s="168"/>
      <c r="CD22" s="168"/>
      <c r="CE22" s="168"/>
      <c r="CF22" s="125"/>
      <c r="CG22" s="142" t="str">
        <f t="shared" si="0"/>
        <v>BLANK</v>
      </c>
      <c r="CH22" s="142" t="str">
        <f t="shared" si="5"/>
        <v>FAIL</v>
      </c>
      <c r="CI22" s="268" t="str">
        <f>IF(COUNTIF(CG22:CH24, "FAIL")=0,"PASS","FAIL")</f>
        <v>FAIL</v>
      </c>
      <c r="CJ22" s="157"/>
      <c r="CK22" s="216"/>
      <c r="CL22" s="266"/>
      <c r="CM22" s="220"/>
      <c r="CN22" s="220"/>
      <c r="CO22" s="220"/>
      <c r="CP22" s="220"/>
      <c r="CQ22" s="220"/>
      <c r="CR22" s="241"/>
      <c r="CS22" s="125"/>
      <c r="CT22" s="142" t="str">
        <f t="shared" si="1"/>
        <v>BLANK</v>
      </c>
      <c r="CU22" s="142" t="str">
        <f>IF(ISNUMBER(CS22),
      IF(EXACT(
           ROUND(BV22,2),
           ROUND($CS22,2)),
      "PASS","FAIL"),
    IF(AND(BV22="NA",CS22="n/a"),"PASS","FAIL")
)</f>
        <v>FAIL</v>
      </c>
      <c r="CV22" s="268" t="str">
        <f>IF(COUNTIF(CT22:CU24, "FAIL")=0,"PASS","FAIL")</f>
        <v>FAIL</v>
      </c>
      <c r="CW22" s="157"/>
      <c r="CX22" s="216" t="s">
        <v>1112</v>
      </c>
    </row>
    <row r="23" spans="1:102" ht="42.75" customHeight="1">
      <c r="A23" s="306"/>
      <c r="B23" s="198">
        <v>2</v>
      </c>
      <c r="C23" s="221"/>
      <c r="D23" s="308"/>
      <c r="E23" s="308"/>
      <c r="F23" s="50" t="s">
        <v>183</v>
      </c>
      <c r="G23" s="50" t="s">
        <v>431</v>
      </c>
      <c r="H23" s="50" t="s">
        <v>429</v>
      </c>
      <c r="I23" s="50" t="s">
        <v>51</v>
      </c>
      <c r="J23" s="50" t="s">
        <v>178</v>
      </c>
      <c r="K23" s="50" t="s">
        <v>70</v>
      </c>
      <c r="L23" s="50" t="s">
        <v>380</v>
      </c>
      <c r="M23" s="50" t="s">
        <v>48</v>
      </c>
      <c r="N23" s="50" t="s">
        <v>52</v>
      </c>
      <c r="O23" s="50" t="s">
        <v>41</v>
      </c>
      <c r="P23" s="131" t="s">
        <v>43</v>
      </c>
      <c r="Q23" s="50" t="s">
        <v>43</v>
      </c>
      <c r="R23" s="50" t="s">
        <v>41</v>
      </c>
      <c r="S23" s="50" t="s">
        <v>44</v>
      </c>
      <c r="T23" s="50">
        <v>554447770</v>
      </c>
      <c r="U23" s="50" t="s">
        <v>45</v>
      </c>
      <c r="V23" s="50" t="s">
        <v>53</v>
      </c>
      <c r="W23" s="50" t="s">
        <v>180</v>
      </c>
      <c r="X23" s="50" t="s">
        <v>62</v>
      </c>
      <c r="Y23" s="50">
        <v>20002</v>
      </c>
      <c r="Z23" s="50" t="s">
        <v>42</v>
      </c>
      <c r="AA23" s="50" t="s">
        <v>43</v>
      </c>
      <c r="AB23" s="50" t="s">
        <v>42</v>
      </c>
      <c r="AC23" s="50" t="s">
        <v>42</v>
      </c>
      <c r="AD23" s="50" t="s">
        <v>42</v>
      </c>
      <c r="AE23" s="50" t="s">
        <v>42</v>
      </c>
      <c r="AF23" s="50" t="s">
        <v>42</v>
      </c>
      <c r="AG23" s="50" t="s">
        <v>42</v>
      </c>
      <c r="AH23" s="50" t="s">
        <v>42</v>
      </c>
      <c r="AI23" s="50" t="s">
        <v>42</v>
      </c>
      <c r="AJ23" s="50" t="s">
        <v>42</v>
      </c>
      <c r="AK23" s="50" t="s">
        <v>313</v>
      </c>
      <c r="AL23" s="50" t="s">
        <v>42</v>
      </c>
      <c r="AM23" s="50" t="s">
        <v>46</v>
      </c>
      <c r="AN23" s="50" t="s">
        <v>41</v>
      </c>
      <c r="AO23" s="50" t="s">
        <v>42</v>
      </c>
      <c r="AP23" s="50" t="s">
        <v>280</v>
      </c>
      <c r="AQ23" s="115"/>
      <c r="AR23" s="182">
        <f t="shared" ref="AR23:AR24" si="6">20732+35000</f>
        <v>55732</v>
      </c>
      <c r="AS23" s="57">
        <v>3</v>
      </c>
      <c r="AT23" s="46">
        <v>40909</v>
      </c>
      <c r="AU23" s="50"/>
      <c r="AV23" s="50"/>
      <c r="AW23" s="50"/>
      <c r="AX23" s="50" t="s">
        <v>43</v>
      </c>
      <c r="AY23" s="50" t="s">
        <v>72</v>
      </c>
      <c r="AZ23" s="50" t="s">
        <v>43</v>
      </c>
      <c r="BA23" s="50"/>
      <c r="BB23" s="50"/>
      <c r="BC23" s="50" t="s">
        <v>43</v>
      </c>
      <c r="BD23" s="50" t="s">
        <v>42</v>
      </c>
      <c r="BE23" s="50" t="s">
        <v>43</v>
      </c>
      <c r="BF23" s="50" t="s">
        <v>43</v>
      </c>
      <c r="BG23" s="50" t="s">
        <v>43</v>
      </c>
      <c r="BH23" s="76">
        <f ca="1">AR23/INDIRECT("'Formula for FPL-2016'!B"&amp;'24 Core'!AS23)</f>
        <v>2.7644841269841272</v>
      </c>
      <c r="BI23" s="248">
        <f ca="1">AR23/INDIRECT("'Formula for FPL-2015'!B"&amp;'24 Core'!AS23)</f>
        <v>2.7741164758586363</v>
      </c>
      <c r="BJ23" s="76">
        <f ca="1">AR23/INDIRECT("'Formula for FPL-2014'!B"&amp;'24 Core'!AS23)</f>
        <v>2.8161697827185446</v>
      </c>
      <c r="BK23" s="47">
        <v>281.62</v>
      </c>
      <c r="BL23" s="50">
        <v>285.37</v>
      </c>
      <c r="BM23" s="105"/>
      <c r="BN23" s="105"/>
      <c r="BO23" s="106"/>
      <c r="BP23" s="55" t="s">
        <v>167</v>
      </c>
      <c r="BQ23" s="80" t="s">
        <v>510</v>
      </c>
      <c r="BR23" s="80" t="s">
        <v>509</v>
      </c>
      <c r="BS23" s="80" t="s">
        <v>510</v>
      </c>
      <c r="BT23" s="191">
        <f t="shared" si="3"/>
        <v>55732</v>
      </c>
      <c r="BU23" s="148">
        <f t="shared" si="4"/>
        <v>3</v>
      </c>
      <c r="BV23" s="126">
        <v>2.7741164758586363</v>
      </c>
      <c r="BW23" s="276"/>
      <c r="BX23" s="168"/>
      <c r="BY23" s="168"/>
      <c r="BZ23" s="168"/>
      <c r="CA23" s="168"/>
      <c r="CB23" s="200"/>
      <c r="CC23" s="168"/>
      <c r="CD23" s="168"/>
      <c r="CE23" s="168"/>
      <c r="CF23" s="125"/>
      <c r="CG23" s="142" t="str">
        <f t="shared" si="0"/>
        <v>BLANK</v>
      </c>
      <c r="CH23" s="142" t="str">
        <f t="shared" si="5"/>
        <v>FAIL</v>
      </c>
      <c r="CI23" s="275"/>
      <c r="CJ23" s="157"/>
      <c r="CK23" s="216"/>
      <c r="CL23" s="276"/>
      <c r="CM23" s="220"/>
      <c r="CN23" s="220"/>
      <c r="CO23" s="220"/>
      <c r="CP23" s="220"/>
      <c r="CQ23" s="220"/>
      <c r="CR23" s="241"/>
      <c r="CS23" s="125"/>
      <c r="CT23" s="142" t="str">
        <f t="shared" si="1"/>
        <v>BLANK</v>
      </c>
      <c r="CU23" s="142" t="str">
        <f t="shared" ref="CU23:CU86" si="7">IF(ISNUMBER(CS23),
      IF(EXACT(
           ROUND(BV23,2),
           ROUND($CS23,2)),
      "PASS","FAIL"),
    IF(AND(BV23="NA",CS23="n/a"),"PASS","FAIL")
)</f>
        <v>FAIL</v>
      </c>
      <c r="CV23" s="275"/>
      <c r="CW23" s="157"/>
      <c r="CX23" s="216" t="s">
        <v>1068</v>
      </c>
    </row>
    <row r="24" spans="1:102" ht="97.5" customHeight="1">
      <c r="A24" s="293"/>
      <c r="B24" s="198">
        <v>3</v>
      </c>
      <c r="C24" s="219"/>
      <c r="D24" s="308"/>
      <c r="E24" s="308"/>
      <c r="F24" s="50" t="s">
        <v>181</v>
      </c>
      <c r="G24" s="50" t="s">
        <v>432</v>
      </c>
      <c r="H24" s="50" t="s">
        <v>429</v>
      </c>
      <c r="I24" s="50" t="s">
        <v>188</v>
      </c>
      <c r="J24" s="50" t="s">
        <v>188</v>
      </c>
      <c r="K24" s="50" t="s">
        <v>96</v>
      </c>
      <c r="L24" s="50" t="s">
        <v>382</v>
      </c>
      <c r="M24" s="50" t="s">
        <v>48</v>
      </c>
      <c r="N24" s="50" t="s">
        <v>40</v>
      </c>
      <c r="O24" s="50" t="s">
        <v>41</v>
      </c>
      <c r="P24" s="131" t="s">
        <v>43</v>
      </c>
      <c r="Q24" s="50" t="s">
        <v>43</v>
      </c>
      <c r="R24" s="50" t="s">
        <v>43</v>
      </c>
      <c r="S24" s="50" t="s">
        <v>44</v>
      </c>
      <c r="T24" s="50">
        <v>554447771</v>
      </c>
      <c r="U24" s="50" t="s">
        <v>45</v>
      </c>
      <c r="V24" s="50" t="s">
        <v>107</v>
      </c>
      <c r="W24" s="50" t="s">
        <v>193</v>
      </c>
      <c r="X24" s="50" t="s">
        <v>82</v>
      </c>
      <c r="Y24" s="50">
        <v>20740</v>
      </c>
      <c r="Z24" s="50" t="s">
        <v>42</v>
      </c>
      <c r="AA24" s="50" t="s">
        <v>43</v>
      </c>
      <c r="AB24" s="50" t="s">
        <v>42</v>
      </c>
      <c r="AC24" s="50" t="s">
        <v>42</v>
      </c>
      <c r="AD24" s="50" t="s">
        <v>42</v>
      </c>
      <c r="AE24" s="50" t="s">
        <v>43</v>
      </c>
      <c r="AF24" s="50" t="s">
        <v>42</v>
      </c>
      <c r="AG24" s="50" t="s">
        <v>42</v>
      </c>
      <c r="AH24" s="50" t="s">
        <v>42</v>
      </c>
      <c r="AI24" s="50" t="s">
        <v>42</v>
      </c>
      <c r="AJ24" s="50" t="s">
        <v>42</v>
      </c>
      <c r="AK24" s="50" t="s">
        <v>194</v>
      </c>
      <c r="AL24" s="50" t="s">
        <v>42</v>
      </c>
      <c r="AM24" s="50" t="s">
        <v>58</v>
      </c>
      <c r="AN24" s="50" t="s">
        <v>42</v>
      </c>
      <c r="AO24" s="50" t="s">
        <v>189</v>
      </c>
      <c r="AP24" s="50" t="s">
        <v>299</v>
      </c>
      <c r="AQ24" s="233" t="s">
        <v>1114</v>
      </c>
      <c r="AR24" s="182">
        <f t="shared" si="6"/>
        <v>55732</v>
      </c>
      <c r="AS24" s="57">
        <v>3</v>
      </c>
      <c r="AT24" s="46">
        <v>40909</v>
      </c>
      <c r="AU24" s="50"/>
      <c r="AV24" s="50"/>
      <c r="AW24" s="50"/>
      <c r="AX24" s="50" t="s">
        <v>43</v>
      </c>
      <c r="AY24" s="50" t="s">
        <v>72</v>
      </c>
      <c r="AZ24" s="50" t="s">
        <v>43</v>
      </c>
      <c r="BA24" s="50"/>
      <c r="BB24" s="50"/>
      <c r="BC24" s="50" t="s">
        <v>43</v>
      </c>
      <c r="BD24" s="50" t="s">
        <v>42</v>
      </c>
      <c r="BE24" s="50" t="s">
        <v>43</v>
      </c>
      <c r="BF24" s="50" t="s">
        <v>43</v>
      </c>
      <c r="BG24" s="50" t="s">
        <v>43</v>
      </c>
      <c r="BH24" s="76">
        <f ca="1">AR24/INDIRECT("'Formula for FPL-2016'!B"&amp;'24 Core'!AS24)</f>
        <v>2.7644841269841272</v>
      </c>
      <c r="BI24" s="248">
        <f ca="1">AR24/INDIRECT("'Formula for FPL-2015'!B"&amp;'24 Core'!AS24)</f>
        <v>2.7741164758586363</v>
      </c>
      <c r="BJ24" s="76">
        <f ca="1">AR24/INDIRECT("'Formula for FPL-2014'!B"&amp;'24 Core'!AS24)</f>
        <v>2.8161697827185446</v>
      </c>
      <c r="BK24" s="47">
        <v>281.62</v>
      </c>
      <c r="BL24" s="50">
        <v>285.37</v>
      </c>
      <c r="BM24" s="105"/>
      <c r="BN24" s="105"/>
      <c r="BO24" s="106"/>
      <c r="BP24" s="55" t="s">
        <v>167</v>
      </c>
      <c r="BQ24" s="80" t="s">
        <v>510</v>
      </c>
      <c r="BR24" s="80" t="s">
        <v>509</v>
      </c>
      <c r="BS24" s="80" t="s">
        <v>510</v>
      </c>
      <c r="BT24" s="191">
        <f t="shared" si="3"/>
        <v>55732</v>
      </c>
      <c r="BU24" s="148">
        <f t="shared" si="4"/>
        <v>3</v>
      </c>
      <c r="BV24" s="126">
        <v>2.7741164758586363</v>
      </c>
      <c r="BW24" s="267"/>
      <c r="BX24" s="168"/>
      <c r="BY24" s="168"/>
      <c r="BZ24" s="168"/>
      <c r="CA24" s="168"/>
      <c r="CB24" s="200"/>
      <c r="CC24" s="168"/>
      <c r="CD24" s="168"/>
      <c r="CE24" s="168"/>
      <c r="CF24" s="125"/>
      <c r="CG24" s="142" t="str">
        <f t="shared" si="0"/>
        <v>BLANK</v>
      </c>
      <c r="CH24" s="142" t="str">
        <f t="shared" si="5"/>
        <v>FAIL</v>
      </c>
      <c r="CI24" s="269"/>
      <c r="CJ24" s="157"/>
      <c r="CK24" s="216"/>
      <c r="CL24" s="267"/>
      <c r="CM24" s="220"/>
      <c r="CN24" s="220"/>
      <c r="CO24" s="220"/>
      <c r="CP24" s="220"/>
      <c r="CQ24" s="220"/>
      <c r="CR24" s="241"/>
      <c r="CS24" s="125"/>
      <c r="CT24" s="142" t="str">
        <f t="shared" si="1"/>
        <v>BLANK</v>
      </c>
      <c r="CU24" s="142" t="str">
        <f t="shared" si="7"/>
        <v>FAIL</v>
      </c>
      <c r="CV24" s="269"/>
      <c r="CW24" s="157"/>
      <c r="CX24" s="216" t="s">
        <v>1048</v>
      </c>
    </row>
    <row r="25" spans="1:102" ht="75" customHeight="1">
      <c r="A25" s="266">
        <v>6</v>
      </c>
      <c r="B25" s="198">
        <v>1</v>
      </c>
      <c r="C25" s="218" t="s">
        <v>1117</v>
      </c>
      <c r="D25" s="309" t="s">
        <v>214</v>
      </c>
      <c r="E25" s="309" t="s">
        <v>495</v>
      </c>
      <c r="F25" s="130" t="s">
        <v>189</v>
      </c>
      <c r="G25" s="130" t="s">
        <v>433</v>
      </c>
      <c r="H25" s="130" t="s">
        <v>434</v>
      </c>
      <c r="I25" s="130" t="s">
        <v>51</v>
      </c>
      <c r="J25" s="130" t="s">
        <v>178</v>
      </c>
      <c r="K25" s="130" t="s">
        <v>71</v>
      </c>
      <c r="L25" s="130" t="s">
        <v>386</v>
      </c>
      <c r="M25" s="130" t="s">
        <v>39</v>
      </c>
      <c r="N25" s="130" t="s">
        <v>52</v>
      </c>
      <c r="O25" s="130" t="s">
        <v>41</v>
      </c>
      <c r="P25" s="131" t="s">
        <v>43</v>
      </c>
      <c r="Q25" s="130" t="s">
        <v>43</v>
      </c>
      <c r="R25" s="130" t="s">
        <v>42</v>
      </c>
      <c r="S25" s="130" t="s">
        <v>44</v>
      </c>
      <c r="T25" s="130">
        <v>445566251</v>
      </c>
      <c r="U25" s="130" t="s">
        <v>45</v>
      </c>
      <c r="V25" s="130" t="s">
        <v>53</v>
      </c>
      <c r="W25" s="130" t="s">
        <v>180</v>
      </c>
      <c r="X25" s="130" t="s">
        <v>62</v>
      </c>
      <c r="Y25" s="130">
        <v>20002</v>
      </c>
      <c r="Z25" s="130" t="s">
        <v>42</v>
      </c>
      <c r="AA25" s="130" t="s">
        <v>42</v>
      </c>
      <c r="AB25" s="130" t="s">
        <v>42</v>
      </c>
      <c r="AC25" s="130" t="s">
        <v>42</v>
      </c>
      <c r="AD25" s="130" t="s">
        <v>42</v>
      </c>
      <c r="AE25" s="130" t="s">
        <v>42</v>
      </c>
      <c r="AF25" s="130" t="s">
        <v>42</v>
      </c>
      <c r="AG25" s="130" t="s">
        <v>42</v>
      </c>
      <c r="AH25" s="130" t="s">
        <v>42</v>
      </c>
      <c r="AI25" s="130" t="s">
        <v>42</v>
      </c>
      <c r="AJ25" s="130" t="s">
        <v>42</v>
      </c>
      <c r="AK25" s="130" t="s">
        <v>312</v>
      </c>
      <c r="AL25" s="130" t="s">
        <v>42</v>
      </c>
      <c r="AM25" s="130" t="s">
        <v>46</v>
      </c>
      <c r="AN25" s="130" t="s">
        <v>41</v>
      </c>
      <c r="AO25" s="130" t="s">
        <v>42</v>
      </c>
      <c r="AP25" s="130" t="s">
        <v>281</v>
      </c>
      <c r="AQ25" s="130">
        <f>394.85*52</f>
        <v>20532.2</v>
      </c>
      <c r="AR25" s="183">
        <f>(394.85*52)+20000</f>
        <v>40532.199999999997</v>
      </c>
      <c r="AS25" s="133">
        <v>3</v>
      </c>
      <c r="AT25" s="134">
        <v>40909</v>
      </c>
      <c r="AU25" s="130"/>
      <c r="AV25" s="130"/>
      <c r="AW25" s="130"/>
      <c r="AX25" s="130" t="s">
        <v>43</v>
      </c>
      <c r="AY25" s="130" t="s">
        <v>72</v>
      </c>
      <c r="AZ25" s="130" t="s">
        <v>43</v>
      </c>
      <c r="BA25" s="130"/>
      <c r="BB25" s="130"/>
      <c r="BC25" s="130" t="s">
        <v>43</v>
      </c>
      <c r="BD25" s="130" t="s">
        <v>42</v>
      </c>
      <c r="BE25" s="130" t="s">
        <v>43</v>
      </c>
      <c r="BF25" s="130" t="s">
        <v>43</v>
      </c>
      <c r="BG25" s="130" t="s">
        <v>43</v>
      </c>
      <c r="BH25" s="76">
        <f ca="1">AR25/INDIRECT("'Formula for FPL-2016'!B"&amp;'24 Core'!AS25)</f>
        <v>2.0105257936507934</v>
      </c>
      <c r="BI25" s="91">
        <f ca="1">AR25/INDIRECT("'Formula for FPL-2015'!B"&amp;'24 Core'!AS25)</f>
        <v>2.0175311100049775</v>
      </c>
      <c r="BJ25" s="91">
        <f ca="1">AR25/INDIRECT("'Formula for FPL-2014'!B"&amp;'24 Core'!AS25)</f>
        <v>2.0481152097018693</v>
      </c>
      <c r="BK25" s="135">
        <v>204.81</v>
      </c>
      <c r="BL25" s="130" t="s">
        <v>259</v>
      </c>
      <c r="BM25" s="136"/>
      <c r="BN25" s="136"/>
      <c r="BO25" s="137"/>
      <c r="BP25" s="130" t="s">
        <v>172</v>
      </c>
      <c r="BQ25" s="80" t="s">
        <v>509</v>
      </c>
      <c r="BR25" s="80" t="s">
        <v>510</v>
      </c>
      <c r="BS25" s="80" t="s">
        <v>510</v>
      </c>
      <c r="BT25" s="186">
        <f t="shared" si="3"/>
        <v>40532.199999999997</v>
      </c>
      <c r="BU25" s="149">
        <f t="shared" si="4"/>
        <v>3</v>
      </c>
      <c r="BV25" s="124">
        <v>2.0109126984126986</v>
      </c>
      <c r="BW25" s="249"/>
      <c r="BX25" s="169"/>
      <c r="BY25" s="169"/>
      <c r="BZ25" s="169"/>
      <c r="CA25" s="169"/>
      <c r="CB25" s="206" t="e">
        <v>#N/A</v>
      </c>
      <c r="CC25" s="169"/>
      <c r="CD25" s="169"/>
      <c r="CE25" s="169"/>
      <c r="CF25" s="124"/>
      <c r="CG25" s="142" t="str">
        <f t="shared" si="0"/>
        <v>BLANK</v>
      </c>
      <c r="CH25" s="142" t="str">
        <f t="shared" si="5"/>
        <v>FAIL</v>
      </c>
      <c r="CI25" s="252" t="str">
        <f>IF(COUNTIF(CG25:CH27, "FAIL")=0,"PASS","FAIL")</f>
        <v>FAIL</v>
      </c>
      <c r="CJ25" s="157"/>
      <c r="CK25" s="216"/>
      <c r="CL25" s="249"/>
      <c r="CM25" s="223"/>
      <c r="CN25" s="206"/>
      <c r="CO25" s="223"/>
      <c r="CP25" s="223"/>
      <c r="CQ25" s="223"/>
      <c r="CR25" s="135"/>
      <c r="CS25" s="124"/>
      <c r="CT25" s="142" t="str">
        <f t="shared" si="1"/>
        <v>BLANK</v>
      </c>
      <c r="CU25" s="142" t="str">
        <f t="shared" si="7"/>
        <v>FAIL</v>
      </c>
      <c r="CV25" s="252" t="str">
        <f>IF(COUNTIF(CT25:CU27, "FAIL")=0,"PASS","FAIL")</f>
        <v>FAIL</v>
      </c>
      <c r="CW25" s="157"/>
      <c r="CX25" s="216" t="s">
        <v>1113</v>
      </c>
    </row>
    <row r="26" spans="1:102" ht="44.25" customHeight="1">
      <c r="A26" s="306"/>
      <c r="B26" s="198">
        <v>2</v>
      </c>
      <c r="C26" s="221"/>
      <c r="D26" s="309"/>
      <c r="E26" s="309"/>
      <c r="F26" s="130" t="s">
        <v>183</v>
      </c>
      <c r="G26" s="130" t="s">
        <v>435</v>
      </c>
      <c r="H26" s="130" t="s">
        <v>434</v>
      </c>
      <c r="I26" s="130" t="s">
        <v>51</v>
      </c>
      <c r="J26" s="130" t="s">
        <v>178</v>
      </c>
      <c r="K26" s="130" t="s">
        <v>70</v>
      </c>
      <c r="L26" s="130" t="s">
        <v>380</v>
      </c>
      <c r="M26" s="130" t="s">
        <v>48</v>
      </c>
      <c r="N26" s="130" t="s">
        <v>52</v>
      </c>
      <c r="O26" s="130" t="s">
        <v>41</v>
      </c>
      <c r="P26" s="131" t="s">
        <v>43</v>
      </c>
      <c r="Q26" s="130" t="s">
        <v>43</v>
      </c>
      <c r="R26" s="130" t="s">
        <v>41</v>
      </c>
      <c r="S26" s="130" t="s">
        <v>44</v>
      </c>
      <c r="T26" s="130">
        <v>445566252</v>
      </c>
      <c r="U26" s="130" t="s">
        <v>45</v>
      </c>
      <c r="V26" s="130" t="s">
        <v>53</v>
      </c>
      <c r="W26" s="130" t="s">
        <v>180</v>
      </c>
      <c r="X26" s="130" t="s">
        <v>62</v>
      </c>
      <c r="Y26" s="130">
        <v>20002</v>
      </c>
      <c r="Z26" s="130" t="s">
        <v>42</v>
      </c>
      <c r="AA26" s="130" t="s">
        <v>43</v>
      </c>
      <c r="AB26" s="130" t="s">
        <v>42</v>
      </c>
      <c r="AC26" s="130" t="s">
        <v>42</v>
      </c>
      <c r="AD26" s="130" t="s">
        <v>42</v>
      </c>
      <c r="AE26" s="130" t="s">
        <v>42</v>
      </c>
      <c r="AF26" s="130" t="s">
        <v>42</v>
      </c>
      <c r="AG26" s="130" t="s">
        <v>42</v>
      </c>
      <c r="AH26" s="130" t="s">
        <v>42</v>
      </c>
      <c r="AI26" s="130" t="s">
        <v>42</v>
      </c>
      <c r="AJ26" s="130" t="s">
        <v>42</v>
      </c>
      <c r="AK26" s="130" t="s">
        <v>314</v>
      </c>
      <c r="AL26" s="130" t="s">
        <v>42</v>
      </c>
      <c r="AM26" s="130" t="s">
        <v>46</v>
      </c>
      <c r="AN26" s="130" t="s">
        <v>41</v>
      </c>
      <c r="AO26" s="130" t="s">
        <v>42</v>
      </c>
      <c r="AP26" s="132" t="s">
        <v>1115</v>
      </c>
      <c r="AQ26" s="132"/>
      <c r="AR26" s="183">
        <f t="shared" ref="AR26:AR27" si="8">(394.85*52)+20000</f>
        <v>40532.199999999997</v>
      </c>
      <c r="AS26" s="133">
        <v>3</v>
      </c>
      <c r="AT26" s="134">
        <v>40909</v>
      </c>
      <c r="AU26" s="132"/>
      <c r="AV26" s="130"/>
      <c r="AW26" s="130"/>
      <c r="AX26" s="130" t="s">
        <v>43</v>
      </c>
      <c r="AY26" s="130" t="s">
        <v>72</v>
      </c>
      <c r="AZ26" s="130" t="s">
        <v>43</v>
      </c>
      <c r="BA26" s="130"/>
      <c r="BB26" s="130"/>
      <c r="BC26" s="130" t="s">
        <v>43</v>
      </c>
      <c r="BD26" s="130" t="s">
        <v>42</v>
      </c>
      <c r="BE26" s="130" t="s">
        <v>43</v>
      </c>
      <c r="BF26" s="130" t="s">
        <v>43</v>
      </c>
      <c r="BG26" s="130" t="s">
        <v>43</v>
      </c>
      <c r="BH26" s="76">
        <f ca="1">AR26/INDIRECT("'Formula for FPL-2016'!B"&amp;'24 Core'!AS26)</f>
        <v>2.0105257936507934</v>
      </c>
      <c r="BI26" s="91">
        <f ca="1">AR26/INDIRECT("'Formula for FPL-2015'!B"&amp;'24 Core'!AS26)</f>
        <v>2.0175311100049775</v>
      </c>
      <c r="BJ26" s="91">
        <f ca="1">AR26/INDIRECT("'Formula for FPL-2014'!B"&amp;'24 Core'!AS26)</f>
        <v>2.0481152097018693</v>
      </c>
      <c r="BK26" s="135">
        <v>204.81</v>
      </c>
      <c r="BL26" s="130" t="s">
        <v>259</v>
      </c>
      <c r="BM26" s="136"/>
      <c r="BN26" s="136"/>
      <c r="BO26" s="137"/>
      <c r="BP26" s="130" t="s">
        <v>172</v>
      </c>
      <c r="BQ26" s="80" t="s">
        <v>509</v>
      </c>
      <c r="BR26" s="80" t="s">
        <v>510</v>
      </c>
      <c r="BS26" s="80" t="s">
        <v>510</v>
      </c>
      <c r="BT26" s="186">
        <f t="shared" si="3"/>
        <v>40532.199999999997</v>
      </c>
      <c r="BU26" s="149">
        <f t="shared" si="4"/>
        <v>3</v>
      </c>
      <c r="BV26" s="124">
        <v>2.0109126984126986</v>
      </c>
      <c r="BW26" s="250"/>
      <c r="BX26" s="169"/>
      <c r="BY26" s="169"/>
      <c r="BZ26" s="169"/>
      <c r="CA26" s="169"/>
      <c r="CB26" s="201"/>
      <c r="CC26" s="169"/>
      <c r="CD26" s="169"/>
      <c r="CE26" s="169"/>
      <c r="CF26" s="124"/>
      <c r="CG26" s="142" t="str">
        <f t="shared" si="0"/>
        <v>BLANK</v>
      </c>
      <c r="CH26" s="142" t="str">
        <f t="shared" si="5"/>
        <v>FAIL</v>
      </c>
      <c r="CI26" s="253"/>
      <c r="CJ26" s="157"/>
      <c r="CK26" s="216"/>
      <c r="CL26" s="250"/>
      <c r="CM26" s="223"/>
      <c r="CN26" s="223"/>
      <c r="CO26" s="223"/>
      <c r="CP26" s="223"/>
      <c r="CQ26" s="223"/>
      <c r="CR26" s="135"/>
      <c r="CS26" s="124"/>
      <c r="CT26" s="142" t="str">
        <f t="shared" si="1"/>
        <v>BLANK</v>
      </c>
      <c r="CU26" s="142" t="str">
        <f t="shared" si="7"/>
        <v>FAIL</v>
      </c>
      <c r="CV26" s="253"/>
      <c r="CW26" s="157"/>
      <c r="CX26" s="216" t="s">
        <v>1121</v>
      </c>
    </row>
    <row r="27" spans="1:102" ht="41.25" customHeight="1">
      <c r="A27" s="293"/>
      <c r="B27" s="198">
        <v>3</v>
      </c>
      <c r="C27" s="219"/>
      <c r="D27" s="309"/>
      <c r="E27" s="309"/>
      <c r="F27" s="130" t="s">
        <v>181</v>
      </c>
      <c r="G27" s="130" t="s">
        <v>436</v>
      </c>
      <c r="H27" s="130" t="s">
        <v>434</v>
      </c>
      <c r="I27" s="130" t="s">
        <v>188</v>
      </c>
      <c r="J27" s="130" t="s">
        <v>188</v>
      </c>
      <c r="K27" s="130" t="s">
        <v>96</v>
      </c>
      <c r="L27" s="130" t="s">
        <v>382</v>
      </c>
      <c r="M27" s="130" t="s">
        <v>48</v>
      </c>
      <c r="N27" s="130" t="s">
        <v>40</v>
      </c>
      <c r="O27" s="130" t="s">
        <v>41</v>
      </c>
      <c r="P27" s="131" t="s">
        <v>43</v>
      </c>
      <c r="Q27" s="130" t="s">
        <v>43</v>
      </c>
      <c r="R27" s="130" t="s">
        <v>43</v>
      </c>
      <c r="S27" s="130" t="s">
        <v>44</v>
      </c>
      <c r="T27" s="130">
        <v>445566253</v>
      </c>
      <c r="U27" s="130" t="s">
        <v>45</v>
      </c>
      <c r="V27" s="130" t="s">
        <v>107</v>
      </c>
      <c r="W27" s="130" t="s">
        <v>193</v>
      </c>
      <c r="X27" s="130" t="s">
        <v>82</v>
      </c>
      <c r="Y27" s="130">
        <v>20740</v>
      </c>
      <c r="Z27" s="130" t="s">
        <v>42</v>
      </c>
      <c r="AA27" s="130" t="s">
        <v>43</v>
      </c>
      <c r="AB27" s="130" t="s">
        <v>42</v>
      </c>
      <c r="AC27" s="130" t="s">
        <v>42</v>
      </c>
      <c r="AD27" s="130" t="s">
        <v>42</v>
      </c>
      <c r="AE27" s="130" t="s">
        <v>43</v>
      </c>
      <c r="AF27" s="130" t="s">
        <v>42</v>
      </c>
      <c r="AG27" s="130" t="s">
        <v>42</v>
      </c>
      <c r="AH27" s="130" t="s">
        <v>42</v>
      </c>
      <c r="AI27" s="130" t="s">
        <v>42</v>
      </c>
      <c r="AJ27" s="130" t="s">
        <v>42</v>
      </c>
      <c r="AK27" s="130" t="s">
        <v>315</v>
      </c>
      <c r="AL27" s="130" t="s">
        <v>42</v>
      </c>
      <c r="AM27" s="130" t="s">
        <v>58</v>
      </c>
      <c r="AN27" s="130" t="s">
        <v>42</v>
      </c>
      <c r="AO27" s="130" t="s">
        <v>189</v>
      </c>
      <c r="AP27" s="130" t="s">
        <v>195</v>
      </c>
      <c r="AQ27" s="130" t="s">
        <v>1116</v>
      </c>
      <c r="AR27" s="183">
        <f t="shared" si="8"/>
        <v>40532.199999999997</v>
      </c>
      <c r="AS27" s="133">
        <v>3</v>
      </c>
      <c r="AT27" s="134">
        <v>40909</v>
      </c>
      <c r="AU27" s="130"/>
      <c r="AV27" s="130"/>
      <c r="AW27" s="130"/>
      <c r="AX27" s="130" t="s">
        <v>43</v>
      </c>
      <c r="AY27" s="130" t="s">
        <v>72</v>
      </c>
      <c r="AZ27" s="130" t="s">
        <v>43</v>
      </c>
      <c r="BA27" s="130"/>
      <c r="BB27" s="130"/>
      <c r="BC27" s="130" t="s">
        <v>43</v>
      </c>
      <c r="BD27" s="130" t="s">
        <v>42</v>
      </c>
      <c r="BE27" s="130" t="s">
        <v>43</v>
      </c>
      <c r="BF27" s="130" t="s">
        <v>43</v>
      </c>
      <c r="BG27" s="130" t="s">
        <v>43</v>
      </c>
      <c r="BH27" s="76">
        <f ca="1">AR27/INDIRECT("'Formula for FPL-2016'!B"&amp;'24 Core'!AS27)</f>
        <v>2.0105257936507934</v>
      </c>
      <c r="BI27" s="248">
        <f ca="1">AR27/INDIRECT("'Formula for FPL-2015'!B"&amp;'24 Core'!AS27)</f>
        <v>2.0175311100049775</v>
      </c>
      <c r="BJ27" s="91">
        <f ca="1">AR27/INDIRECT("'Formula for FPL-2014'!B"&amp;'24 Core'!AS27)</f>
        <v>2.0481152097018693</v>
      </c>
      <c r="BK27" s="135">
        <v>204.81</v>
      </c>
      <c r="BL27" s="130">
        <v>207.54</v>
      </c>
      <c r="BM27" s="136"/>
      <c r="BN27" s="136"/>
      <c r="BO27" s="137"/>
      <c r="BP27" s="55" t="s">
        <v>168</v>
      </c>
      <c r="BQ27" s="80" t="s">
        <v>510</v>
      </c>
      <c r="BR27" s="80" t="s">
        <v>509</v>
      </c>
      <c r="BS27" s="80" t="s">
        <v>509</v>
      </c>
      <c r="BT27" s="186">
        <f t="shared" si="3"/>
        <v>40532.199999999997</v>
      </c>
      <c r="BU27" s="149">
        <f t="shared" si="4"/>
        <v>3</v>
      </c>
      <c r="BV27" s="126">
        <v>2.0109126984126986</v>
      </c>
      <c r="BW27" s="251"/>
      <c r="BX27" s="169"/>
      <c r="BY27" s="169"/>
      <c r="BZ27" s="169"/>
      <c r="CA27" s="169"/>
      <c r="CB27" s="201"/>
      <c r="CC27" s="169"/>
      <c r="CD27" s="169"/>
      <c r="CE27" s="169"/>
      <c r="CF27" s="124"/>
      <c r="CG27" s="142" t="str">
        <f t="shared" si="0"/>
        <v>BLANK</v>
      </c>
      <c r="CH27" s="142" t="str">
        <f t="shared" si="5"/>
        <v>FAIL</v>
      </c>
      <c r="CI27" s="254"/>
      <c r="CJ27" s="157"/>
      <c r="CK27" s="216"/>
      <c r="CL27" s="251"/>
      <c r="CM27" s="223"/>
      <c r="CN27" s="223"/>
      <c r="CO27" s="223"/>
      <c r="CP27" s="223"/>
      <c r="CQ27" s="223"/>
      <c r="CR27" s="135"/>
      <c r="CS27" s="124"/>
      <c r="CT27" s="142" t="str">
        <f t="shared" si="1"/>
        <v>BLANK</v>
      </c>
      <c r="CU27" s="142" t="str">
        <f t="shared" si="7"/>
        <v>FAIL</v>
      </c>
      <c r="CV27" s="254"/>
      <c r="CW27" s="157"/>
      <c r="CX27" s="216"/>
    </row>
    <row r="28" spans="1:102" s="35" customFormat="1" ht="68.25" customHeight="1">
      <c r="A28" s="266">
        <v>7</v>
      </c>
      <c r="B28" s="198">
        <v>1</v>
      </c>
      <c r="C28" s="218" t="s">
        <v>1029</v>
      </c>
      <c r="D28" s="308" t="s">
        <v>215</v>
      </c>
      <c r="E28" s="308" t="s">
        <v>338</v>
      </c>
      <c r="F28" s="50" t="s">
        <v>196</v>
      </c>
      <c r="G28" s="50" t="s">
        <v>397</v>
      </c>
      <c r="H28" s="50" t="s">
        <v>397</v>
      </c>
      <c r="I28" s="50" t="s">
        <v>51</v>
      </c>
      <c r="J28" s="50" t="s">
        <v>51</v>
      </c>
      <c r="K28" s="50" t="s">
        <v>71</v>
      </c>
      <c r="L28" s="50" t="s">
        <v>387</v>
      </c>
      <c r="M28" s="50" t="s">
        <v>48</v>
      </c>
      <c r="N28" s="50" t="s">
        <v>40</v>
      </c>
      <c r="O28" s="50" t="s">
        <v>41</v>
      </c>
      <c r="P28" s="131" t="s">
        <v>43</v>
      </c>
      <c r="Q28" s="50" t="s">
        <v>43</v>
      </c>
      <c r="R28" s="50" t="s">
        <v>42</v>
      </c>
      <c r="S28" s="50" t="s">
        <v>44</v>
      </c>
      <c r="T28" s="50">
        <v>443323571</v>
      </c>
      <c r="U28" s="50" t="s">
        <v>45</v>
      </c>
      <c r="V28" s="50" t="s">
        <v>53</v>
      </c>
      <c r="W28" s="50" t="s">
        <v>180</v>
      </c>
      <c r="X28" s="50" t="s">
        <v>62</v>
      </c>
      <c r="Y28" s="50">
        <v>20002</v>
      </c>
      <c r="Z28" s="50" t="s">
        <v>42</v>
      </c>
      <c r="AA28" s="50" t="s">
        <v>43</v>
      </c>
      <c r="AB28" s="50" t="s">
        <v>42</v>
      </c>
      <c r="AC28" s="50" t="s">
        <v>42</v>
      </c>
      <c r="AD28" s="50" t="s">
        <v>42</v>
      </c>
      <c r="AE28" s="50" t="s">
        <v>42</v>
      </c>
      <c r="AF28" s="50" t="s">
        <v>42</v>
      </c>
      <c r="AG28" s="50" t="s">
        <v>42</v>
      </c>
      <c r="AH28" s="50" t="s">
        <v>42</v>
      </c>
      <c r="AI28" s="50" t="s">
        <v>42</v>
      </c>
      <c r="AJ28" s="50" t="s">
        <v>42</v>
      </c>
      <c r="AK28" s="50" t="s">
        <v>316</v>
      </c>
      <c r="AL28" s="50" t="s">
        <v>41</v>
      </c>
      <c r="AM28" s="50" t="s">
        <v>46</v>
      </c>
      <c r="AN28" s="50" t="s">
        <v>42</v>
      </c>
      <c r="AO28" s="50" t="s">
        <v>42</v>
      </c>
      <c r="AP28" s="44" t="s">
        <v>290</v>
      </c>
      <c r="AQ28" s="79" t="s">
        <v>1049</v>
      </c>
      <c r="AR28" s="182">
        <f>60931+10000</f>
        <v>70931</v>
      </c>
      <c r="AS28" s="57">
        <v>3</v>
      </c>
      <c r="AT28" s="46">
        <v>40909</v>
      </c>
      <c r="AU28" s="44"/>
      <c r="AV28" s="50"/>
      <c r="AW28" s="50"/>
      <c r="AX28" s="50" t="s">
        <v>43</v>
      </c>
      <c r="AY28" s="50" t="s">
        <v>72</v>
      </c>
      <c r="AZ28" s="50" t="s">
        <v>43</v>
      </c>
      <c r="BA28" s="50"/>
      <c r="BB28" s="50"/>
      <c r="BC28" s="50" t="s">
        <v>43</v>
      </c>
      <c r="BD28" s="50" t="s">
        <v>42</v>
      </c>
      <c r="BE28" s="50" t="s">
        <v>43</v>
      </c>
      <c r="BF28" s="50" t="s">
        <v>43</v>
      </c>
      <c r="BG28" s="50" t="s">
        <v>43</v>
      </c>
      <c r="BH28" s="76">
        <f ca="1">AR28/INDIRECT("'Formula for FPL-2016'!B"&amp;'24 Core'!AS28)</f>
        <v>3.5184027777777778</v>
      </c>
      <c r="BI28" s="248">
        <f ca="1">AR28/INDIRECT("'Formula for FPL-2015'!B"&amp;'24 Core'!AS28)</f>
        <v>3.5306620209059232</v>
      </c>
      <c r="BJ28" s="76">
        <f ca="1">AR28/INDIRECT("'Formula for FPL-2014'!B"&amp;'24 Core'!AS28)</f>
        <v>3.5841839312784236</v>
      </c>
      <c r="BK28" s="47">
        <v>358.42</v>
      </c>
      <c r="BL28" s="50">
        <v>363.19</v>
      </c>
      <c r="BM28" s="105"/>
      <c r="BN28" s="105"/>
      <c r="BO28" s="106"/>
      <c r="BP28" s="55" t="s">
        <v>167</v>
      </c>
      <c r="BQ28" s="80" t="s">
        <v>510</v>
      </c>
      <c r="BR28" s="80" t="s">
        <v>509</v>
      </c>
      <c r="BS28" s="80" t="s">
        <v>510</v>
      </c>
      <c r="BT28" s="191">
        <f t="shared" si="3"/>
        <v>70931</v>
      </c>
      <c r="BU28" s="148">
        <f t="shared" si="4"/>
        <v>3</v>
      </c>
      <c r="BV28" s="126">
        <v>3.5306620209059232</v>
      </c>
      <c r="BW28" s="266"/>
      <c r="BX28" s="168"/>
      <c r="BY28" s="168"/>
      <c r="BZ28" s="168"/>
      <c r="CA28" s="168"/>
      <c r="CB28" s="200" t="s">
        <v>996</v>
      </c>
      <c r="CC28" s="168"/>
      <c r="CD28" s="168"/>
      <c r="CE28" s="168"/>
      <c r="CF28" s="125"/>
      <c r="CG28" s="142" t="str">
        <f t="shared" si="0"/>
        <v>BLANK</v>
      </c>
      <c r="CH28" s="142" t="str">
        <f t="shared" si="5"/>
        <v>FAIL</v>
      </c>
      <c r="CI28" s="268" t="str">
        <f>IF(COUNTIF(CG28:CH30, "FAIL")=0,"PASS","FAIL")</f>
        <v>FAIL</v>
      </c>
      <c r="CJ28" s="157"/>
      <c r="CK28" s="216"/>
      <c r="CL28" s="266"/>
      <c r="CM28" s="220"/>
      <c r="CN28" s="220"/>
      <c r="CO28" s="220"/>
      <c r="CP28" s="220"/>
      <c r="CQ28" s="220"/>
      <c r="CR28" s="241"/>
      <c r="CS28" s="125"/>
      <c r="CT28" s="142" t="str">
        <f t="shared" si="1"/>
        <v>BLANK</v>
      </c>
      <c r="CU28" s="142" t="str">
        <f t="shared" si="7"/>
        <v>FAIL</v>
      </c>
      <c r="CV28" s="268" t="str">
        <f>IF(COUNTIF(CT28:CU30, "FAIL")=0,"PASS","FAIL")</f>
        <v>FAIL</v>
      </c>
      <c r="CW28" s="157"/>
      <c r="CX28" s="216" t="s">
        <v>1075</v>
      </c>
    </row>
    <row r="29" spans="1:102" s="35" customFormat="1" ht="42" customHeight="1">
      <c r="A29" s="306"/>
      <c r="B29" s="198">
        <v>2</v>
      </c>
      <c r="C29" s="221"/>
      <c r="D29" s="308"/>
      <c r="E29" s="308"/>
      <c r="F29" s="50" t="s">
        <v>183</v>
      </c>
      <c r="G29" s="50" t="s">
        <v>398</v>
      </c>
      <c r="H29" s="50" t="s">
        <v>398</v>
      </c>
      <c r="I29" s="50" t="s">
        <v>51</v>
      </c>
      <c r="J29" s="50" t="s">
        <v>51</v>
      </c>
      <c r="K29" s="50" t="s">
        <v>67</v>
      </c>
      <c r="L29" s="50" t="s">
        <v>388</v>
      </c>
      <c r="M29" s="50" t="s">
        <v>48</v>
      </c>
      <c r="N29" s="50" t="s">
        <v>40</v>
      </c>
      <c r="O29" s="50" t="s">
        <v>41</v>
      </c>
      <c r="P29" s="131" t="s">
        <v>43</v>
      </c>
      <c r="Q29" s="50" t="s">
        <v>43</v>
      </c>
      <c r="R29" s="50" t="s">
        <v>41</v>
      </c>
      <c r="S29" s="50" t="s">
        <v>44</v>
      </c>
      <c r="T29" s="50">
        <v>443323572</v>
      </c>
      <c r="U29" s="50" t="s">
        <v>45</v>
      </c>
      <c r="V29" s="50" t="s">
        <v>53</v>
      </c>
      <c r="W29" s="50" t="s">
        <v>180</v>
      </c>
      <c r="X29" s="50" t="s">
        <v>62</v>
      </c>
      <c r="Y29" s="50">
        <v>20002</v>
      </c>
      <c r="Z29" s="50" t="s">
        <v>42</v>
      </c>
      <c r="AA29" s="50" t="s">
        <v>43</v>
      </c>
      <c r="AB29" s="50" t="s">
        <v>42</v>
      </c>
      <c r="AC29" s="50" t="s">
        <v>42</v>
      </c>
      <c r="AD29" s="50" t="s">
        <v>42</v>
      </c>
      <c r="AE29" s="50" t="s">
        <v>42</v>
      </c>
      <c r="AF29" s="50" t="s">
        <v>42</v>
      </c>
      <c r="AG29" s="50" t="s">
        <v>42</v>
      </c>
      <c r="AH29" s="50" t="s">
        <v>42</v>
      </c>
      <c r="AI29" s="50" t="s">
        <v>42</v>
      </c>
      <c r="AJ29" s="50" t="s">
        <v>42</v>
      </c>
      <c r="AK29" s="50" t="s">
        <v>317</v>
      </c>
      <c r="AL29" s="50" t="s">
        <v>42</v>
      </c>
      <c r="AM29" s="50" t="s">
        <v>58</v>
      </c>
      <c r="AN29" s="50" t="s">
        <v>42</v>
      </c>
      <c r="AO29" s="50" t="s">
        <v>196</v>
      </c>
      <c r="AP29" s="44" t="s">
        <v>197</v>
      </c>
      <c r="AQ29" s="44"/>
      <c r="AR29" s="182">
        <f t="shared" ref="AR29" si="9">60931+10000</f>
        <v>70931</v>
      </c>
      <c r="AS29" s="57">
        <v>3</v>
      </c>
      <c r="AT29" s="46">
        <v>40909</v>
      </c>
      <c r="AU29" s="44"/>
      <c r="AV29" s="50"/>
      <c r="AW29" s="50"/>
      <c r="AX29" s="50" t="s">
        <v>43</v>
      </c>
      <c r="AY29" s="50" t="s">
        <v>72</v>
      </c>
      <c r="AZ29" s="50" t="s">
        <v>43</v>
      </c>
      <c r="BA29" s="50"/>
      <c r="BB29" s="50"/>
      <c r="BC29" s="50" t="s">
        <v>43</v>
      </c>
      <c r="BD29" s="50" t="s">
        <v>42</v>
      </c>
      <c r="BE29" s="50" t="s">
        <v>43</v>
      </c>
      <c r="BF29" s="50" t="s">
        <v>43</v>
      </c>
      <c r="BG29" s="50" t="s">
        <v>43</v>
      </c>
      <c r="BH29" s="76">
        <f ca="1">AR29/INDIRECT("'Formula for FPL-2016'!B"&amp;'24 Core'!AS29)</f>
        <v>3.5184027777777778</v>
      </c>
      <c r="BI29" s="248">
        <f ca="1">AR29/INDIRECT("'Formula for FPL-2015'!B"&amp;'24 Core'!AS29)</f>
        <v>3.5306620209059232</v>
      </c>
      <c r="BJ29" s="76">
        <f ca="1">AR29/INDIRECT("'Formula for FPL-2014'!B"&amp;'24 Core'!AS29)</f>
        <v>3.5841839312784236</v>
      </c>
      <c r="BK29" s="47">
        <v>358.42</v>
      </c>
      <c r="BL29" s="50">
        <v>363.19</v>
      </c>
      <c r="BM29" s="105"/>
      <c r="BN29" s="105"/>
      <c r="BO29" s="106"/>
      <c r="BP29" s="55" t="s">
        <v>167</v>
      </c>
      <c r="BQ29" s="80" t="s">
        <v>510</v>
      </c>
      <c r="BR29" s="80" t="s">
        <v>509</v>
      </c>
      <c r="BS29" s="80" t="s">
        <v>510</v>
      </c>
      <c r="BT29" s="191">
        <f t="shared" si="3"/>
        <v>70931</v>
      </c>
      <c r="BU29" s="148">
        <f t="shared" si="4"/>
        <v>3</v>
      </c>
      <c r="BV29" s="126">
        <v>3.5306620209059232</v>
      </c>
      <c r="BW29" s="276"/>
      <c r="BX29" s="168"/>
      <c r="BY29" s="168"/>
      <c r="BZ29" s="168"/>
      <c r="CA29" s="168"/>
      <c r="CB29" s="200"/>
      <c r="CC29" s="168"/>
      <c r="CD29" s="168"/>
      <c r="CE29" s="168"/>
      <c r="CF29" s="125"/>
      <c r="CG29" s="142" t="str">
        <f t="shared" si="0"/>
        <v>BLANK</v>
      </c>
      <c r="CH29" s="142" t="str">
        <f t="shared" si="5"/>
        <v>FAIL</v>
      </c>
      <c r="CI29" s="275"/>
      <c r="CJ29" s="157"/>
      <c r="CK29" s="216"/>
      <c r="CL29" s="276"/>
      <c r="CM29" s="220"/>
      <c r="CN29" s="220"/>
      <c r="CO29" s="220"/>
      <c r="CP29" s="220"/>
      <c r="CQ29" s="220"/>
      <c r="CR29" s="241"/>
      <c r="CS29" s="125"/>
      <c r="CT29" s="142" t="str">
        <f t="shared" si="1"/>
        <v>BLANK</v>
      </c>
      <c r="CU29" s="142" t="str">
        <f t="shared" si="7"/>
        <v>FAIL</v>
      </c>
      <c r="CV29" s="275"/>
      <c r="CW29" s="157"/>
      <c r="CX29" s="216" t="s">
        <v>1051</v>
      </c>
    </row>
    <row r="30" spans="1:102" s="35" customFormat="1" ht="54.75" customHeight="1">
      <c r="A30" s="293"/>
      <c r="B30" s="198">
        <v>3</v>
      </c>
      <c r="C30" s="219"/>
      <c r="D30" s="308"/>
      <c r="E30" s="308"/>
      <c r="F30" s="50" t="s">
        <v>198</v>
      </c>
      <c r="G30" s="50" t="s">
        <v>399</v>
      </c>
      <c r="H30" s="50" t="s">
        <v>399</v>
      </c>
      <c r="I30" s="50" t="s">
        <v>191</v>
      </c>
      <c r="J30" s="50" t="s">
        <v>191</v>
      </c>
      <c r="K30" s="50" t="s">
        <v>60</v>
      </c>
      <c r="L30" s="50" t="s">
        <v>389</v>
      </c>
      <c r="M30" s="50" t="s">
        <v>48</v>
      </c>
      <c r="N30" s="50" t="s">
        <v>40</v>
      </c>
      <c r="O30" s="50" t="s">
        <v>41</v>
      </c>
      <c r="P30" s="131" t="s">
        <v>43</v>
      </c>
      <c r="Q30" s="50" t="s">
        <v>43</v>
      </c>
      <c r="R30" s="50" t="s">
        <v>41</v>
      </c>
      <c r="S30" s="50" t="s">
        <v>44</v>
      </c>
      <c r="T30" s="50">
        <v>443323573</v>
      </c>
      <c r="U30" s="50" t="s">
        <v>45</v>
      </c>
      <c r="V30" s="50" t="s">
        <v>53</v>
      </c>
      <c r="W30" s="50" t="s">
        <v>180</v>
      </c>
      <c r="X30" s="50" t="s">
        <v>62</v>
      </c>
      <c r="Y30" s="50">
        <v>20002</v>
      </c>
      <c r="Z30" s="50" t="s">
        <v>42</v>
      </c>
      <c r="AA30" s="50" t="s">
        <v>43</v>
      </c>
      <c r="AB30" s="50" t="s">
        <v>42</v>
      </c>
      <c r="AC30" s="50" t="s">
        <v>42</v>
      </c>
      <c r="AD30" s="50" t="s">
        <v>42</v>
      </c>
      <c r="AE30" s="50" t="s">
        <v>42</v>
      </c>
      <c r="AF30" s="50" t="s">
        <v>42</v>
      </c>
      <c r="AG30" s="50" t="s">
        <v>42</v>
      </c>
      <c r="AH30" s="50" t="s">
        <v>42</v>
      </c>
      <c r="AI30" s="50" t="s">
        <v>42</v>
      </c>
      <c r="AJ30" s="50" t="s">
        <v>42</v>
      </c>
      <c r="AK30" s="50" t="s">
        <v>318</v>
      </c>
      <c r="AL30" s="50" t="s">
        <v>42</v>
      </c>
      <c r="AM30" s="50" t="s">
        <v>58</v>
      </c>
      <c r="AN30" s="50" t="s">
        <v>42</v>
      </c>
      <c r="AO30" s="50" t="s">
        <v>196</v>
      </c>
      <c r="AP30" s="73"/>
      <c r="AQ30" s="55" t="s">
        <v>497</v>
      </c>
      <c r="AR30" s="184">
        <f>10000</f>
        <v>10000</v>
      </c>
      <c r="AS30" s="57">
        <v>2</v>
      </c>
      <c r="AT30" s="50"/>
      <c r="AU30" s="50"/>
      <c r="AV30" s="50"/>
      <c r="AW30" s="50"/>
      <c r="AX30" s="50" t="s">
        <v>43</v>
      </c>
      <c r="AY30" s="50" t="s">
        <v>72</v>
      </c>
      <c r="AZ30" s="50" t="s">
        <v>43</v>
      </c>
      <c r="BA30" s="50"/>
      <c r="BB30" s="50"/>
      <c r="BC30" s="50" t="s">
        <v>43</v>
      </c>
      <c r="BD30" s="50" t="s">
        <v>42</v>
      </c>
      <c r="BE30" s="50" t="s">
        <v>43</v>
      </c>
      <c r="BF30" s="50" t="s">
        <v>43</v>
      </c>
      <c r="BG30" s="50" t="s">
        <v>43</v>
      </c>
      <c r="BH30" s="76">
        <f ca="1">AR30/INDIRECT("'Formula for FPL-2016'!B"&amp;'24 Core'!AS30)</f>
        <v>0.62421972534332082</v>
      </c>
      <c r="BI30" s="76">
        <f ca="1">AR30/INDIRECT("'Formula for FPL-2015'!B"&amp;'24 Core'!AS30)</f>
        <v>0.62774639045825487</v>
      </c>
      <c r="BJ30" s="76">
        <f ca="1">AR30/INDIRECT("'Formula for FPL-2014'!B"&amp;'24 Core'!AS30)</f>
        <v>0.63572790845518123</v>
      </c>
      <c r="BK30" s="47">
        <v>63.57</v>
      </c>
      <c r="BL30" s="50" t="s">
        <v>259</v>
      </c>
      <c r="BM30" s="105"/>
      <c r="BN30" s="105"/>
      <c r="BO30" s="106"/>
      <c r="BP30" s="89" t="s">
        <v>172</v>
      </c>
      <c r="BQ30" s="80" t="s">
        <v>509</v>
      </c>
      <c r="BR30" s="80" t="s">
        <v>510</v>
      </c>
      <c r="BS30" s="80" t="s">
        <v>510</v>
      </c>
      <c r="BT30" s="191">
        <f t="shared" si="3"/>
        <v>10000</v>
      </c>
      <c r="BU30" s="148">
        <f t="shared" si="4"/>
        <v>2</v>
      </c>
      <c r="BV30" s="125">
        <v>0.62421972534332082</v>
      </c>
      <c r="BW30" s="267"/>
      <c r="BX30" s="168"/>
      <c r="BY30" s="168"/>
      <c r="BZ30" s="168"/>
      <c r="CA30" s="168"/>
      <c r="CB30" s="200"/>
      <c r="CC30" s="168"/>
      <c r="CD30" s="168"/>
      <c r="CE30" s="168"/>
      <c r="CF30" s="228"/>
      <c r="CG30" s="142" t="str">
        <f t="shared" si="0"/>
        <v>BLANK</v>
      </c>
      <c r="CH30" s="142" t="str">
        <f>IF(ISNUMBER(CF30),
      IF(EXACT(
           ROUND(BV30,3),
           $CF30),
      "PASS","FAIL"),
    IF(AND(BV30="NA",CF30="n/a"),"PASS","FAIL")
)</f>
        <v>FAIL</v>
      </c>
      <c r="CI30" s="269"/>
      <c r="CJ30" s="157"/>
      <c r="CK30" s="216"/>
      <c r="CL30" s="267"/>
      <c r="CM30" s="220"/>
      <c r="CN30" s="220"/>
      <c r="CO30" s="220"/>
      <c r="CP30" s="220"/>
      <c r="CQ30" s="220"/>
      <c r="CR30" s="241"/>
      <c r="CS30" s="125"/>
      <c r="CT30" s="142" t="str">
        <f t="shared" si="1"/>
        <v>BLANK</v>
      </c>
      <c r="CU30" s="142" t="str">
        <f t="shared" si="7"/>
        <v>FAIL</v>
      </c>
      <c r="CV30" s="269"/>
      <c r="CW30" s="157"/>
      <c r="CX30" s="216"/>
    </row>
    <row r="31" spans="1:102" ht="41.25" customHeight="1">
      <c r="A31" s="266">
        <v>8</v>
      </c>
      <c r="B31" s="198">
        <v>1</v>
      </c>
      <c r="C31" s="218" t="s">
        <v>1030</v>
      </c>
      <c r="D31" s="309" t="s">
        <v>236</v>
      </c>
      <c r="E31" s="309" t="s">
        <v>337</v>
      </c>
      <c r="F31" s="130" t="s">
        <v>189</v>
      </c>
      <c r="G31" s="130" t="s">
        <v>400</v>
      </c>
      <c r="H31" s="130" t="s">
        <v>400</v>
      </c>
      <c r="I31" s="130" t="s">
        <v>51</v>
      </c>
      <c r="J31" s="130" t="s">
        <v>51</v>
      </c>
      <c r="K31" s="130" t="s">
        <v>67</v>
      </c>
      <c r="L31" s="130">
        <v>35</v>
      </c>
      <c r="M31" s="130" t="s">
        <v>39</v>
      </c>
      <c r="N31" s="130" t="s">
        <v>40</v>
      </c>
      <c r="O31" s="130" t="s">
        <v>41</v>
      </c>
      <c r="P31" s="130" t="s">
        <v>43</v>
      </c>
      <c r="Q31" s="130" t="s">
        <v>43</v>
      </c>
      <c r="R31" s="130" t="s">
        <v>42</v>
      </c>
      <c r="S31" s="130" t="s">
        <v>44</v>
      </c>
      <c r="T31" s="130">
        <v>443323574</v>
      </c>
      <c r="U31" s="130" t="s">
        <v>45</v>
      </c>
      <c r="V31" s="130" t="s">
        <v>53</v>
      </c>
      <c r="W31" s="130" t="s">
        <v>180</v>
      </c>
      <c r="X31" s="130" t="s">
        <v>62</v>
      </c>
      <c r="Y31" s="130">
        <v>20002</v>
      </c>
      <c r="Z31" s="130" t="s">
        <v>42</v>
      </c>
      <c r="AA31" s="130" t="s">
        <v>42</v>
      </c>
      <c r="AB31" s="130" t="s">
        <v>42</v>
      </c>
      <c r="AC31" s="130" t="s">
        <v>42</v>
      </c>
      <c r="AD31" s="130" t="s">
        <v>42</v>
      </c>
      <c r="AE31" s="130" t="s">
        <v>42</v>
      </c>
      <c r="AF31" s="130" t="s">
        <v>42</v>
      </c>
      <c r="AG31" s="130" t="s">
        <v>42</v>
      </c>
      <c r="AH31" s="130" t="s">
        <v>42</v>
      </c>
      <c r="AI31" s="130" t="s">
        <v>42</v>
      </c>
      <c r="AJ31" s="130" t="s">
        <v>42</v>
      </c>
      <c r="AK31" s="130" t="s">
        <v>202</v>
      </c>
      <c r="AL31" s="130" t="s">
        <v>42</v>
      </c>
      <c r="AM31" s="130" t="s">
        <v>46</v>
      </c>
      <c r="AN31" s="130" t="s">
        <v>42</v>
      </c>
      <c r="AO31" s="130" t="s">
        <v>42</v>
      </c>
      <c r="AP31" s="132" t="s">
        <v>305</v>
      </c>
      <c r="AQ31" s="132"/>
      <c r="AR31" s="183">
        <v>50662</v>
      </c>
      <c r="AS31" s="133">
        <v>3</v>
      </c>
      <c r="AT31" s="134">
        <v>40909</v>
      </c>
      <c r="AU31" s="132"/>
      <c r="AV31" s="130"/>
      <c r="AW31" s="130"/>
      <c r="AX31" s="130" t="s">
        <v>43</v>
      </c>
      <c r="AY31" s="130" t="s">
        <v>72</v>
      </c>
      <c r="AZ31" s="130" t="s">
        <v>43</v>
      </c>
      <c r="BA31" s="130"/>
      <c r="BB31" s="130"/>
      <c r="BC31" s="130" t="s">
        <v>41</v>
      </c>
      <c r="BD31" s="130" t="s">
        <v>237</v>
      </c>
      <c r="BE31" s="130" t="s">
        <v>43</v>
      </c>
      <c r="BF31" s="130" t="s">
        <v>43</v>
      </c>
      <c r="BG31" s="130" t="s">
        <v>43</v>
      </c>
      <c r="BH31" s="76">
        <f ca="1">AR31/INDIRECT("'Formula for FPL-2016'!B"&amp;'24 Core'!AS31)</f>
        <v>2.5129960317460318</v>
      </c>
      <c r="BI31" s="248">
        <f ca="1">AR31/INDIRECT("'Formula for FPL-2015'!B"&amp;'24 Core'!AS31)</f>
        <v>2.5217521154803384</v>
      </c>
      <c r="BJ31" s="91">
        <f ca="1">AR31/INDIRECT("'Formula for FPL-2014'!B"&amp;'24 Core'!AS31)</f>
        <v>2.559979787771602</v>
      </c>
      <c r="BK31" s="135">
        <v>256</v>
      </c>
      <c r="BL31" s="50">
        <v>259.41000000000003</v>
      </c>
      <c r="BM31" s="105"/>
      <c r="BN31" s="105"/>
      <c r="BO31" s="106"/>
      <c r="BP31" s="55" t="s">
        <v>166</v>
      </c>
      <c r="BQ31" s="80" t="s">
        <v>510</v>
      </c>
      <c r="BR31" s="80" t="s">
        <v>510</v>
      </c>
      <c r="BS31" s="80" t="s">
        <v>510</v>
      </c>
      <c r="BT31" s="186">
        <f t="shared" si="3"/>
        <v>50662</v>
      </c>
      <c r="BU31" s="149">
        <f t="shared" si="4"/>
        <v>3</v>
      </c>
      <c r="BV31" s="126">
        <v>2.5217521154803384</v>
      </c>
      <c r="BW31" s="266"/>
      <c r="BX31" s="169"/>
      <c r="BY31" s="169"/>
      <c r="BZ31" s="169"/>
      <c r="CA31" s="169"/>
      <c r="CB31" s="201" t="s">
        <v>997</v>
      </c>
      <c r="CC31" s="169"/>
      <c r="CD31" s="169"/>
      <c r="CE31" s="169"/>
      <c r="CF31" s="124"/>
      <c r="CG31" s="142" t="str">
        <f t="shared" si="0"/>
        <v>BLANK</v>
      </c>
      <c r="CH31" s="142" t="str">
        <f t="shared" ref="CH31:CH36" si="10">IF(ISNUMBER(CF31),
      IF(EXACT(
           (ROUND(BV31,2)*100),
           $CF31),
      "PASS","FAIL"),
    IF(AND(BV31="NA",CF31="n/a"),"PASS","FAIL")
)</f>
        <v>FAIL</v>
      </c>
      <c r="CI31" s="268" t="str">
        <f>IF(COUNTIF(CG31:CH33, "FAIL")=0,"PASS","FAIL")</f>
        <v>FAIL</v>
      </c>
      <c r="CJ31" s="157"/>
      <c r="CK31" s="216"/>
      <c r="CL31" s="266"/>
      <c r="CM31" s="223"/>
      <c r="CN31" s="223"/>
      <c r="CO31" s="223"/>
      <c r="CP31" s="223"/>
      <c r="CQ31" s="223"/>
      <c r="CR31" s="135"/>
      <c r="CS31" s="124"/>
      <c r="CT31" s="142" t="str">
        <f t="shared" si="1"/>
        <v>BLANK</v>
      </c>
      <c r="CU31" s="142" t="str">
        <f t="shared" si="7"/>
        <v>FAIL</v>
      </c>
      <c r="CV31" s="268" t="str">
        <f>IF(COUNTIF(CT31:CU33, "FAIL")=0,"PASS","FAIL")</f>
        <v>FAIL</v>
      </c>
      <c r="CW31" s="157"/>
      <c r="CX31" s="216" t="s">
        <v>1076</v>
      </c>
    </row>
    <row r="32" spans="1:102" ht="30.75" customHeight="1">
      <c r="A32" s="306"/>
      <c r="B32" s="198">
        <v>2</v>
      </c>
      <c r="C32" s="221"/>
      <c r="D32" s="309"/>
      <c r="E32" s="309"/>
      <c r="F32" s="130" t="s">
        <v>319</v>
      </c>
      <c r="G32" s="130" t="s">
        <v>401</v>
      </c>
      <c r="H32" s="130" t="s">
        <v>401</v>
      </c>
      <c r="I32" s="130" t="s">
        <v>191</v>
      </c>
      <c r="J32" s="130" t="s">
        <v>192</v>
      </c>
      <c r="K32" s="130" t="s">
        <v>60</v>
      </c>
      <c r="L32" s="130">
        <v>6</v>
      </c>
      <c r="M32" s="130" t="s">
        <v>48</v>
      </c>
      <c r="N32" s="130" t="s">
        <v>40</v>
      </c>
      <c r="O32" s="130" t="s">
        <v>41</v>
      </c>
      <c r="P32" s="130" t="s">
        <v>43</v>
      </c>
      <c r="Q32" s="130" t="s">
        <v>43</v>
      </c>
      <c r="R32" s="130" t="s">
        <v>41</v>
      </c>
      <c r="S32" s="130" t="s">
        <v>44</v>
      </c>
      <c r="T32" s="130">
        <v>443323575</v>
      </c>
      <c r="U32" s="130" t="s">
        <v>45</v>
      </c>
      <c r="V32" s="130" t="s">
        <v>53</v>
      </c>
      <c r="W32" s="130" t="s">
        <v>180</v>
      </c>
      <c r="X32" s="130" t="s">
        <v>62</v>
      </c>
      <c r="Y32" s="130">
        <v>20002</v>
      </c>
      <c r="Z32" s="130" t="s">
        <v>42</v>
      </c>
      <c r="AA32" s="130" t="s">
        <v>43</v>
      </c>
      <c r="AB32" s="130" t="s">
        <v>42</v>
      </c>
      <c r="AC32" s="130" t="s">
        <v>42</v>
      </c>
      <c r="AD32" s="130" t="s">
        <v>42</v>
      </c>
      <c r="AE32" s="130" t="s">
        <v>42</v>
      </c>
      <c r="AF32" s="130" t="s">
        <v>42</v>
      </c>
      <c r="AG32" s="130" t="s">
        <v>42</v>
      </c>
      <c r="AH32" s="130" t="s">
        <v>42</v>
      </c>
      <c r="AI32" s="130" t="s">
        <v>42</v>
      </c>
      <c r="AJ32" s="130" t="s">
        <v>42</v>
      </c>
      <c r="AK32" s="130" t="s">
        <v>238</v>
      </c>
      <c r="AL32" s="130" t="s">
        <v>42</v>
      </c>
      <c r="AM32" s="130" t="s">
        <v>58</v>
      </c>
      <c r="AN32" s="130" t="s">
        <v>42</v>
      </c>
      <c r="AO32" s="130" t="s">
        <v>189</v>
      </c>
      <c r="AP32" s="130"/>
      <c r="AQ32" s="130"/>
      <c r="AR32" s="183">
        <v>50662</v>
      </c>
      <c r="AS32" s="133">
        <v>3</v>
      </c>
      <c r="AT32" s="130"/>
      <c r="AU32" s="130"/>
      <c r="AV32" s="130"/>
      <c r="AW32" s="130"/>
      <c r="AX32" s="130" t="s">
        <v>43</v>
      </c>
      <c r="AY32" s="130" t="s">
        <v>72</v>
      </c>
      <c r="AZ32" s="130" t="s">
        <v>43</v>
      </c>
      <c r="BA32" s="130"/>
      <c r="BB32" s="130"/>
      <c r="BC32" s="130" t="s">
        <v>41</v>
      </c>
      <c r="BD32" s="130" t="s">
        <v>237</v>
      </c>
      <c r="BE32" s="130" t="s">
        <v>43</v>
      </c>
      <c r="BF32" s="130" t="s">
        <v>43</v>
      </c>
      <c r="BG32" s="130" t="s">
        <v>43</v>
      </c>
      <c r="BH32" s="76">
        <f ca="1">AR32/INDIRECT("'Formula for FPL-2016'!B"&amp;'24 Core'!AS32)</f>
        <v>2.5129960317460318</v>
      </c>
      <c r="BI32" s="91">
        <f ca="1">AR32/INDIRECT("'Formula for FPL-2015'!B"&amp;'24 Core'!AS32)</f>
        <v>2.5217521154803384</v>
      </c>
      <c r="BJ32" s="91">
        <f ca="1">AR32/INDIRECT("'Formula for FPL-2014'!B"&amp;'24 Core'!AS32)</f>
        <v>2.559979787771602</v>
      </c>
      <c r="BK32" s="135">
        <v>256</v>
      </c>
      <c r="BL32" s="50" t="e">
        <f>IF(#REF!="4-MAGI Medicaid *","NA"," ")</f>
        <v>#REF!</v>
      </c>
      <c r="BM32" s="105"/>
      <c r="BN32" s="105"/>
      <c r="BO32" s="106"/>
      <c r="BP32" s="90" t="s">
        <v>172</v>
      </c>
      <c r="BQ32" s="80" t="s">
        <v>509</v>
      </c>
      <c r="BR32" s="80" t="s">
        <v>510</v>
      </c>
      <c r="BS32" s="80" t="s">
        <v>510</v>
      </c>
      <c r="BT32" s="186">
        <f t="shared" si="3"/>
        <v>50662</v>
      </c>
      <c r="BU32" s="149">
        <f t="shared" si="4"/>
        <v>3</v>
      </c>
      <c r="BV32" s="124">
        <v>2.5129960317460318</v>
      </c>
      <c r="BW32" s="276"/>
      <c r="BX32" s="169"/>
      <c r="BY32" s="169"/>
      <c r="BZ32" s="169"/>
      <c r="CA32" s="169"/>
      <c r="CB32" s="201"/>
      <c r="CC32" s="169"/>
      <c r="CD32" s="169"/>
      <c r="CE32" s="169"/>
      <c r="CF32" s="124"/>
      <c r="CG32" s="142" t="str">
        <f t="shared" si="0"/>
        <v>BLANK</v>
      </c>
      <c r="CH32" s="142" t="str">
        <f t="shared" si="10"/>
        <v>FAIL</v>
      </c>
      <c r="CI32" s="275"/>
      <c r="CJ32" s="157"/>
      <c r="CK32" s="216"/>
      <c r="CL32" s="276"/>
      <c r="CM32" s="223"/>
      <c r="CN32" s="223"/>
      <c r="CO32" s="223"/>
      <c r="CP32" s="223"/>
      <c r="CQ32" s="223"/>
      <c r="CR32" s="135"/>
      <c r="CS32" s="124"/>
      <c r="CT32" s="142" t="str">
        <f t="shared" si="1"/>
        <v>BLANK</v>
      </c>
      <c r="CU32" s="142" t="str">
        <f t="shared" si="7"/>
        <v>FAIL</v>
      </c>
      <c r="CV32" s="275"/>
      <c r="CW32" s="157"/>
      <c r="CX32" s="216"/>
    </row>
    <row r="33" spans="1:102" ht="38.25" customHeight="1">
      <c r="A33" s="293"/>
      <c r="B33" s="198">
        <v>3</v>
      </c>
      <c r="C33" s="219"/>
      <c r="D33" s="309"/>
      <c r="E33" s="309"/>
      <c r="F33" s="130" t="s">
        <v>320</v>
      </c>
      <c r="G33" s="130" t="s">
        <v>402</v>
      </c>
      <c r="H33" s="130" t="s">
        <v>402</v>
      </c>
      <c r="I33" s="130" t="s">
        <v>201</v>
      </c>
      <c r="J33" s="130" t="s">
        <v>200</v>
      </c>
      <c r="K33" s="130" t="s">
        <v>65</v>
      </c>
      <c r="L33" s="130">
        <v>1</v>
      </c>
      <c r="M33" s="130" t="s">
        <v>39</v>
      </c>
      <c r="N33" s="130" t="s">
        <v>40</v>
      </c>
      <c r="O33" s="130" t="s">
        <v>41</v>
      </c>
      <c r="P33" s="130" t="s">
        <v>43</v>
      </c>
      <c r="Q33" s="130" t="s">
        <v>43</v>
      </c>
      <c r="R33" s="130" t="s">
        <v>41</v>
      </c>
      <c r="S33" s="130" t="s">
        <v>44</v>
      </c>
      <c r="T33" s="130">
        <v>443323576</v>
      </c>
      <c r="U33" s="130" t="s">
        <v>45</v>
      </c>
      <c r="V33" s="130" t="s">
        <v>53</v>
      </c>
      <c r="W33" s="130" t="s">
        <v>180</v>
      </c>
      <c r="X33" s="130" t="s">
        <v>62</v>
      </c>
      <c r="Y33" s="130">
        <v>20002</v>
      </c>
      <c r="Z33" s="130" t="s">
        <v>42</v>
      </c>
      <c r="AA33" s="130" t="s">
        <v>42</v>
      </c>
      <c r="AB33" s="130" t="s">
        <v>42</v>
      </c>
      <c r="AC33" s="130" t="s">
        <v>42</v>
      </c>
      <c r="AD33" s="130" t="s">
        <v>42</v>
      </c>
      <c r="AE33" s="130" t="s">
        <v>42</v>
      </c>
      <c r="AF33" s="130" t="s">
        <v>42</v>
      </c>
      <c r="AG33" s="130" t="s">
        <v>42</v>
      </c>
      <c r="AH33" s="130" t="s">
        <v>42</v>
      </c>
      <c r="AI33" s="130" t="s">
        <v>42</v>
      </c>
      <c r="AJ33" s="130" t="s">
        <v>42</v>
      </c>
      <c r="AK33" s="130" t="s">
        <v>239</v>
      </c>
      <c r="AL33" s="130" t="s">
        <v>42</v>
      </c>
      <c r="AM33" s="130" t="s">
        <v>58</v>
      </c>
      <c r="AN33" s="130" t="s">
        <v>42</v>
      </c>
      <c r="AO33" s="130" t="s">
        <v>189</v>
      </c>
      <c r="AP33" s="130"/>
      <c r="AQ33" s="130"/>
      <c r="AR33" s="183">
        <v>50662</v>
      </c>
      <c r="AS33" s="133">
        <v>3</v>
      </c>
      <c r="AT33" s="130"/>
      <c r="AU33" s="130"/>
      <c r="AV33" s="130"/>
      <c r="AW33" s="130"/>
      <c r="AX33" s="130" t="s">
        <v>43</v>
      </c>
      <c r="AY33" s="130" t="s">
        <v>72</v>
      </c>
      <c r="AZ33" s="130" t="s">
        <v>43</v>
      </c>
      <c r="BA33" s="130"/>
      <c r="BB33" s="130"/>
      <c r="BC33" s="130" t="s">
        <v>41</v>
      </c>
      <c r="BD33" s="130" t="s">
        <v>237</v>
      </c>
      <c r="BE33" s="130" t="s">
        <v>43</v>
      </c>
      <c r="BF33" s="130" t="s">
        <v>43</v>
      </c>
      <c r="BG33" s="130" t="s">
        <v>43</v>
      </c>
      <c r="BH33" s="76">
        <f ca="1">AR33/INDIRECT("'Formula for FPL-2016'!B"&amp;'24 Core'!AS33)</f>
        <v>2.5129960317460318</v>
      </c>
      <c r="BI33" s="91">
        <f ca="1">AR33/INDIRECT("'Formula for FPL-2015'!B"&amp;'24 Core'!AS33)</f>
        <v>2.5217521154803384</v>
      </c>
      <c r="BJ33" s="91">
        <f ca="1">AR33/INDIRECT("'Formula for FPL-2014'!B"&amp;'24 Core'!AS33)</f>
        <v>2.559979787771602</v>
      </c>
      <c r="BK33" s="135">
        <v>256</v>
      </c>
      <c r="BL33" s="50" t="e">
        <f>IF(#REF!="4-MAGI Medicaid *","NA"," ")</f>
        <v>#REF!</v>
      </c>
      <c r="BM33" s="105"/>
      <c r="BN33" s="105"/>
      <c r="BO33" s="106"/>
      <c r="BP33" s="90" t="s">
        <v>172</v>
      </c>
      <c r="BQ33" s="80" t="s">
        <v>509</v>
      </c>
      <c r="BR33" s="80" t="s">
        <v>510</v>
      </c>
      <c r="BS33" s="80" t="s">
        <v>510</v>
      </c>
      <c r="BT33" s="186">
        <f t="shared" si="3"/>
        <v>50662</v>
      </c>
      <c r="BU33" s="149">
        <f t="shared" si="4"/>
        <v>3</v>
      </c>
      <c r="BV33" s="124">
        <v>2.5129960317460318</v>
      </c>
      <c r="BW33" s="267"/>
      <c r="BX33" s="169"/>
      <c r="BY33" s="169"/>
      <c r="BZ33" s="169"/>
      <c r="CA33" s="169"/>
      <c r="CB33" s="201"/>
      <c r="CC33" s="169"/>
      <c r="CD33" s="169"/>
      <c r="CE33" s="169"/>
      <c r="CF33" s="124"/>
      <c r="CG33" s="142" t="str">
        <f t="shared" si="0"/>
        <v>BLANK</v>
      </c>
      <c r="CH33" s="142" t="str">
        <f t="shared" si="10"/>
        <v>FAIL</v>
      </c>
      <c r="CI33" s="269"/>
      <c r="CJ33" s="157"/>
      <c r="CK33" s="216"/>
      <c r="CL33" s="267"/>
      <c r="CM33" s="223"/>
      <c r="CN33" s="223"/>
      <c r="CO33" s="223"/>
      <c r="CP33" s="223"/>
      <c r="CQ33" s="223"/>
      <c r="CR33" s="135"/>
      <c r="CS33" s="124"/>
      <c r="CT33" s="142" t="str">
        <f t="shared" si="1"/>
        <v>BLANK</v>
      </c>
      <c r="CU33" s="142" t="str">
        <f t="shared" si="7"/>
        <v>FAIL</v>
      </c>
      <c r="CV33" s="269"/>
      <c r="CW33" s="157"/>
      <c r="CX33" s="216"/>
    </row>
    <row r="34" spans="1:102" ht="81" customHeight="1">
      <c r="A34" s="266">
        <v>9</v>
      </c>
      <c r="B34" s="198">
        <v>1</v>
      </c>
      <c r="C34" s="218" t="s">
        <v>1031</v>
      </c>
      <c r="D34" s="308" t="s">
        <v>240</v>
      </c>
      <c r="E34" s="308" t="s">
        <v>339</v>
      </c>
      <c r="F34" s="50" t="s">
        <v>50</v>
      </c>
      <c r="G34" s="50" t="s">
        <v>403</v>
      </c>
      <c r="H34" s="50" t="s">
        <v>403</v>
      </c>
      <c r="I34" s="50" t="s">
        <v>51</v>
      </c>
      <c r="J34" s="50" t="s">
        <v>51</v>
      </c>
      <c r="K34" s="50" t="s">
        <v>67</v>
      </c>
      <c r="L34" s="50">
        <v>37</v>
      </c>
      <c r="M34" s="50" t="s">
        <v>39</v>
      </c>
      <c r="N34" s="50" t="s">
        <v>52</v>
      </c>
      <c r="O34" s="50" t="s">
        <v>41</v>
      </c>
      <c r="P34" s="131" t="s">
        <v>42</v>
      </c>
      <c r="Q34" s="50" t="s">
        <v>43</v>
      </c>
      <c r="R34" s="50" t="s">
        <v>42</v>
      </c>
      <c r="S34" s="50" t="s">
        <v>44</v>
      </c>
      <c r="T34" s="50">
        <v>443323577</v>
      </c>
      <c r="U34" s="50" t="s">
        <v>45</v>
      </c>
      <c r="V34" s="50" t="s">
        <v>310</v>
      </c>
      <c r="W34" s="50" t="s">
        <v>241</v>
      </c>
      <c r="X34" s="50" t="s">
        <v>82</v>
      </c>
      <c r="Y34" s="50">
        <v>20906</v>
      </c>
      <c r="Z34" s="50" t="s">
        <v>42</v>
      </c>
      <c r="AA34" s="50" t="s">
        <v>42</v>
      </c>
      <c r="AB34" s="50" t="s">
        <v>42</v>
      </c>
      <c r="AC34" s="50" t="s">
        <v>42</v>
      </c>
      <c r="AD34" s="50" t="s">
        <v>42</v>
      </c>
      <c r="AE34" s="50" t="s">
        <v>42</v>
      </c>
      <c r="AF34" s="50" t="s">
        <v>42</v>
      </c>
      <c r="AG34" s="50" t="s">
        <v>42</v>
      </c>
      <c r="AH34" s="50" t="s">
        <v>42</v>
      </c>
      <c r="AI34" s="50" t="s">
        <v>42</v>
      </c>
      <c r="AJ34" s="50" t="s">
        <v>42</v>
      </c>
      <c r="AK34" s="50" t="s">
        <v>56</v>
      </c>
      <c r="AL34" s="50" t="s">
        <v>42</v>
      </c>
      <c r="AM34" s="50" t="s">
        <v>46</v>
      </c>
      <c r="AN34" s="50" t="s">
        <v>41</v>
      </c>
      <c r="AO34" s="50" t="s">
        <v>42</v>
      </c>
      <c r="AP34" s="50" t="s">
        <v>291</v>
      </c>
      <c r="AQ34" s="115" t="s">
        <v>831</v>
      </c>
      <c r="AR34" s="182">
        <f>1752.06*26</f>
        <v>45553.56</v>
      </c>
      <c r="AS34" s="57">
        <v>4</v>
      </c>
      <c r="AT34" s="46">
        <v>41275</v>
      </c>
      <c r="AU34" s="50"/>
      <c r="AV34" s="50"/>
      <c r="AW34" s="50"/>
      <c r="AX34" s="50" t="s">
        <v>43</v>
      </c>
      <c r="AY34" s="50" t="s">
        <v>72</v>
      </c>
      <c r="AZ34" s="50" t="s">
        <v>43</v>
      </c>
      <c r="BA34" s="50"/>
      <c r="BB34" s="50"/>
      <c r="BC34" s="50" t="s">
        <v>43</v>
      </c>
      <c r="BD34" s="50" t="s">
        <v>42</v>
      </c>
      <c r="BE34" s="50" t="s">
        <v>43</v>
      </c>
      <c r="BF34" s="50" t="s">
        <v>43</v>
      </c>
      <c r="BG34" s="50" t="s">
        <v>43</v>
      </c>
      <c r="BH34" s="76">
        <f ca="1">AR34/INDIRECT("'Formula for FPL-2016'!B"&amp;'24 Core'!AS34)</f>
        <v>1.8746320987654319</v>
      </c>
      <c r="BI34" s="76">
        <f ca="1">AR34/INDIRECT("'Formula for FPL-2015'!B"&amp;'24 Core'!AS34)</f>
        <v>1.8784973195876287</v>
      </c>
      <c r="BJ34" s="76">
        <f ca="1">AR34/INDIRECT("'Formula for FPL-2014'!B"&amp;'24 Core'!AS34)</f>
        <v>1.9100025157232703</v>
      </c>
      <c r="BK34" s="47">
        <v>191</v>
      </c>
      <c r="BL34" s="50" t="e">
        <f>IF(#REF!="4-MAGI Medicaid *","NA"," ")</f>
        <v>#REF!</v>
      </c>
      <c r="BM34" s="105"/>
      <c r="BN34" s="105"/>
      <c r="BO34" s="106"/>
      <c r="BP34" s="89" t="s">
        <v>172</v>
      </c>
      <c r="BQ34" s="80" t="s">
        <v>509</v>
      </c>
      <c r="BR34" s="80" t="s">
        <v>510</v>
      </c>
      <c r="BS34" s="80" t="s">
        <v>510</v>
      </c>
      <c r="BT34" s="191">
        <f t="shared" si="3"/>
        <v>45553.56</v>
      </c>
      <c r="BU34" s="148">
        <f t="shared" si="4"/>
        <v>4</v>
      </c>
      <c r="BV34" s="125">
        <v>1.8746320987654319</v>
      </c>
      <c r="BW34" s="266"/>
      <c r="BX34" s="168"/>
      <c r="BY34" s="168"/>
      <c r="BZ34" s="168"/>
      <c r="CA34" s="168"/>
      <c r="CB34" s="200" t="s">
        <v>998</v>
      </c>
      <c r="CC34" s="168"/>
      <c r="CD34" s="168"/>
      <c r="CE34" s="168"/>
      <c r="CF34" s="125"/>
      <c r="CG34" s="142" t="str">
        <f t="shared" si="0"/>
        <v>BLANK</v>
      </c>
      <c r="CH34" s="142" t="str">
        <f t="shared" si="10"/>
        <v>FAIL</v>
      </c>
      <c r="CI34" s="268" t="str">
        <f>IF(COUNTIF(CG34:CH36, "FAIL")=0,"PASS","FAIL")</f>
        <v>FAIL</v>
      </c>
      <c r="CJ34" s="157"/>
      <c r="CK34" s="216"/>
      <c r="CL34" s="266"/>
      <c r="CM34" s="220"/>
      <c r="CN34" s="220"/>
      <c r="CO34" s="220"/>
      <c r="CP34" s="220"/>
      <c r="CQ34" s="220"/>
      <c r="CR34" s="241"/>
      <c r="CS34" s="125"/>
      <c r="CT34" s="142" t="str">
        <f t="shared" si="1"/>
        <v>BLANK</v>
      </c>
      <c r="CU34" s="142" t="str">
        <f t="shared" si="7"/>
        <v>FAIL</v>
      </c>
      <c r="CV34" s="268" t="str">
        <f>IF(COUNTIF(CT34:CU36, "FAIL")=0,"PASS","FAIL")</f>
        <v>FAIL</v>
      </c>
      <c r="CW34" s="157"/>
      <c r="CX34" s="216" t="s">
        <v>1085</v>
      </c>
    </row>
    <row r="35" spans="1:102" ht="56.25" customHeight="1">
      <c r="A35" s="306"/>
      <c r="B35" s="198">
        <v>2</v>
      </c>
      <c r="C35" s="221"/>
      <c r="D35" s="308"/>
      <c r="E35" s="308"/>
      <c r="F35" s="50" t="s">
        <v>54</v>
      </c>
      <c r="G35" s="50" t="s">
        <v>404</v>
      </c>
      <c r="H35" s="50" t="s">
        <v>404</v>
      </c>
      <c r="I35" s="50" t="s">
        <v>51</v>
      </c>
      <c r="J35" s="50" t="s">
        <v>51</v>
      </c>
      <c r="K35" s="50" t="s">
        <v>67</v>
      </c>
      <c r="L35" s="50">
        <v>35</v>
      </c>
      <c r="M35" s="50" t="s">
        <v>48</v>
      </c>
      <c r="N35" s="50" t="s">
        <v>52</v>
      </c>
      <c r="O35" s="50" t="s">
        <v>41</v>
      </c>
      <c r="P35" s="131" t="s">
        <v>42</v>
      </c>
      <c r="Q35" s="50" t="s">
        <v>43</v>
      </c>
      <c r="R35" s="50" t="s">
        <v>43</v>
      </c>
      <c r="S35" s="50" t="s">
        <v>44</v>
      </c>
      <c r="T35" s="50">
        <v>443323578</v>
      </c>
      <c r="U35" s="50" t="s">
        <v>45</v>
      </c>
      <c r="V35" s="50" t="s">
        <v>53</v>
      </c>
      <c r="W35" s="50" t="s">
        <v>216</v>
      </c>
      <c r="X35" s="50" t="s">
        <v>62</v>
      </c>
      <c r="Y35" s="50">
        <v>20002</v>
      </c>
      <c r="Z35" s="50" t="s">
        <v>42</v>
      </c>
      <c r="AA35" s="50" t="s">
        <v>41</v>
      </c>
      <c r="AB35" s="50">
        <v>1</v>
      </c>
      <c r="AC35" s="86" t="s">
        <v>496</v>
      </c>
      <c r="AD35" s="50" t="s">
        <v>42</v>
      </c>
      <c r="AE35" s="50" t="s">
        <v>42</v>
      </c>
      <c r="AF35" s="50" t="s">
        <v>42</v>
      </c>
      <c r="AG35" s="50" t="s">
        <v>42</v>
      </c>
      <c r="AH35" s="50" t="s">
        <v>42</v>
      </c>
      <c r="AI35" s="50" t="s">
        <v>42</v>
      </c>
      <c r="AJ35" s="50" t="s">
        <v>42</v>
      </c>
      <c r="AK35" s="50" t="s">
        <v>57</v>
      </c>
      <c r="AL35" s="50" t="s">
        <v>42</v>
      </c>
      <c r="AM35" s="50" t="s">
        <v>55</v>
      </c>
      <c r="AN35" s="50" t="s">
        <v>41</v>
      </c>
      <c r="AO35" s="50" t="s">
        <v>42</v>
      </c>
      <c r="AP35" s="50"/>
      <c r="AQ35" s="115" t="s">
        <v>492</v>
      </c>
      <c r="AR35" s="182">
        <f>1752.06*26</f>
        <v>45553.56</v>
      </c>
      <c r="AS35" s="57">
        <v>4</v>
      </c>
      <c r="AT35" s="50"/>
      <c r="AU35" s="50"/>
      <c r="AV35" s="50"/>
      <c r="AW35" s="50"/>
      <c r="AX35" s="50" t="s">
        <v>43</v>
      </c>
      <c r="AY35" s="50" t="s">
        <v>72</v>
      </c>
      <c r="AZ35" s="50" t="s">
        <v>43</v>
      </c>
      <c r="BA35" s="50"/>
      <c r="BB35" s="50"/>
      <c r="BC35" s="50" t="s">
        <v>43</v>
      </c>
      <c r="BD35" s="50" t="s">
        <v>42</v>
      </c>
      <c r="BE35" s="50" t="s">
        <v>43</v>
      </c>
      <c r="BF35" s="50" t="s">
        <v>43</v>
      </c>
      <c r="BG35" s="50" t="s">
        <v>43</v>
      </c>
      <c r="BH35" s="76">
        <f ca="1">AR35/INDIRECT("'Formula for FPL-2016'!B"&amp;'24 Core'!AS35)</f>
        <v>1.8746320987654319</v>
      </c>
      <c r="BI35" s="76">
        <f ca="1">AR35/INDIRECT("'Formula for FPL-2015'!B"&amp;'24 Core'!AS35)</f>
        <v>1.8784973195876287</v>
      </c>
      <c r="BJ35" s="76">
        <f ca="1">AR35/INDIRECT("'Formula for FPL-2014'!B"&amp;'24 Core'!AS35)</f>
        <v>1.9100025157232703</v>
      </c>
      <c r="BK35" s="47">
        <v>191</v>
      </c>
      <c r="BL35" s="50" t="e">
        <f>IF(#REF!="4-MAGI Medicaid *","NA"," ")</f>
        <v>#REF!</v>
      </c>
      <c r="BM35" s="105"/>
      <c r="BN35" s="105"/>
      <c r="BO35" s="106"/>
      <c r="BP35" s="89" t="s">
        <v>172</v>
      </c>
      <c r="BQ35" s="80" t="s">
        <v>509</v>
      </c>
      <c r="BR35" s="80" t="s">
        <v>510</v>
      </c>
      <c r="BS35" s="80" t="s">
        <v>510</v>
      </c>
      <c r="BT35" s="191">
        <f t="shared" si="3"/>
        <v>45553.56</v>
      </c>
      <c r="BU35" s="148">
        <f t="shared" si="4"/>
        <v>4</v>
      </c>
      <c r="BV35" s="125">
        <v>1.8746320987654319</v>
      </c>
      <c r="BW35" s="276"/>
      <c r="BX35" s="168"/>
      <c r="BY35" s="168"/>
      <c r="BZ35" s="168"/>
      <c r="CA35" s="168"/>
      <c r="CB35" s="200"/>
      <c r="CC35" s="168"/>
      <c r="CD35" s="168"/>
      <c r="CE35" s="168"/>
      <c r="CF35" s="125"/>
      <c r="CG35" s="142" t="str">
        <f t="shared" si="0"/>
        <v>BLANK</v>
      </c>
      <c r="CH35" s="142" t="str">
        <f t="shared" si="10"/>
        <v>FAIL</v>
      </c>
      <c r="CI35" s="275"/>
      <c r="CJ35" s="157"/>
      <c r="CK35" s="216"/>
      <c r="CL35" s="276"/>
      <c r="CM35" s="220"/>
      <c r="CN35" s="220"/>
      <c r="CO35" s="220"/>
      <c r="CP35" s="220"/>
      <c r="CQ35" s="220"/>
      <c r="CR35" s="241"/>
      <c r="CS35" s="125"/>
      <c r="CT35" s="142" t="str">
        <f t="shared" si="1"/>
        <v>BLANK</v>
      </c>
      <c r="CU35" s="142" t="str">
        <f t="shared" si="7"/>
        <v>FAIL</v>
      </c>
      <c r="CV35" s="275"/>
      <c r="CW35" s="157"/>
      <c r="CX35" s="216"/>
    </row>
    <row r="36" spans="1:102" ht="81.75" customHeight="1">
      <c r="A36" s="293"/>
      <c r="B36" s="198">
        <v>3</v>
      </c>
      <c r="C36" s="219"/>
      <c r="D36" s="308"/>
      <c r="E36" s="308"/>
      <c r="F36" s="50" t="s">
        <v>319</v>
      </c>
      <c r="G36" s="50" t="s">
        <v>405</v>
      </c>
      <c r="H36" s="50" t="s">
        <v>405</v>
      </c>
      <c r="I36" s="50" t="s">
        <v>51</v>
      </c>
      <c r="J36" s="50" t="s">
        <v>179</v>
      </c>
      <c r="K36" s="50" t="s">
        <v>63</v>
      </c>
      <c r="L36" s="50">
        <v>17</v>
      </c>
      <c r="M36" s="50" t="s">
        <v>48</v>
      </c>
      <c r="N36" s="50" t="s">
        <v>40</v>
      </c>
      <c r="O36" s="50" t="s">
        <v>41</v>
      </c>
      <c r="P36" s="131" t="s">
        <v>42</v>
      </c>
      <c r="Q36" s="50" t="s">
        <v>43</v>
      </c>
      <c r="R36" s="50" t="s">
        <v>43</v>
      </c>
      <c r="S36" s="50" t="s">
        <v>44</v>
      </c>
      <c r="T36" s="50">
        <v>443323579</v>
      </c>
      <c r="U36" s="50" t="s">
        <v>45</v>
      </c>
      <c r="V36" s="50" t="s">
        <v>310</v>
      </c>
      <c r="W36" s="50" t="s">
        <v>242</v>
      </c>
      <c r="X36" s="50" t="s">
        <v>84</v>
      </c>
      <c r="Y36" s="50">
        <v>10002</v>
      </c>
      <c r="Z36" s="50" t="s">
        <v>42</v>
      </c>
      <c r="AA36" s="50" t="s">
        <v>43</v>
      </c>
      <c r="AB36" s="50" t="s">
        <v>42</v>
      </c>
      <c r="AC36" s="50" t="s">
        <v>42</v>
      </c>
      <c r="AD36" s="50" t="s">
        <v>42</v>
      </c>
      <c r="AE36" s="50" t="s">
        <v>43</v>
      </c>
      <c r="AF36" s="50" t="s">
        <v>42</v>
      </c>
      <c r="AG36" s="50" t="s">
        <v>42</v>
      </c>
      <c r="AH36" s="50" t="s">
        <v>42</v>
      </c>
      <c r="AI36" s="50" t="s">
        <v>42</v>
      </c>
      <c r="AJ36" s="50" t="s">
        <v>42</v>
      </c>
      <c r="AK36" s="50" t="s">
        <v>42</v>
      </c>
      <c r="AL36" s="50" t="s">
        <v>42</v>
      </c>
      <c r="AM36" s="50" t="s">
        <v>58</v>
      </c>
      <c r="AN36" s="50" t="s">
        <v>42</v>
      </c>
      <c r="AO36" s="50" t="s">
        <v>50</v>
      </c>
      <c r="AP36" s="50"/>
      <c r="AQ36" s="55" t="s">
        <v>821</v>
      </c>
      <c r="AR36" s="182">
        <f>1752.06*26</f>
        <v>45553.56</v>
      </c>
      <c r="AS36" s="57">
        <v>3</v>
      </c>
      <c r="AT36" s="50"/>
      <c r="AU36" s="50"/>
      <c r="AV36" s="50"/>
      <c r="AW36" s="50"/>
      <c r="AX36" s="50" t="s">
        <v>43</v>
      </c>
      <c r="AY36" s="50" t="s">
        <v>72</v>
      </c>
      <c r="AZ36" s="50" t="s">
        <v>43</v>
      </c>
      <c r="BA36" s="50"/>
      <c r="BB36" s="50"/>
      <c r="BC36" s="50" t="s">
        <v>43</v>
      </c>
      <c r="BD36" s="50" t="s">
        <v>42</v>
      </c>
      <c r="BE36" s="50" t="s">
        <v>43</v>
      </c>
      <c r="BF36" s="50" t="s">
        <v>43</v>
      </c>
      <c r="BG36" s="50" t="s">
        <v>43</v>
      </c>
      <c r="BH36" s="76">
        <f ca="1">AR36/INDIRECT("'Formula for FPL-2016'!B"&amp;'24 Core'!AS36)</f>
        <v>2.2596011904761903</v>
      </c>
      <c r="BI36" s="76">
        <f ca="1">AR36/INDIRECT("'Formula for FPL-2015'!B"&amp;'24 Core'!AS36)</f>
        <v>2.2674743653558984</v>
      </c>
      <c r="BJ36" s="76">
        <f ca="1">AR36/INDIRECT("'Formula for FPL-2014'!B"&amp;'24 Core'!AS36)</f>
        <v>2.3018473976755938</v>
      </c>
      <c r="BK36" s="47">
        <v>191</v>
      </c>
      <c r="BL36" s="50" t="e">
        <f>IF(#REF!="4-MAGI Medicaid *","NA"," ")</f>
        <v>#REF!</v>
      </c>
      <c r="BM36" s="105"/>
      <c r="BN36" s="105"/>
      <c r="BO36" s="106"/>
      <c r="BP36" s="89" t="s">
        <v>172</v>
      </c>
      <c r="BQ36" s="80" t="s">
        <v>509</v>
      </c>
      <c r="BR36" s="80" t="s">
        <v>510</v>
      </c>
      <c r="BS36" s="80" t="s">
        <v>510</v>
      </c>
      <c r="BT36" s="191">
        <f t="shared" si="3"/>
        <v>45553.56</v>
      </c>
      <c r="BU36" s="148">
        <f t="shared" si="4"/>
        <v>3</v>
      </c>
      <c r="BV36" s="125">
        <v>2.2596011904761903</v>
      </c>
      <c r="BW36" s="267"/>
      <c r="BX36" s="168"/>
      <c r="BY36" s="168"/>
      <c r="BZ36" s="168"/>
      <c r="CA36" s="168"/>
      <c r="CB36" s="200"/>
      <c r="CC36" s="168"/>
      <c r="CD36" s="168"/>
      <c r="CE36" s="168"/>
      <c r="CF36" s="125"/>
      <c r="CG36" s="142" t="str">
        <f t="shared" si="0"/>
        <v>BLANK</v>
      </c>
      <c r="CH36" s="142" t="str">
        <f t="shared" si="10"/>
        <v>FAIL</v>
      </c>
      <c r="CI36" s="269"/>
      <c r="CJ36" s="157"/>
      <c r="CK36" s="216"/>
      <c r="CL36" s="267"/>
      <c r="CM36" s="220"/>
      <c r="CN36" s="220"/>
      <c r="CO36" s="220"/>
      <c r="CP36" s="220"/>
      <c r="CQ36" s="220"/>
      <c r="CR36" s="241"/>
      <c r="CS36" s="125"/>
      <c r="CT36" s="142" t="str">
        <f t="shared" si="1"/>
        <v>BLANK</v>
      </c>
      <c r="CU36" s="142" t="str">
        <f t="shared" si="7"/>
        <v>FAIL</v>
      </c>
      <c r="CV36" s="269"/>
      <c r="CW36" s="157"/>
      <c r="CX36" s="216"/>
    </row>
    <row r="37" spans="1:102" ht="54.75" customHeight="1">
      <c r="A37" s="266">
        <v>10</v>
      </c>
      <c r="B37" s="198">
        <v>1</v>
      </c>
      <c r="C37" s="218" t="s">
        <v>1032</v>
      </c>
      <c r="D37" s="309" t="s">
        <v>217</v>
      </c>
      <c r="E37" s="309" t="s">
        <v>340</v>
      </c>
      <c r="F37" s="130" t="s">
        <v>189</v>
      </c>
      <c r="G37" s="130" t="s">
        <v>406</v>
      </c>
      <c r="H37" s="130" t="s">
        <v>406</v>
      </c>
      <c r="I37" s="130" t="s">
        <v>51</v>
      </c>
      <c r="J37" s="130" t="s">
        <v>51</v>
      </c>
      <c r="K37" s="130" t="s">
        <v>67</v>
      </c>
      <c r="L37" s="130">
        <v>35</v>
      </c>
      <c r="M37" s="130" t="s">
        <v>39</v>
      </c>
      <c r="N37" s="130" t="s">
        <v>40</v>
      </c>
      <c r="O37" s="130" t="s">
        <v>41</v>
      </c>
      <c r="P37" s="130" t="s">
        <v>43</v>
      </c>
      <c r="Q37" s="130" t="s">
        <v>43</v>
      </c>
      <c r="R37" s="130" t="s">
        <v>42</v>
      </c>
      <c r="S37" s="130" t="s">
        <v>44</v>
      </c>
      <c r="T37" s="130">
        <v>443323580</v>
      </c>
      <c r="U37" s="130" t="s">
        <v>45</v>
      </c>
      <c r="V37" s="130" t="s">
        <v>53</v>
      </c>
      <c r="W37" s="130" t="s">
        <v>180</v>
      </c>
      <c r="X37" s="130" t="s">
        <v>62</v>
      </c>
      <c r="Y37" s="130">
        <v>20002</v>
      </c>
      <c r="Z37" s="130" t="s">
        <v>42</v>
      </c>
      <c r="AA37" s="130" t="s">
        <v>42</v>
      </c>
      <c r="AB37" s="130" t="s">
        <v>42</v>
      </c>
      <c r="AC37" s="130" t="s">
        <v>42</v>
      </c>
      <c r="AD37" s="130" t="s">
        <v>42</v>
      </c>
      <c r="AE37" s="130" t="s">
        <v>42</v>
      </c>
      <c r="AF37" s="130" t="s">
        <v>42</v>
      </c>
      <c r="AG37" s="130" t="s">
        <v>42</v>
      </c>
      <c r="AH37" s="130" t="s">
        <v>42</v>
      </c>
      <c r="AI37" s="130" t="s">
        <v>42</v>
      </c>
      <c r="AJ37" s="130" t="s">
        <v>42</v>
      </c>
      <c r="AK37" s="130" t="s">
        <v>321</v>
      </c>
      <c r="AL37" s="130" t="s">
        <v>42</v>
      </c>
      <c r="AM37" s="130" t="s">
        <v>46</v>
      </c>
      <c r="AN37" s="130" t="s">
        <v>42</v>
      </c>
      <c r="AO37" s="130" t="s">
        <v>42</v>
      </c>
      <c r="AP37" s="132" t="s">
        <v>292</v>
      </c>
      <c r="AQ37" s="186"/>
      <c r="AR37" s="183">
        <f>4226.13*12</f>
        <v>50713.56</v>
      </c>
      <c r="AS37" s="133">
        <v>2</v>
      </c>
      <c r="AT37" s="134">
        <v>41275</v>
      </c>
      <c r="AU37" s="132"/>
      <c r="AV37" s="130"/>
      <c r="AW37" s="130"/>
      <c r="AX37" s="130" t="s">
        <v>43</v>
      </c>
      <c r="AY37" s="130" t="s">
        <v>72</v>
      </c>
      <c r="AZ37" s="130" t="s">
        <v>43</v>
      </c>
      <c r="BA37" s="130"/>
      <c r="BB37" s="130"/>
      <c r="BC37" s="130" t="s">
        <v>43</v>
      </c>
      <c r="BD37" s="130" t="s">
        <v>42</v>
      </c>
      <c r="BE37" s="130" t="s">
        <v>43</v>
      </c>
      <c r="BF37" s="130" t="s">
        <v>43</v>
      </c>
      <c r="BG37" s="130" t="s">
        <v>43</v>
      </c>
      <c r="BH37" s="76">
        <f ca="1">AR37/INDIRECT("'Formula for FPL-2016'!B"&amp;'24 Core'!AS37)</f>
        <v>3.165640449438202</v>
      </c>
      <c r="BI37" s="248">
        <f ca="1">AR37/INDIRECT("'Formula for FPL-2015'!B"&amp;'24 Core'!AS37)</f>
        <v>3.1835254237288133</v>
      </c>
      <c r="BJ37" s="91">
        <f ca="1">AR37/INDIRECT("'Formula for FPL-2014'!B"&amp;'24 Core'!AS37)</f>
        <v>3.2240025429116335</v>
      </c>
      <c r="BK37" s="135">
        <v>322.39999999999998</v>
      </c>
      <c r="BL37" s="130">
        <v>326.97000000000003</v>
      </c>
      <c r="BM37" s="136"/>
      <c r="BN37" s="136"/>
      <c r="BO37" s="137"/>
      <c r="BP37" s="55" t="s">
        <v>167</v>
      </c>
      <c r="BQ37" s="80" t="s">
        <v>510</v>
      </c>
      <c r="BR37" s="80" t="s">
        <v>509</v>
      </c>
      <c r="BS37" s="80" t="s">
        <v>510</v>
      </c>
      <c r="BT37" s="186">
        <f t="shared" si="3"/>
        <v>50713.56</v>
      </c>
      <c r="BU37" s="149">
        <f t="shared" si="4"/>
        <v>2</v>
      </c>
      <c r="BV37" s="126">
        <v>3.1834274952919022</v>
      </c>
      <c r="BW37" s="249"/>
      <c r="BX37" s="169"/>
      <c r="BY37" s="169"/>
      <c r="BZ37" s="169"/>
      <c r="CA37" s="169"/>
      <c r="CB37" s="201" t="s">
        <v>999</v>
      </c>
      <c r="CC37" s="169"/>
      <c r="CD37" s="169"/>
      <c r="CE37" s="169"/>
      <c r="CF37" s="229"/>
      <c r="CG37" s="142" t="str">
        <f t="shared" si="0"/>
        <v>BLANK</v>
      </c>
      <c r="CH37" s="142" t="str">
        <f>IF(ISNUMBER(CF37),
      IF(EXACT(
           ROUND(BV37,3),
           $CF37),
      "PASS","FAIL"),
    IF(AND(BV37="NA",CF37="n/a"),"PASS","FAIL")
)</f>
        <v>FAIL</v>
      </c>
      <c r="CI37" s="252" t="str">
        <f>IF(COUNTIF(CG37:CH40, "FAIL")=0,"PASS","FAIL")</f>
        <v>FAIL</v>
      </c>
      <c r="CJ37" s="157"/>
      <c r="CK37" s="216"/>
      <c r="CL37" s="249">
        <v>1</v>
      </c>
      <c r="CM37" s="223"/>
      <c r="CN37" s="223"/>
      <c r="CO37" s="223"/>
      <c r="CP37" s="223"/>
      <c r="CQ37" s="223"/>
      <c r="CR37" s="135"/>
      <c r="CS37" s="124"/>
      <c r="CT37" s="142" t="str">
        <f>IF(CO37="medicaid",IF(AND(BQ37="Y",BR37="N",BS37="N"),"PASS","FAIL"),IF(CO37="aptc",IF(AND(BQ37="N",BR37="Y",BS37="N"),"PASS","FAIL"),IF(CO37="aptc+csr",IF(AND(BQ37="N",BR37="Y",BS37="Y"),"PASS","FAIL"),IF(CO37="n/a",IF(BQ37="NA","PASS","FAIL"),IF(CO37="unassisted",IF(AND(BQ37="N",BR37="N",BS37="N"),"PASS","FAIL"),"BLANK")))))</f>
        <v>BLANK</v>
      </c>
      <c r="CU37" s="142" t="str">
        <f t="shared" si="7"/>
        <v>FAIL</v>
      </c>
      <c r="CV37" s="252" t="str">
        <f>IF(COUNTIF(CT37:CU40, "FAIL")=0,"PASS","FAIL")</f>
        <v>FAIL</v>
      </c>
      <c r="CW37" s="157"/>
      <c r="CX37" s="216" t="s">
        <v>1086</v>
      </c>
    </row>
    <row r="38" spans="1:102" ht="37.5" customHeight="1">
      <c r="A38" s="306"/>
      <c r="B38" s="198">
        <v>2</v>
      </c>
      <c r="C38" s="221"/>
      <c r="D38" s="309"/>
      <c r="E38" s="309"/>
      <c r="F38" s="130" t="s">
        <v>183</v>
      </c>
      <c r="G38" s="130" t="s">
        <v>407</v>
      </c>
      <c r="H38" s="130" t="s">
        <v>407</v>
      </c>
      <c r="I38" s="130" t="s">
        <v>51</v>
      </c>
      <c r="J38" s="130" t="s">
        <v>51</v>
      </c>
      <c r="K38" s="130" t="s">
        <v>67</v>
      </c>
      <c r="L38" s="130">
        <v>35</v>
      </c>
      <c r="M38" s="130" t="s">
        <v>48</v>
      </c>
      <c r="N38" s="130" t="s">
        <v>40</v>
      </c>
      <c r="O38" s="130" t="s">
        <v>41</v>
      </c>
      <c r="P38" s="130" t="s">
        <v>43</v>
      </c>
      <c r="Q38" s="130" t="s">
        <v>43</v>
      </c>
      <c r="R38" s="130" t="s">
        <v>41</v>
      </c>
      <c r="S38" s="130" t="s">
        <v>44</v>
      </c>
      <c r="T38" s="130">
        <v>443323581</v>
      </c>
      <c r="U38" s="130" t="s">
        <v>45</v>
      </c>
      <c r="V38" s="130" t="s">
        <v>53</v>
      </c>
      <c r="W38" s="130" t="s">
        <v>180</v>
      </c>
      <c r="X38" s="130" t="s">
        <v>62</v>
      </c>
      <c r="Y38" s="130">
        <v>20002</v>
      </c>
      <c r="Z38" s="130" t="s">
        <v>42</v>
      </c>
      <c r="AA38" s="130" t="s">
        <v>43</v>
      </c>
      <c r="AB38" s="130" t="s">
        <v>42</v>
      </c>
      <c r="AC38" s="130" t="s">
        <v>42</v>
      </c>
      <c r="AD38" s="130" t="s">
        <v>42</v>
      </c>
      <c r="AE38" s="130" t="s">
        <v>42</v>
      </c>
      <c r="AF38" s="130" t="s">
        <v>42</v>
      </c>
      <c r="AG38" s="130" t="s">
        <v>42</v>
      </c>
      <c r="AH38" s="130" t="s">
        <v>42</v>
      </c>
      <c r="AI38" s="130" t="s">
        <v>42</v>
      </c>
      <c r="AJ38" s="130" t="s">
        <v>42</v>
      </c>
      <c r="AK38" s="130" t="s">
        <v>322</v>
      </c>
      <c r="AL38" s="130" t="s">
        <v>42</v>
      </c>
      <c r="AM38" s="130" t="s">
        <v>46</v>
      </c>
      <c r="AN38" s="130" t="s">
        <v>42</v>
      </c>
      <c r="AO38" s="130" t="s">
        <v>42</v>
      </c>
      <c r="AP38" s="130" t="s">
        <v>283</v>
      </c>
      <c r="AQ38" s="130"/>
      <c r="AR38" s="183">
        <v>40567.67</v>
      </c>
      <c r="AS38" s="133">
        <v>2</v>
      </c>
      <c r="AT38" s="134">
        <v>41275</v>
      </c>
      <c r="AU38" s="130"/>
      <c r="AV38" s="130"/>
      <c r="AW38" s="130"/>
      <c r="AX38" s="130" t="s">
        <v>43</v>
      </c>
      <c r="AY38" s="130" t="s">
        <v>72</v>
      </c>
      <c r="AZ38" s="130" t="s">
        <v>43</v>
      </c>
      <c r="BA38" s="130"/>
      <c r="BB38" s="130"/>
      <c r="BC38" s="130" t="s">
        <v>41</v>
      </c>
      <c r="BD38" s="130" t="s">
        <v>237</v>
      </c>
      <c r="BE38" s="130" t="s">
        <v>43</v>
      </c>
      <c r="BF38" s="130" t="s">
        <v>43</v>
      </c>
      <c r="BG38" s="130" t="s">
        <v>43</v>
      </c>
      <c r="BH38" s="76">
        <f ca="1">AR38/INDIRECT("'Formula for FPL-2016'!B"&amp;'24 Core'!AS38)</f>
        <v>2.5323139825218477</v>
      </c>
      <c r="BI38" s="248">
        <f ca="1">AR38/INDIRECT("'Formula for FPL-2015'!B"&amp;'24 Core'!AS38)</f>
        <v>2.5466208411801632</v>
      </c>
      <c r="BJ38" s="91">
        <f ca="1">AR38/INDIRECT("'Formula for FPL-2014'!B"&amp;'24 Core'!AS38)</f>
        <v>2.5789999999999997</v>
      </c>
      <c r="BK38" s="135">
        <v>257.89999999999998</v>
      </c>
      <c r="BL38" s="130">
        <v>261.56</v>
      </c>
      <c r="BM38" s="136"/>
      <c r="BN38" s="136"/>
      <c r="BO38" s="137"/>
      <c r="BP38" s="55" t="s">
        <v>166</v>
      </c>
      <c r="BQ38" s="80" t="s">
        <v>510</v>
      </c>
      <c r="BR38" s="80" t="s">
        <v>510</v>
      </c>
      <c r="BS38" s="80" t="s">
        <v>510</v>
      </c>
      <c r="BT38" s="186">
        <f t="shared" si="3"/>
        <v>40567.67</v>
      </c>
      <c r="BU38" s="149">
        <f t="shared" si="4"/>
        <v>2</v>
      </c>
      <c r="BV38" s="126">
        <v>2.5466415568110485</v>
      </c>
      <c r="BW38" s="250"/>
      <c r="BX38" s="169"/>
      <c r="BY38" s="169"/>
      <c r="BZ38" s="169"/>
      <c r="CA38" s="169"/>
      <c r="CB38" s="201"/>
      <c r="CC38" s="169"/>
      <c r="CD38" s="169"/>
      <c r="CE38" s="169"/>
      <c r="CF38" s="229"/>
      <c r="CG38" s="142" t="str">
        <f t="shared" si="0"/>
        <v>BLANK</v>
      </c>
      <c r="CH38" s="142" t="str">
        <f>IF(ISNUMBER(CF38),
      IF(EXACT(
           ROUND(BV38,3),
           $CF38),
      "PASS","FAIL"),
    IF(AND(BV38="NA",CF38="n/a"),"PASS","FAIL")
)</f>
        <v>FAIL</v>
      </c>
      <c r="CI38" s="253"/>
      <c r="CJ38" s="157"/>
      <c r="CK38" s="216"/>
      <c r="CL38" s="250"/>
      <c r="CM38" s="223" t="s">
        <v>1022</v>
      </c>
      <c r="CN38" s="223"/>
      <c r="CO38" s="223"/>
      <c r="CP38" s="223"/>
      <c r="CQ38" s="223"/>
      <c r="CR38" s="135"/>
      <c r="CS38" s="124"/>
      <c r="CT38" s="142" t="str">
        <f t="shared" ref="CT38:CT93" si="11">IF(CO38="medicaid",IF(AND(BQ38="Y",BR38="N",BS38="N"),"PASS","FAIL"),IF(CO38="aptc",IF(AND(BQ38="N",BR38="Y",BS38="N"),"PASS","FAIL"),IF(CO38="aptc+csr",IF(AND(BQ38="N",BR38="Y",BS38="Y"),"PASS","FAIL"),IF(CO38="n/a",IF(BQ38="NA","PASS","FAIL"),IF(CO38="unassisted",IF(AND(BQ38="N",BR38="N",BS38="N"),"PASS","FAIL"),"BLANK")))))</f>
        <v>BLANK</v>
      </c>
      <c r="CU38" s="142" t="str">
        <f t="shared" si="7"/>
        <v>FAIL</v>
      </c>
      <c r="CV38" s="253"/>
      <c r="CW38" s="157"/>
      <c r="CX38" s="238" t="s">
        <v>1077</v>
      </c>
    </row>
    <row r="39" spans="1:102" ht="27.75" customHeight="1">
      <c r="A39" s="306"/>
      <c r="B39" s="198">
        <v>3</v>
      </c>
      <c r="C39" s="221"/>
      <c r="D39" s="309"/>
      <c r="E39" s="309"/>
      <c r="F39" s="130" t="s">
        <v>319</v>
      </c>
      <c r="G39" s="130" t="s">
        <v>408</v>
      </c>
      <c r="H39" s="130" t="s">
        <v>408</v>
      </c>
      <c r="I39" s="130" t="s">
        <v>191</v>
      </c>
      <c r="J39" s="130" t="s">
        <v>192</v>
      </c>
      <c r="K39" s="130" t="s">
        <v>60</v>
      </c>
      <c r="L39" s="130">
        <v>9</v>
      </c>
      <c r="M39" s="130" t="s">
        <v>39</v>
      </c>
      <c r="N39" s="130" t="s">
        <v>40</v>
      </c>
      <c r="O39" s="130" t="s">
        <v>41</v>
      </c>
      <c r="P39" s="130" t="s">
        <v>43</v>
      </c>
      <c r="Q39" s="130" t="s">
        <v>43</v>
      </c>
      <c r="R39" s="130" t="s">
        <v>41</v>
      </c>
      <c r="S39" s="130" t="s">
        <v>44</v>
      </c>
      <c r="T39" s="130">
        <v>443323582</v>
      </c>
      <c r="U39" s="130" t="s">
        <v>45</v>
      </c>
      <c r="V39" s="130" t="s">
        <v>53</v>
      </c>
      <c r="W39" s="130" t="s">
        <v>180</v>
      </c>
      <c r="X39" s="130" t="s">
        <v>62</v>
      </c>
      <c r="Y39" s="130">
        <v>20002</v>
      </c>
      <c r="Z39" s="130" t="s">
        <v>42</v>
      </c>
      <c r="AA39" s="130" t="s">
        <v>42</v>
      </c>
      <c r="AB39" s="130" t="s">
        <v>42</v>
      </c>
      <c r="AC39" s="130" t="s">
        <v>42</v>
      </c>
      <c r="AD39" s="130" t="s">
        <v>42</v>
      </c>
      <c r="AE39" s="130" t="s">
        <v>42</v>
      </c>
      <c r="AF39" s="130" t="s">
        <v>42</v>
      </c>
      <c r="AG39" s="130" t="s">
        <v>42</v>
      </c>
      <c r="AH39" s="130" t="s">
        <v>42</v>
      </c>
      <c r="AI39" s="130" t="s">
        <v>42</v>
      </c>
      <c r="AJ39" s="130" t="s">
        <v>42</v>
      </c>
      <c r="AK39" s="130" t="s">
        <v>323</v>
      </c>
      <c r="AL39" s="130" t="s">
        <v>42</v>
      </c>
      <c r="AM39" s="130" t="s">
        <v>58</v>
      </c>
      <c r="AN39" s="130" t="s">
        <v>42</v>
      </c>
      <c r="AO39" s="130" t="s">
        <v>183</v>
      </c>
      <c r="AP39" s="130"/>
      <c r="AQ39" s="130"/>
      <c r="AR39" s="183">
        <v>40567.67</v>
      </c>
      <c r="AS39" s="133">
        <v>2</v>
      </c>
      <c r="AT39" s="130"/>
      <c r="AU39" s="130"/>
      <c r="AV39" s="130"/>
      <c r="AW39" s="130"/>
      <c r="AX39" s="130" t="s">
        <v>43</v>
      </c>
      <c r="AY39" s="130" t="s">
        <v>72</v>
      </c>
      <c r="AZ39" s="130" t="s">
        <v>43</v>
      </c>
      <c r="BA39" s="130"/>
      <c r="BB39" s="130"/>
      <c r="BC39" s="130" t="s">
        <v>41</v>
      </c>
      <c r="BD39" s="130" t="s">
        <v>237</v>
      </c>
      <c r="BE39" s="130" t="s">
        <v>43</v>
      </c>
      <c r="BF39" s="130" t="s">
        <v>43</v>
      </c>
      <c r="BG39" s="130" t="s">
        <v>43</v>
      </c>
      <c r="BH39" s="76">
        <f ca="1">AR39/INDIRECT("'Formula for FPL-2016'!B"&amp;'24 Core'!AS39)</f>
        <v>2.5323139825218477</v>
      </c>
      <c r="BI39" s="91">
        <f ca="1">AR39/INDIRECT("'Formula for FPL-2015'!B"&amp;'24 Core'!AS39)</f>
        <v>2.5466208411801632</v>
      </c>
      <c r="BJ39" s="91">
        <f ca="1">AR39/INDIRECT("'Formula for FPL-2014'!B"&amp;'24 Core'!AS39)</f>
        <v>2.5789999999999997</v>
      </c>
      <c r="BK39" s="135">
        <v>257.89999999999998</v>
      </c>
      <c r="BL39" s="130" t="e">
        <f>IF(#REF!="4-MAGI Medicaid *","NA"," ")</f>
        <v>#REF!</v>
      </c>
      <c r="BM39" s="136"/>
      <c r="BN39" s="136"/>
      <c r="BO39" s="137"/>
      <c r="BP39" s="90" t="s">
        <v>172</v>
      </c>
      <c r="BQ39" s="80" t="s">
        <v>509</v>
      </c>
      <c r="BR39" s="80" t="s">
        <v>510</v>
      </c>
      <c r="BS39" s="80" t="s">
        <v>510</v>
      </c>
      <c r="BT39" s="186">
        <f t="shared" si="3"/>
        <v>40567.67</v>
      </c>
      <c r="BU39" s="149">
        <f t="shared" si="4"/>
        <v>2</v>
      </c>
      <c r="BV39" s="124">
        <v>2.5323345817727838</v>
      </c>
      <c r="BW39" s="250"/>
      <c r="BX39" s="169"/>
      <c r="BY39" s="169"/>
      <c r="BZ39" s="169"/>
      <c r="CA39" s="169"/>
      <c r="CB39" s="201"/>
      <c r="CC39" s="169"/>
      <c r="CD39" s="169"/>
      <c r="CE39" s="169"/>
      <c r="CF39" s="229"/>
      <c r="CG39" s="142" t="str">
        <f t="shared" si="0"/>
        <v>BLANK</v>
      </c>
      <c r="CH39" s="142" t="str">
        <f>IF(ISNUMBER(CF39),
      IF(EXACT(
           ROUND(BV39,3),
           $CF39),
      "PASS","FAIL"),
    IF(AND(BV39="NA",CF39="n/a"),"PASS","FAIL")
)</f>
        <v>FAIL</v>
      </c>
      <c r="CI39" s="253"/>
      <c r="CJ39" s="157"/>
      <c r="CK39" s="216"/>
      <c r="CL39" s="250"/>
      <c r="CM39" s="223" t="s">
        <v>1022</v>
      </c>
      <c r="CN39" s="223"/>
      <c r="CO39" s="223"/>
      <c r="CP39" s="223"/>
      <c r="CQ39" s="223"/>
      <c r="CR39" s="135"/>
      <c r="CS39" s="124"/>
      <c r="CT39" s="142" t="str">
        <f t="shared" si="11"/>
        <v>BLANK</v>
      </c>
      <c r="CU39" s="142" t="str">
        <f t="shared" si="7"/>
        <v>FAIL</v>
      </c>
      <c r="CV39" s="253"/>
      <c r="CW39" s="157"/>
      <c r="CX39" s="238" t="s">
        <v>1021</v>
      </c>
    </row>
    <row r="40" spans="1:102" ht="33.75" customHeight="1">
      <c r="A40" s="293"/>
      <c r="B40" s="198">
        <v>4</v>
      </c>
      <c r="C40" s="219"/>
      <c r="D40" s="309"/>
      <c r="E40" s="309"/>
      <c r="F40" s="130" t="s">
        <v>320</v>
      </c>
      <c r="G40" s="130" t="s">
        <v>409</v>
      </c>
      <c r="H40" s="130" t="s">
        <v>409</v>
      </c>
      <c r="I40" s="130" t="s">
        <v>191</v>
      </c>
      <c r="J40" s="130" t="s">
        <v>191</v>
      </c>
      <c r="K40" s="130" t="s">
        <v>60</v>
      </c>
      <c r="L40" s="130">
        <v>6</v>
      </c>
      <c r="M40" s="130" t="s">
        <v>48</v>
      </c>
      <c r="N40" s="130" t="s">
        <v>40</v>
      </c>
      <c r="O40" s="130" t="s">
        <v>41</v>
      </c>
      <c r="P40" s="130" t="s">
        <v>43</v>
      </c>
      <c r="Q40" s="130" t="s">
        <v>43</v>
      </c>
      <c r="R40" s="130" t="s">
        <v>41</v>
      </c>
      <c r="S40" s="130" t="s">
        <v>44</v>
      </c>
      <c r="T40" s="130">
        <v>443323583</v>
      </c>
      <c r="U40" s="130" t="s">
        <v>45</v>
      </c>
      <c r="V40" s="130" t="s">
        <v>53</v>
      </c>
      <c r="W40" s="130" t="s">
        <v>180</v>
      </c>
      <c r="X40" s="130" t="s">
        <v>62</v>
      </c>
      <c r="Y40" s="130">
        <v>20002</v>
      </c>
      <c r="Z40" s="130" t="s">
        <v>42</v>
      </c>
      <c r="AA40" s="130" t="s">
        <v>43</v>
      </c>
      <c r="AB40" s="130" t="s">
        <v>42</v>
      </c>
      <c r="AC40" s="130" t="s">
        <v>42</v>
      </c>
      <c r="AD40" s="130" t="s">
        <v>42</v>
      </c>
      <c r="AE40" s="130" t="s">
        <v>42</v>
      </c>
      <c r="AF40" s="130" t="s">
        <v>42</v>
      </c>
      <c r="AG40" s="130" t="s">
        <v>42</v>
      </c>
      <c r="AH40" s="130" t="s">
        <v>42</v>
      </c>
      <c r="AI40" s="130" t="s">
        <v>42</v>
      </c>
      <c r="AJ40" s="130" t="s">
        <v>42</v>
      </c>
      <c r="AK40" s="130" t="s">
        <v>324</v>
      </c>
      <c r="AL40" s="130" t="s">
        <v>42</v>
      </c>
      <c r="AM40" s="130" t="s">
        <v>58</v>
      </c>
      <c r="AN40" s="130" t="s">
        <v>42</v>
      </c>
      <c r="AO40" s="130" t="s">
        <v>189</v>
      </c>
      <c r="AP40" s="130"/>
      <c r="AQ40" s="130"/>
      <c r="AR40" s="183">
        <f>4226.13*12</f>
        <v>50713.56</v>
      </c>
      <c r="AS40" s="133">
        <v>2</v>
      </c>
      <c r="AT40" s="130"/>
      <c r="AU40" s="130"/>
      <c r="AV40" s="130"/>
      <c r="AW40" s="130"/>
      <c r="AX40" s="130" t="s">
        <v>43</v>
      </c>
      <c r="AY40" s="130" t="s">
        <v>72</v>
      </c>
      <c r="AZ40" s="130" t="s">
        <v>43</v>
      </c>
      <c r="BA40" s="130"/>
      <c r="BB40" s="130"/>
      <c r="BC40" s="130" t="s">
        <v>43</v>
      </c>
      <c r="BD40" s="130" t="s">
        <v>42</v>
      </c>
      <c r="BE40" s="130" t="s">
        <v>43</v>
      </c>
      <c r="BF40" s="130" t="s">
        <v>43</v>
      </c>
      <c r="BG40" s="130" t="s">
        <v>43</v>
      </c>
      <c r="BH40" s="76">
        <f ca="1">AR40/INDIRECT("'Formula for FPL-2016'!B"&amp;'24 Core'!AS40)</f>
        <v>3.165640449438202</v>
      </c>
      <c r="BI40" s="91">
        <f ca="1">AR40/INDIRECT("'Formula for FPL-2015'!B"&amp;'24 Core'!AS40)</f>
        <v>3.1835254237288133</v>
      </c>
      <c r="BJ40" s="91">
        <f ca="1">AR40/INDIRECT("'Formula for FPL-2014'!B"&amp;'24 Core'!AS40)</f>
        <v>3.2240025429116335</v>
      </c>
      <c r="BK40" s="135">
        <v>322.39999999999998</v>
      </c>
      <c r="BL40" s="130" t="e">
        <f>IF(#REF!="4-MAGI Medicaid *","NA"," ")</f>
        <v>#REF!</v>
      </c>
      <c r="BM40" s="136"/>
      <c r="BN40" s="136"/>
      <c r="BO40" s="137"/>
      <c r="BP40" s="90" t="s">
        <v>172</v>
      </c>
      <c r="BQ40" s="80" t="s">
        <v>509</v>
      </c>
      <c r="BR40" s="80" t="s">
        <v>510</v>
      </c>
      <c r="BS40" s="80" t="s">
        <v>510</v>
      </c>
      <c r="BT40" s="186">
        <f t="shared" si="3"/>
        <v>50713.56</v>
      </c>
      <c r="BU40" s="149">
        <f t="shared" si="4"/>
        <v>2</v>
      </c>
      <c r="BV40" s="124">
        <v>3.1655430711610486</v>
      </c>
      <c r="BW40" s="251"/>
      <c r="BX40" s="169"/>
      <c r="BY40" s="169"/>
      <c r="BZ40" s="169"/>
      <c r="CA40" s="169"/>
      <c r="CB40" s="201"/>
      <c r="CC40" s="169"/>
      <c r="CD40" s="169"/>
      <c r="CE40" s="169"/>
      <c r="CF40" s="229"/>
      <c r="CG40" s="142" t="str">
        <f t="shared" si="0"/>
        <v>BLANK</v>
      </c>
      <c r="CH40" s="142" t="str">
        <f>IF(ISNUMBER(CF40),
      IF(EXACT(
           ROUND(BV40,3),
           $CF40),
      "PASS","FAIL"),
    IF(AND(BV40="NA",CF40="n/a"),"PASS","FAIL")
)</f>
        <v>FAIL</v>
      </c>
      <c r="CI40" s="254"/>
      <c r="CJ40" s="157"/>
      <c r="CK40" s="216"/>
      <c r="CL40" s="251"/>
      <c r="CM40" s="223"/>
      <c r="CN40" s="223"/>
      <c r="CO40" s="223"/>
      <c r="CP40" s="223"/>
      <c r="CQ40" s="223"/>
      <c r="CR40" s="135"/>
      <c r="CS40" s="124"/>
      <c r="CT40" s="142" t="str">
        <f t="shared" si="11"/>
        <v>BLANK</v>
      </c>
      <c r="CU40" s="142" t="str">
        <f t="shared" si="7"/>
        <v>FAIL</v>
      </c>
      <c r="CV40" s="254"/>
      <c r="CW40" s="157"/>
      <c r="CX40" s="216"/>
    </row>
    <row r="41" spans="1:102" ht="80.25" customHeight="1">
      <c r="A41" s="266">
        <v>11</v>
      </c>
      <c r="B41" s="198">
        <v>1</v>
      </c>
      <c r="C41" s="218" t="s">
        <v>1033</v>
      </c>
      <c r="D41" s="308" t="s">
        <v>218</v>
      </c>
      <c r="E41" s="308" t="s">
        <v>341</v>
      </c>
      <c r="F41" s="50" t="s">
        <v>196</v>
      </c>
      <c r="G41" s="50" t="s">
        <v>410</v>
      </c>
      <c r="H41" s="50" t="s">
        <v>410</v>
      </c>
      <c r="I41" s="50" t="s">
        <v>51</v>
      </c>
      <c r="J41" s="50" t="s">
        <v>51</v>
      </c>
      <c r="K41" s="50" t="s">
        <v>71</v>
      </c>
      <c r="L41" s="50">
        <v>53</v>
      </c>
      <c r="M41" s="50" t="s">
        <v>48</v>
      </c>
      <c r="N41" s="50" t="s">
        <v>40</v>
      </c>
      <c r="O41" s="50" t="s">
        <v>41</v>
      </c>
      <c r="P41" s="131" t="s">
        <v>43</v>
      </c>
      <c r="Q41" s="50" t="s">
        <v>43</v>
      </c>
      <c r="R41" s="50" t="s">
        <v>42</v>
      </c>
      <c r="S41" s="50" t="s">
        <v>44</v>
      </c>
      <c r="T41" s="50">
        <v>443323584</v>
      </c>
      <c r="U41" s="50" t="s">
        <v>45</v>
      </c>
      <c r="V41" s="50" t="s">
        <v>53</v>
      </c>
      <c r="W41" s="50" t="s">
        <v>180</v>
      </c>
      <c r="X41" s="50" t="s">
        <v>62</v>
      </c>
      <c r="Y41" s="50">
        <v>20002</v>
      </c>
      <c r="Z41" s="50" t="s">
        <v>42</v>
      </c>
      <c r="AA41" s="50" t="s">
        <v>43</v>
      </c>
      <c r="AB41" s="50" t="s">
        <v>42</v>
      </c>
      <c r="AC41" s="50" t="s">
        <v>42</v>
      </c>
      <c r="AD41" s="50" t="s">
        <v>42</v>
      </c>
      <c r="AE41" s="50" t="s">
        <v>42</v>
      </c>
      <c r="AF41" s="50" t="s">
        <v>42</v>
      </c>
      <c r="AG41" s="50" t="s">
        <v>42</v>
      </c>
      <c r="AH41" s="50" t="s">
        <v>42</v>
      </c>
      <c r="AI41" s="50" t="s">
        <v>42</v>
      </c>
      <c r="AJ41" s="50" t="s">
        <v>42</v>
      </c>
      <c r="AK41" s="50" t="s">
        <v>325</v>
      </c>
      <c r="AL41" s="50" t="s">
        <v>41</v>
      </c>
      <c r="AM41" s="50" t="s">
        <v>46</v>
      </c>
      <c r="AN41" s="50" t="s">
        <v>42</v>
      </c>
      <c r="AO41" s="50" t="s">
        <v>42</v>
      </c>
      <c r="AP41" s="44" t="s">
        <v>293</v>
      </c>
      <c r="AQ41" s="79" t="s">
        <v>498</v>
      </c>
      <c r="AR41" s="182">
        <v>50787.839999999997</v>
      </c>
      <c r="AS41" s="87">
        <v>1</v>
      </c>
      <c r="AT41" s="46">
        <v>41275</v>
      </c>
      <c r="AU41" s="44"/>
      <c r="AV41" s="50"/>
      <c r="AW41" s="50"/>
      <c r="AX41" s="50" t="s">
        <v>43</v>
      </c>
      <c r="AY41" s="50" t="s">
        <v>72</v>
      </c>
      <c r="AZ41" s="50" t="s">
        <v>43</v>
      </c>
      <c r="BA41" s="50"/>
      <c r="BB41" s="50"/>
      <c r="BC41" s="50" t="s">
        <v>43</v>
      </c>
      <c r="BD41" s="50" t="s">
        <v>42</v>
      </c>
      <c r="BE41" s="50" t="s">
        <v>43</v>
      </c>
      <c r="BF41" s="50" t="s">
        <v>43</v>
      </c>
      <c r="BG41" s="50" t="s">
        <v>43</v>
      </c>
      <c r="BH41" s="76">
        <f ca="1">AR41/INDIRECT("'Formula for FPL-2016'!B"&amp;'24 Core'!AS41)</f>
        <v>4.2750707070707064</v>
      </c>
      <c r="BI41" s="248">
        <f ca="1">AR41/INDIRECT("'Formula for FPL-2015'!B"&amp;'24 Core'!AS41)</f>
        <v>4.3150246389124893</v>
      </c>
      <c r="BJ41" s="76">
        <f ca="1">AR41/INDIRECT("'Formula for FPL-2014'!B"&amp;'24 Core'!AS41)</f>
        <v>4.3519999999999994</v>
      </c>
      <c r="BK41" s="72">
        <v>435.2</v>
      </c>
      <c r="BL41" s="50">
        <v>442.02</v>
      </c>
      <c r="BM41" s="105"/>
      <c r="BN41" s="105"/>
      <c r="BO41" s="106"/>
      <c r="BP41" s="55" t="s">
        <v>166</v>
      </c>
      <c r="BQ41" s="80" t="s">
        <v>510</v>
      </c>
      <c r="BR41" s="80" t="s">
        <v>510</v>
      </c>
      <c r="BS41" s="80" t="s">
        <v>510</v>
      </c>
      <c r="BT41" s="191">
        <f t="shared" si="3"/>
        <v>50787.839999999997</v>
      </c>
      <c r="BU41" s="148">
        <f t="shared" si="4"/>
        <v>1</v>
      </c>
      <c r="BV41" s="126">
        <v>4.3150382327952421</v>
      </c>
      <c r="BW41" s="266"/>
      <c r="BX41" s="168"/>
      <c r="BY41" s="168"/>
      <c r="BZ41" s="168"/>
      <c r="CA41" s="168"/>
      <c r="CB41" s="200" t="s">
        <v>1000</v>
      </c>
      <c r="CC41" s="168"/>
      <c r="CD41" s="168"/>
      <c r="CE41" s="168"/>
      <c r="CF41" s="125"/>
      <c r="CG41" s="142" t="str">
        <f t="shared" si="0"/>
        <v>BLANK</v>
      </c>
      <c r="CH41" s="142" t="str">
        <f>IF(ISNUMBER(CF41),
      IF(EXACT(
           (ROUND(BV41,2)*100),
           $CF41),
      "PASS","FAIL"),
    IF(AND(BV41="NA",CF41="n/a"),"PASS","FAIL")
)</f>
        <v>FAIL</v>
      </c>
      <c r="CI41" s="268" t="str">
        <f>IF(COUNTIF(CG41:CH44, "FAIL")=0,"PASS","FAIL")</f>
        <v>FAIL</v>
      </c>
      <c r="CJ41" s="157"/>
      <c r="CK41" s="216"/>
      <c r="CL41" s="266"/>
      <c r="CM41" s="220"/>
      <c r="CN41" s="220"/>
      <c r="CO41" s="220"/>
      <c r="CP41" s="220"/>
      <c r="CQ41" s="220"/>
      <c r="CR41" s="241"/>
      <c r="CS41" s="125"/>
      <c r="CT41" s="142" t="str">
        <f t="shared" si="11"/>
        <v>BLANK</v>
      </c>
      <c r="CU41" s="142" t="str">
        <f t="shared" si="7"/>
        <v>FAIL</v>
      </c>
      <c r="CV41" s="268" t="str">
        <f>IF(COUNTIF(CT41:CU44, "FAIL")=0,"PASS","FAIL")</f>
        <v>FAIL</v>
      </c>
      <c r="CW41" s="157"/>
      <c r="CX41" s="216" t="s">
        <v>1076</v>
      </c>
    </row>
    <row r="42" spans="1:102" ht="80.25" customHeight="1">
      <c r="A42" s="306"/>
      <c r="B42" s="198">
        <v>2</v>
      </c>
      <c r="C42" s="221"/>
      <c r="D42" s="308"/>
      <c r="E42" s="308"/>
      <c r="F42" s="50" t="s">
        <v>183</v>
      </c>
      <c r="G42" s="50" t="s">
        <v>411</v>
      </c>
      <c r="H42" s="50" t="s">
        <v>411</v>
      </c>
      <c r="I42" s="50" t="s">
        <v>51</v>
      </c>
      <c r="J42" s="50" t="s">
        <v>51</v>
      </c>
      <c r="K42" s="50" t="s">
        <v>67</v>
      </c>
      <c r="L42" s="50">
        <v>30</v>
      </c>
      <c r="M42" s="50" t="s">
        <v>48</v>
      </c>
      <c r="N42" s="50" t="s">
        <v>40</v>
      </c>
      <c r="O42" s="50" t="s">
        <v>43</v>
      </c>
      <c r="P42" s="131" t="s">
        <v>43</v>
      </c>
      <c r="Q42" s="50" t="s">
        <v>43</v>
      </c>
      <c r="R42" s="50" t="s">
        <v>43</v>
      </c>
      <c r="S42" s="50" t="s">
        <v>44</v>
      </c>
      <c r="T42" s="50">
        <v>443323585</v>
      </c>
      <c r="U42" s="50" t="s">
        <v>45</v>
      </c>
      <c r="V42" s="50" t="s">
        <v>53</v>
      </c>
      <c r="W42" s="50" t="s">
        <v>216</v>
      </c>
      <c r="X42" s="50" t="s">
        <v>62</v>
      </c>
      <c r="Y42" s="50">
        <v>20002</v>
      </c>
      <c r="Z42" s="50" t="s">
        <v>42</v>
      </c>
      <c r="AA42" s="50" t="s">
        <v>43</v>
      </c>
      <c r="AB42" s="50" t="s">
        <v>42</v>
      </c>
      <c r="AC42" s="50" t="s">
        <v>42</v>
      </c>
      <c r="AD42" s="50" t="s">
        <v>42</v>
      </c>
      <c r="AE42" s="50" t="s">
        <v>42</v>
      </c>
      <c r="AF42" s="50" t="s">
        <v>42</v>
      </c>
      <c r="AG42" s="50" t="s">
        <v>42</v>
      </c>
      <c r="AH42" s="50" t="s">
        <v>42</v>
      </c>
      <c r="AI42" s="50" t="s">
        <v>42</v>
      </c>
      <c r="AJ42" s="50" t="s">
        <v>42</v>
      </c>
      <c r="AK42" s="50" t="s">
        <v>326</v>
      </c>
      <c r="AL42" s="50" t="s">
        <v>42</v>
      </c>
      <c r="AM42" s="50" t="s">
        <v>46</v>
      </c>
      <c r="AN42" s="50" t="s">
        <v>42</v>
      </c>
      <c r="AO42" s="50" t="s">
        <v>42</v>
      </c>
      <c r="AP42" s="44" t="s">
        <v>226</v>
      </c>
      <c r="AQ42" s="44" t="s">
        <v>494</v>
      </c>
      <c r="AR42" s="182">
        <v>15000</v>
      </c>
      <c r="AS42" s="57">
        <v>3</v>
      </c>
      <c r="AT42" s="46">
        <v>41275</v>
      </c>
      <c r="AU42" s="44"/>
      <c r="AV42" s="50"/>
      <c r="AW42" s="50"/>
      <c r="AX42" s="50" t="s">
        <v>43</v>
      </c>
      <c r="AY42" s="50" t="s">
        <v>72</v>
      </c>
      <c r="AZ42" s="50" t="s">
        <v>43</v>
      </c>
      <c r="BA42" s="50"/>
      <c r="BB42" s="50"/>
      <c r="BC42" s="50" t="s">
        <v>43</v>
      </c>
      <c r="BD42" s="50" t="s">
        <v>42</v>
      </c>
      <c r="BE42" s="50" t="s">
        <v>43</v>
      </c>
      <c r="BF42" s="50" t="s">
        <v>43</v>
      </c>
      <c r="BG42" s="50" t="s">
        <v>43</v>
      </c>
      <c r="BH42" s="76">
        <f ca="1">AR42/INDIRECT("'Formula for FPL-2016'!B"&amp;'24 Core'!AS42)</f>
        <v>0.74404761904761907</v>
      </c>
      <c r="BI42" s="76">
        <f ca="1">AR42/INDIRECT("'Formula for FPL-2015'!B"&amp;'24 Core'!AS42)</f>
        <v>0.74664011946241915</v>
      </c>
      <c r="BJ42" s="76">
        <f ca="1">AR42/INDIRECT("'Formula for FPL-2014'!B"&amp;'24 Core'!AS42)</f>
        <v>0.75795856493178371</v>
      </c>
      <c r="BK42" s="82">
        <v>65.900000000000006</v>
      </c>
      <c r="BL42" s="50" t="s">
        <v>259</v>
      </c>
      <c r="BM42" s="105"/>
      <c r="BN42" s="105"/>
      <c r="BO42" s="106"/>
      <c r="BP42" s="89" t="s">
        <v>106</v>
      </c>
      <c r="BQ42" s="80" t="s">
        <v>259</v>
      </c>
      <c r="BR42" s="80" t="s">
        <v>259</v>
      </c>
      <c r="BS42" s="80" t="s">
        <v>259</v>
      </c>
      <c r="BT42" s="191"/>
      <c r="BU42" s="148">
        <f t="shared" ref="BU42:BU76" si="12">AS42</f>
        <v>3</v>
      </c>
      <c r="BV42" s="125">
        <v>0.74404761904761907</v>
      </c>
      <c r="BW42" s="276"/>
      <c r="BX42" s="168"/>
      <c r="BY42" s="168"/>
      <c r="BZ42" s="168"/>
      <c r="CA42" s="168"/>
      <c r="CB42" s="200"/>
      <c r="CC42" s="168"/>
      <c r="CD42" s="168"/>
      <c r="CE42" s="168"/>
      <c r="CF42" s="125"/>
      <c r="CG42" s="142" t="str">
        <f t="shared" si="0"/>
        <v>BLANK</v>
      </c>
      <c r="CH42" s="142" t="str">
        <f>IF(ISNUMBER(CF42),
      IF(EXACT(
           (ROUND(BV42,2)*100),
           $CF42),
      "PASS","FAIL"),
    IF(AND(BV42="NA",CF42="n/a"),"PASS","FAIL")
)</f>
        <v>FAIL</v>
      </c>
      <c r="CI42" s="275"/>
      <c r="CJ42" s="157"/>
      <c r="CK42" s="216"/>
      <c r="CL42" s="276"/>
      <c r="CM42" s="220"/>
      <c r="CN42" s="220"/>
      <c r="CO42" s="220"/>
      <c r="CP42" s="220"/>
      <c r="CQ42" s="220"/>
      <c r="CR42" s="241"/>
      <c r="CS42" s="125"/>
      <c r="CT42" s="142" t="str">
        <f t="shared" si="11"/>
        <v>BLANK</v>
      </c>
      <c r="CU42" s="142" t="str">
        <f t="shared" si="7"/>
        <v>FAIL</v>
      </c>
      <c r="CV42" s="275"/>
      <c r="CW42" s="157"/>
      <c r="CX42" s="216" t="s">
        <v>1078</v>
      </c>
    </row>
    <row r="43" spans="1:102" ht="85.5" customHeight="1">
      <c r="A43" s="306"/>
      <c r="B43" s="198">
        <v>3</v>
      </c>
      <c r="C43" s="221"/>
      <c r="D43" s="308"/>
      <c r="E43" s="308"/>
      <c r="F43" s="50" t="s">
        <v>198</v>
      </c>
      <c r="G43" s="50" t="s">
        <v>412</v>
      </c>
      <c r="H43" s="50" t="s">
        <v>412</v>
      </c>
      <c r="I43" s="50" t="s">
        <v>201</v>
      </c>
      <c r="J43" s="50" t="s">
        <v>191</v>
      </c>
      <c r="K43" s="50" t="s">
        <v>60</v>
      </c>
      <c r="L43" s="50">
        <v>8</v>
      </c>
      <c r="M43" s="50" t="s">
        <v>48</v>
      </c>
      <c r="N43" s="50" t="s">
        <v>40</v>
      </c>
      <c r="O43" s="50" t="s">
        <v>41</v>
      </c>
      <c r="P43" s="131" t="s">
        <v>43</v>
      </c>
      <c r="Q43" s="50" t="s">
        <v>43</v>
      </c>
      <c r="R43" s="50" t="s">
        <v>41</v>
      </c>
      <c r="S43" s="50" t="s">
        <v>44</v>
      </c>
      <c r="T43" s="50">
        <v>443323586</v>
      </c>
      <c r="U43" s="50" t="s">
        <v>45</v>
      </c>
      <c r="V43" s="50" t="s">
        <v>53</v>
      </c>
      <c r="W43" s="50" t="s">
        <v>180</v>
      </c>
      <c r="X43" s="50" t="s">
        <v>62</v>
      </c>
      <c r="Y43" s="50">
        <v>20002</v>
      </c>
      <c r="Z43" s="50" t="s">
        <v>42</v>
      </c>
      <c r="AA43" s="50" t="s">
        <v>43</v>
      </c>
      <c r="AB43" s="50" t="s">
        <v>42</v>
      </c>
      <c r="AC43" s="50" t="s">
        <v>42</v>
      </c>
      <c r="AD43" s="50" t="s">
        <v>42</v>
      </c>
      <c r="AE43" s="50" t="s">
        <v>42</v>
      </c>
      <c r="AF43" s="50" t="s">
        <v>42</v>
      </c>
      <c r="AG43" s="50" t="s">
        <v>42</v>
      </c>
      <c r="AH43" s="50" t="s">
        <v>42</v>
      </c>
      <c r="AI43" s="50" t="s">
        <v>42</v>
      </c>
      <c r="AJ43" s="50" t="s">
        <v>42</v>
      </c>
      <c r="AK43" s="50" t="s">
        <v>327</v>
      </c>
      <c r="AL43" s="50" t="s">
        <v>42</v>
      </c>
      <c r="AM43" s="50" t="s">
        <v>58</v>
      </c>
      <c r="AN43" s="50" t="s">
        <v>42</v>
      </c>
      <c r="AO43" s="50" t="s">
        <v>183</v>
      </c>
      <c r="AP43" s="50"/>
      <c r="AQ43" s="55" t="s">
        <v>493</v>
      </c>
      <c r="AR43" s="182">
        <v>0</v>
      </c>
      <c r="AS43" s="81">
        <v>2</v>
      </c>
      <c r="AT43" s="50"/>
      <c r="AU43" s="50"/>
      <c r="AV43" s="50"/>
      <c r="AW43" s="50"/>
      <c r="AX43" s="50" t="s">
        <v>43</v>
      </c>
      <c r="AY43" s="50" t="s">
        <v>72</v>
      </c>
      <c r="AZ43" s="50" t="s">
        <v>43</v>
      </c>
      <c r="BA43" s="50"/>
      <c r="BB43" s="50"/>
      <c r="BC43" s="50" t="s">
        <v>43</v>
      </c>
      <c r="BD43" s="50" t="s">
        <v>42</v>
      </c>
      <c r="BE43" s="50" t="s">
        <v>43</v>
      </c>
      <c r="BF43" s="50" t="s">
        <v>43</v>
      </c>
      <c r="BG43" s="50" t="s">
        <v>43</v>
      </c>
      <c r="BH43" s="76">
        <f ca="1">AR43/INDIRECT("'Formula for FPL-2016'!B"&amp;'24 Core'!AS43)</f>
        <v>0</v>
      </c>
      <c r="BI43" s="76">
        <f ca="1">AR43/INDIRECT("'Formula for FPL-2015'!B"&amp;'24 Core'!AS43)</f>
        <v>0</v>
      </c>
      <c r="BJ43" s="76">
        <f ca="1">AR43/INDIRECT("'Formula for FPL-2014'!B"&amp;'24 Core'!AS43)</f>
        <v>0</v>
      </c>
      <c r="BK43" s="72">
        <v>0</v>
      </c>
      <c r="BL43" s="50" t="e">
        <f>IF(#REF!="4-MAGI Medicaid *","NA"," ")</f>
        <v>#REF!</v>
      </c>
      <c r="BM43" s="105"/>
      <c r="BN43" s="105"/>
      <c r="BO43" s="106"/>
      <c r="BP43" s="89" t="s">
        <v>172</v>
      </c>
      <c r="BQ43" s="80" t="s">
        <v>509</v>
      </c>
      <c r="BR43" s="80" t="s">
        <v>510</v>
      </c>
      <c r="BS43" s="80" t="s">
        <v>510</v>
      </c>
      <c r="BT43" s="191">
        <f t="shared" ref="BT43:BT76" si="13">AR43</f>
        <v>0</v>
      </c>
      <c r="BU43" s="148">
        <f t="shared" si="12"/>
        <v>2</v>
      </c>
      <c r="BV43" s="125">
        <v>0</v>
      </c>
      <c r="BW43" s="276"/>
      <c r="BX43" s="168"/>
      <c r="BY43" s="168"/>
      <c r="BZ43" s="168"/>
      <c r="CA43" s="168"/>
      <c r="CB43" s="200"/>
      <c r="CC43" s="168"/>
      <c r="CD43" s="168"/>
      <c r="CE43" s="168"/>
      <c r="CF43" s="228"/>
      <c r="CG43" s="142" t="str">
        <f t="shared" si="0"/>
        <v>BLANK</v>
      </c>
      <c r="CH43" s="142" t="str">
        <f>IF(ISNUMBER(CF43),
      IF(EXACT(
           ROUND(BV43,3),
           $CF43),
      "PASS","FAIL"),
    IF(AND(BV43="NA",CF43="n/a"),"PASS","FAIL")
)</f>
        <v>FAIL</v>
      </c>
      <c r="CI43" s="275"/>
      <c r="CJ43" s="268"/>
      <c r="CK43" s="216"/>
      <c r="CL43" s="276"/>
      <c r="CM43" s="220"/>
      <c r="CN43" s="220"/>
      <c r="CO43" s="220"/>
      <c r="CP43" s="220"/>
      <c r="CQ43" s="220"/>
      <c r="CR43" s="241"/>
      <c r="CS43" s="125"/>
      <c r="CT43" s="142" t="str">
        <f t="shared" si="11"/>
        <v>BLANK</v>
      </c>
      <c r="CU43" s="142" t="str">
        <f t="shared" si="7"/>
        <v>FAIL</v>
      </c>
      <c r="CV43" s="275"/>
      <c r="CW43" s="268"/>
      <c r="CX43" s="216"/>
    </row>
    <row r="44" spans="1:102" ht="27.75" customHeight="1">
      <c r="A44" s="293"/>
      <c r="B44" s="198">
        <v>4</v>
      </c>
      <c r="C44" s="219"/>
      <c r="D44" s="308"/>
      <c r="E44" s="308"/>
      <c r="F44" s="50" t="s">
        <v>198</v>
      </c>
      <c r="G44" s="50" t="s">
        <v>413</v>
      </c>
      <c r="H44" s="50" t="s">
        <v>413</v>
      </c>
      <c r="I44" s="50" t="s">
        <v>201</v>
      </c>
      <c r="J44" s="50" t="s">
        <v>201</v>
      </c>
      <c r="K44" s="50" t="s">
        <v>65</v>
      </c>
      <c r="L44" s="50">
        <v>5</v>
      </c>
      <c r="M44" s="50" t="s">
        <v>48</v>
      </c>
      <c r="N44" s="50" t="s">
        <v>40</v>
      </c>
      <c r="O44" s="50" t="s">
        <v>41</v>
      </c>
      <c r="P44" s="131" t="s">
        <v>43</v>
      </c>
      <c r="Q44" s="50" t="s">
        <v>43</v>
      </c>
      <c r="R44" s="50" t="s">
        <v>41</v>
      </c>
      <c r="S44" s="50" t="s">
        <v>44</v>
      </c>
      <c r="T44" s="50">
        <v>443323587</v>
      </c>
      <c r="U44" s="50" t="s">
        <v>45</v>
      </c>
      <c r="V44" s="50" t="s">
        <v>53</v>
      </c>
      <c r="W44" s="50" t="s">
        <v>180</v>
      </c>
      <c r="X44" s="50" t="s">
        <v>62</v>
      </c>
      <c r="Y44" s="50">
        <v>20002</v>
      </c>
      <c r="Z44" s="50" t="s">
        <v>42</v>
      </c>
      <c r="AA44" s="50" t="s">
        <v>43</v>
      </c>
      <c r="AB44" s="50" t="s">
        <v>42</v>
      </c>
      <c r="AC44" s="50" t="s">
        <v>42</v>
      </c>
      <c r="AD44" s="50" t="s">
        <v>42</v>
      </c>
      <c r="AE44" s="50" t="s">
        <v>42</v>
      </c>
      <c r="AF44" s="50" t="s">
        <v>42</v>
      </c>
      <c r="AG44" s="50" t="s">
        <v>42</v>
      </c>
      <c r="AH44" s="50" t="s">
        <v>42</v>
      </c>
      <c r="AI44" s="50" t="s">
        <v>42</v>
      </c>
      <c r="AJ44" s="50" t="s">
        <v>42</v>
      </c>
      <c r="AK44" s="50" t="s">
        <v>328</v>
      </c>
      <c r="AL44" s="50" t="s">
        <v>42</v>
      </c>
      <c r="AM44" s="50" t="s">
        <v>58</v>
      </c>
      <c r="AN44" s="50" t="s">
        <v>42</v>
      </c>
      <c r="AO44" s="50" t="s">
        <v>183</v>
      </c>
      <c r="AP44" s="50"/>
      <c r="AQ44" s="55"/>
      <c r="AR44" s="182">
        <v>0</v>
      </c>
      <c r="AS44" s="81">
        <v>2</v>
      </c>
      <c r="AT44" s="50"/>
      <c r="AU44" s="50"/>
      <c r="AV44" s="50"/>
      <c r="AW44" s="50"/>
      <c r="AX44" s="50" t="s">
        <v>43</v>
      </c>
      <c r="AY44" s="50" t="s">
        <v>72</v>
      </c>
      <c r="AZ44" s="50" t="s">
        <v>43</v>
      </c>
      <c r="BA44" s="50"/>
      <c r="BB44" s="50"/>
      <c r="BC44" s="50" t="s">
        <v>43</v>
      </c>
      <c r="BD44" s="50" t="s">
        <v>42</v>
      </c>
      <c r="BE44" s="50" t="s">
        <v>43</v>
      </c>
      <c r="BF44" s="50" t="s">
        <v>43</v>
      </c>
      <c r="BG44" s="50" t="s">
        <v>43</v>
      </c>
      <c r="BH44" s="76">
        <f ca="1">AR44/INDIRECT("'Formula for FPL-2016'!B"&amp;'24 Core'!AS44)</f>
        <v>0</v>
      </c>
      <c r="BI44" s="76">
        <f ca="1">AR44/INDIRECT("'Formula for FPL-2015'!B"&amp;'24 Core'!AS44)</f>
        <v>0</v>
      </c>
      <c r="BJ44" s="76">
        <f ca="1">AR44/INDIRECT("'Formula for FPL-2014'!B"&amp;'24 Core'!AS44)</f>
        <v>0</v>
      </c>
      <c r="BK44" s="72">
        <v>0</v>
      </c>
      <c r="BL44" s="50" t="e">
        <f>IF(#REF!="4-MAGI Medicaid *","NA"," ")</f>
        <v>#REF!</v>
      </c>
      <c r="BM44" s="105"/>
      <c r="BN44" s="105"/>
      <c r="BO44" s="106"/>
      <c r="BP44" s="89" t="s">
        <v>172</v>
      </c>
      <c r="BQ44" s="80" t="s">
        <v>509</v>
      </c>
      <c r="BR44" s="80" t="s">
        <v>510</v>
      </c>
      <c r="BS44" s="80" t="s">
        <v>510</v>
      </c>
      <c r="BT44" s="191">
        <f t="shared" si="13"/>
        <v>0</v>
      </c>
      <c r="BU44" s="148">
        <f t="shared" si="12"/>
        <v>2</v>
      </c>
      <c r="BV44" s="125">
        <v>0</v>
      </c>
      <c r="BW44" s="267"/>
      <c r="BX44" s="168"/>
      <c r="BY44" s="168"/>
      <c r="BZ44" s="168"/>
      <c r="CA44" s="168"/>
      <c r="CB44" s="200"/>
      <c r="CC44" s="168"/>
      <c r="CD44" s="168"/>
      <c r="CE44" s="168"/>
      <c r="CF44" s="228"/>
      <c r="CG44" s="142" t="str">
        <f t="shared" si="0"/>
        <v>BLANK</v>
      </c>
      <c r="CH44" s="142" t="str">
        <f>IF(ISNUMBER(CF44),
      IF(EXACT(
           ROUND(BV44,3),
           $CF44),
      "PASS","FAIL"),
    IF(AND(BV44="NA",CF44="n/a"),"PASS","FAIL")
)</f>
        <v>FAIL</v>
      </c>
      <c r="CI44" s="269"/>
      <c r="CJ44" s="271"/>
      <c r="CK44" s="216"/>
      <c r="CL44" s="267"/>
      <c r="CM44" s="220"/>
      <c r="CN44" s="220"/>
      <c r="CO44" s="220"/>
      <c r="CP44" s="220"/>
      <c r="CQ44" s="220"/>
      <c r="CR44" s="241"/>
      <c r="CS44" s="125"/>
      <c r="CT44" s="142" t="str">
        <f t="shared" si="11"/>
        <v>BLANK</v>
      </c>
      <c r="CU44" s="142" t="str">
        <f t="shared" si="7"/>
        <v>FAIL</v>
      </c>
      <c r="CV44" s="269"/>
      <c r="CW44" s="271"/>
      <c r="CX44" s="216"/>
    </row>
    <row r="45" spans="1:102" s="31" customFormat="1" ht="71.25" customHeight="1">
      <c r="A45" s="266">
        <v>12</v>
      </c>
      <c r="B45" s="198">
        <v>1</v>
      </c>
      <c r="C45" s="218" t="s">
        <v>1034</v>
      </c>
      <c r="D45" s="309" t="s">
        <v>243</v>
      </c>
      <c r="E45" s="309" t="s">
        <v>1123</v>
      </c>
      <c r="F45" s="130" t="s">
        <v>50</v>
      </c>
      <c r="G45" s="130" t="s">
        <v>439</v>
      </c>
      <c r="H45" s="130" t="s">
        <v>440</v>
      </c>
      <c r="I45" s="130" t="s">
        <v>51</v>
      </c>
      <c r="J45" s="130" t="s">
        <v>51</v>
      </c>
      <c r="K45" s="130" t="s">
        <v>67</v>
      </c>
      <c r="L45" s="130">
        <v>37</v>
      </c>
      <c r="M45" s="130" t="s">
        <v>39</v>
      </c>
      <c r="N45" s="130" t="s">
        <v>52</v>
      </c>
      <c r="O45" s="130" t="s">
        <v>41</v>
      </c>
      <c r="P45" s="131" t="s">
        <v>42</v>
      </c>
      <c r="Q45" s="130" t="s">
        <v>43</v>
      </c>
      <c r="R45" s="130" t="s">
        <v>42</v>
      </c>
      <c r="S45" s="130" t="s">
        <v>44</v>
      </c>
      <c r="T45" s="130">
        <v>339999534</v>
      </c>
      <c r="U45" s="130" t="s">
        <v>45</v>
      </c>
      <c r="V45" s="130" t="s">
        <v>53</v>
      </c>
      <c r="W45" s="130" t="s">
        <v>180</v>
      </c>
      <c r="X45" s="130" t="s">
        <v>62</v>
      </c>
      <c r="Y45" s="130">
        <v>20002</v>
      </c>
      <c r="Z45" s="130" t="s">
        <v>42</v>
      </c>
      <c r="AA45" s="130" t="s">
        <v>42</v>
      </c>
      <c r="AB45" s="130" t="s">
        <v>42</v>
      </c>
      <c r="AC45" s="130" t="s">
        <v>42</v>
      </c>
      <c r="AD45" s="130" t="s">
        <v>42</v>
      </c>
      <c r="AE45" s="130" t="s">
        <v>42</v>
      </c>
      <c r="AF45" s="130" t="s">
        <v>42</v>
      </c>
      <c r="AG45" s="130" t="s">
        <v>42</v>
      </c>
      <c r="AH45" s="130" t="s">
        <v>42</v>
      </c>
      <c r="AI45" s="130" t="s">
        <v>42</v>
      </c>
      <c r="AJ45" s="130" t="s">
        <v>42</v>
      </c>
      <c r="AK45" s="130" t="s">
        <v>219</v>
      </c>
      <c r="AL45" s="130" t="s">
        <v>42</v>
      </c>
      <c r="AM45" s="130" t="s">
        <v>46</v>
      </c>
      <c r="AN45" s="130" t="s">
        <v>43</v>
      </c>
      <c r="AO45" s="130" t="s">
        <v>42</v>
      </c>
      <c r="AP45" s="130" t="s">
        <v>284</v>
      </c>
      <c r="AQ45" s="130"/>
      <c r="AR45" s="183">
        <f>45617+40583</f>
        <v>86200</v>
      </c>
      <c r="AS45" s="133">
        <v>3</v>
      </c>
      <c r="AT45" s="134">
        <v>41275</v>
      </c>
      <c r="AU45" s="130"/>
      <c r="AV45" s="130"/>
      <c r="AW45" s="130"/>
      <c r="AX45" s="130" t="s">
        <v>43</v>
      </c>
      <c r="AY45" s="130" t="s">
        <v>72</v>
      </c>
      <c r="AZ45" s="130" t="s">
        <v>43</v>
      </c>
      <c r="BA45" s="130"/>
      <c r="BB45" s="130"/>
      <c r="BC45" s="130" t="s">
        <v>43</v>
      </c>
      <c r="BD45" s="130" t="s">
        <v>42</v>
      </c>
      <c r="BE45" s="130" t="s">
        <v>43</v>
      </c>
      <c r="BF45" s="130" t="s">
        <v>43</v>
      </c>
      <c r="BG45" s="130" t="s">
        <v>43</v>
      </c>
      <c r="BH45" s="76">
        <f ca="1">AR45/INDIRECT("'Formula for FPL-2016'!B"&amp;'24 Core'!AS45)</f>
        <v>4.2757936507936511</v>
      </c>
      <c r="BI45" s="248">
        <f ca="1">AR45/INDIRECT("'Formula for FPL-2015'!B"&amp;'24 Core'!AS45)</f>
        <v>4.290691886510702</v>
      </c>
      <c r="BJ45" s="91">
        <f ca="1">AR45/INDIRECT("'Formula for FPL-2014'!B"&amp;'24 Core'!AS45)</f>
        <v>4.3557352198079835</v>
      </c>
      <c r="BK45" s="135">
        <v>290</v>
      </c>
      <c r="BL45" s="50">
        <v>294.11</v>
      </c>
      <c r="BM45" s="105"/>
      <c r="BN45" s="105"/>
      <c r="BO45" s="106"/>
      <c r="BP45" s="55" t="s">
        <v>166</v>
      </c>
      <c r="BQ45" s="80" t="s">
        <v>510</v>
      </c>
      <c r="BR45" s="80" t="s">
        <v>510</v>
      </c>
      <c r="BS45" s="80" t="s">
        <v>510</v>
      </c>
      <c r="BT45" s="186">
        <f t="shared" si="13"/>
        <v>86200</v>
      </c>
      <c r="BU45" s="149">
        <f t="shared" si="12"/>
        <v>3</v>
      </c>
      <c r="BV45" s="126">
        <v>4.290691886510702</v>
      </c>
      <c r="BW45" s="266"/>
      <c r="BX45" s="169"/>
      <c r="BY45" s="169"/>
      <c r="BZ45" s="169"/>
      <c r="CA45" s="169"/>
      <c r="CB45" s="201" t="s">
        <v>1001</v>
      </c>
      <c r="CC45" s="169"/>
      <c r="CD45" s="169"/>
      <c r="CE45" s="169"/>
      <c r="CF45" s="124"/>
      <c r="CG45" s="142" t="str">
        <f t="shared" si="0"/>
        <v>BLANK</v>
      </c>
      <c r="CH45" s="142" t="str">
        <f>IF(ISNUMBER(CF45),
      IF(EXACT(
           (ROUND(BV45,2)*100),
           $CF45),
      "PASS","FAIL"),
    IF(AND(BV45="NA",CF45="n/a"),"PASS","FAIL")
)</f>
        <v>FAIL</v>
      </c>
      <c r="CI45" s="268" t="str">
        <f>IF(COUNTIF(CG45:CH48, "FAIL")=0,"PASS","FAIL")</f>
        <v>FAIL</v>
      </c>
      <c r="CJ45" s="268"/>
      <c r="CK45" s="216"/>
      <c r="CL45" s="266"/>
      <c r="CM45" s="223"/>
      <c r="CN45" s="223"/>
      <c r="CO45" s="223"/>
      <c r="CP45" s="223"/>
      <c r="CQ45" s="223"/>
      <c r="CR45" s="135"/>
      <c r="CS45" s="124"/>
      <c r="CT45" s="142" t="str">
        <f t="shared" si="11"/>
        <v>BLANK</v>
      </c>
      <c r="CU45" s="142" t="str">
        <f t="shared" si="7"/>
        <v>FAIL</v>
      </c>
      <c r="CV45" s="268" t="str">
        <f>IF(COUNTIF(CT45:CU48, "FAIL")=0,"PASS","FAIL")</f>
        <v>FAIL</v>
      </c>
      <c r="CW45" s="268"/>
      <c r="CX45" s="216" t="s">
        <v>1079</v>
      </c>
    </row>
    <row r="46" spans="1:102" s="31" customFormat="1" ht="42.75" customHeight="1">
      <c r="A46" s="306"/>
      <c r="B46" s="198">
        <v>2</v>
      </c>
      <c r="C46" s="221"/>
      <c r="D46" s="309"/>
      <c r="E46" s="309"/>
      <c r="F46" s="130" t="s">
        <v>54</v>
      </c>
      <c r="G46" s="130" t="s">
        <v>441</v>
      </c>
      <c r="H46" s="130" t="s">
        <v>440</v>
      </c>
      <c r="I46" s="130" t="s">
        <v>51</v>
      </c>
      <c r="J46" s="130" t="s">
        <v>51</v>
      </c>
      <c r="K46" s="130" t="s">
        <v>67</v>
      </c>
      <c r="L46" s="130">
        <v>35</v>
      </c>
      <c r="M46" s="130" t="s">
        <v>48</v>
      </c>
      <c r="N46" s="130" t="s">
        <v>52</v>
      </c>
      <c r="O46" s="130" t="s">
        <v>41</v>
      </c>
      <c r="P46" s="131" t="s">
        <v>42</v>
      </c>
      <c r="Q46" s="130" t="s">
        <v>43</v>
      </c>
      <c r="R46" s="130" t="s">
        <v>41</v>
      </c>
      <c r="S46" s="130" t="s">
        <v>44</v>
      </c>
      <c r="T46" s="130">
        <v>339999535</v>
      </c>
      <c r="U46" s="130" t="s">
        <v>45</v>
      </c>
      <c r="V46" s="130" t="s">
        <v>53</v>
      </c>
      <c r="W46" s="130" t="s">
        <v>180</v>
      </c>
      <c r="X46" s="130" t="s">
        <v>62</v>
      </c>
      <c r="Y46" s="130">
        <v>20002</v>
      </c>
      <c r="Z46" s="130" t="s">
        <v>42</v>
      </c>
      <c r="AA46" s="130" t="s">
        <v>43</v>
      </c>
      <c r="AB46" s="130" t="s">
        <v>42</v>
      </c>
      <c r="AC46" s="130" t="s">
        <v>42</v>
      </c>
      <c r="AD46" s="130" t="s">
        <v>42</v>
      </c>
      <c r="AE46" s="130" t="s">
        <v>42</v>
      </c>
      <c r="AF46" s="130" t="s">
        <v>42</v>
      </c>
      <c r="AG46" s="130" t="s">
        <v>42</v>
      </c>
      <c r="AH46" s="130" t="s">
        <v>42</v>
      </c>
      <c r="AI46" s="130" t="s">
        <v>42</v>
      </c>
      <c r="AJ46" s="130" t="s">
        <v>42</v>
      </c>
      <c r="AK46" s="130" t="s">
        <v>220</v>
      </c>
      <c r="AL46" s="130" t="s">
        <v>42</v>
      </c>
      <c r="AM46" s="130" t="s">
        <v>46</v>
      </c>
      <c r="AN46" s="130" t="s">
        <v>43</v>
      </c>
      <c r="AO46" s="130" t="s">
        <v>42</v>
      </c>
      <c r="AP46" s="130" t="s">
        <v>294</v>
      </c>
      <c r="AQ46" s="130"/>
      <c r="AR46" s="183">
        <f>45617+40583</f>
        <v>86200</v>
      </c>
      <c r="AS46" s="133">
        <v>3</v>
      </c>
      <c r="AT46" s="134">
        <v>41275</v>
      </c>
      <c r="AU46" s="130"/>
      <c r="AV46" s="130"/>
      <c r="AW46" s="130"/>
      <c r="AX46" s="130" t="s">
        <v>43</v>
      </c>
      <c r="AY46" s="130" t="s">
        <v>72</v>
      </c>
      <c r="AZ46" s="130" t="s">
        <v>43</v>
      </c>
      <c r="BA46" s="130"/>
      <c r="BB46" s="130"/>
      <c r="BC46" s="130" t="s">
        <v>43</v>
      </c>
      <c r="BD46" s="130" t="s">
        <v>42</v>
      </c>
      <c r="BE46" s="130" t="s">
        <v>43</v>
      </c>
      <c r="BF46" s="130" t="s">
        <v>43</v>
      </c>
      <c r="BG46" s="130" t="s">
        <v>43</v>
      </c>
      <c r="BH46" s="76">
        <f ca="1">AR46/INDIRECT("'Formula for FPL-2016'!B"&amp;'24 Core'!AS46)</f>
        <v>4.2757936507936511</v>
      </c>
      <c r="BI46" s="248">
        <f ca="1">AR46/INDIRECT("'Formula for FPL-2015'!B"&amp;'24 Core'!AS46)</f>
        <v>4.290691886510702</v>
      </c>
      <c r="BJ46" s="91">
        <f ca="1">AR46/INDIRECT("'Formula for FPL-2014'!B"&amp;'24 Core'!AS46)</f>
        <v>4.3557352198079835</v>
      </c>
      <c r="BK46" s="135">
        <v>258</v>
      </c>
      <c r="BL46" s="50">
        <v>261.66000000000003</v>
      </c>
      <c r="BM46" s="105"/>
      <c r="BN46" s="105"/>
      <c r="BO46" s="106"/>
      <c r="BP46" s="55" t="s">
        <v>166</v>
      </c>
      <c r="BQ46" s="80" t="s">
        <v>510</v>
      </c>
      <c r="BR46" s="80" t="s">
        <v>510</v>
      </c>
      <c r="BS46" s="80" t="s">
        <v>510</v>
      </c>
      <c r="BT46" s="186">
        <f t="shared" si="13"/>
        <v>86200</v>
      </c>
      <c r="BU46" s="149">
        <f t="shared" si="12"/>
        <v>3</v>
      </c>
      <c r="BV46" s="126">
        <v>4.290691886510702</v>
      </c>
      <c r="BW46" s="276"/>
      <c r="BX46" s="169"/>
      <c r="BY46" s="169"/>
      <c r="BZ46" s="169"/>
      <c r="CA46" s="169"/>
      <c r="CB46" s="201"/>
      <c r="CC46" s="169"/>
      <c r="CD46" s="169"/>
      <c r="CE46" s="169"/>
      <c r="CF46" s="124"/>
      <c r="CG46" s="142" t="str">
        <f t="shared" ref="CG46:CG77" si="14">IF(CC46="medicaid",IF(AND(BQ46="Y",BR46="N",BS46="N"),"PASS","FAIL"),IF(CC46="aptc",IF(AND(BQ46="N",BR46="Y",BS46="N"),"PASS","FAIL"),IF(CC46="aptc+csr",IF(AND(BQ46="N",BR46="Y",BS46="Y"),"PASS","FAIL"),IF(CC46="n/a",IF(BQ46="NA","PASS","FAIL"),IF(CC46="unassisted",IF(AND(BQ46="N",BR46="N",BS46="N"),"PASS","FAIL"),"BLANK")))))</f>
        <v>BLANK</v>
      </c>
      <c r="CH46" s="142" t="str">
        <f>IF(ISNUMBER(CF46),
      IF(EXACT(
           (ROUND(BV46,2)*100),
           $CF46),
      "PASS","FAIL"),
    IF(AND(BV46="NA",CF46="n/a"),"PASS","FAIL")
)</f>
        <v>FAIL</v>
      </c>
      <c r="CI46" s="275"/>
      <c r="CJ46" s="270"/>
      <c r="CK46" s="216"/>
      <c r="CL46" s="276"/>
      <c r="CM46" s="223"/>
      <c r="CN46" s="223"/>
      <c r="CO46" s="223"/>
      <c r="CP46" s="223"/>
      <c r="CQ46" s="223"/>
      <c r="CR46" s="135"/>
      <c r="CS46" s="124"/>
      <c r="CT46" s="142" t="str">
        <f t="shared" si="11"/>
        <v>BLANK</v>
      </c>
      <c r="CU46" s="142" t="str">
        <f t="shared" si="7"/>
        <v>FAIL</v>
      </c>
      <c r="CV46" s="275"/>
      <c r="CW46" s="270"/>
      <c r="CX46" s="216" t="s">
        <v>1080</v>
      </c>
    </row>
    <row r="47" spans="1:102" s="31" customFormat="1" ht="30.75" customHeight="1">
      <c r="A47" s="306"/>
      <c r="B47" s="198">
        <v>3</v>
      </c>
      <c r="C47" s="221"/>
      <c r="D47" s="309"/>
      <c r="E47" s="309"/>
      <c r="F47" s="130" t="s">
        <v>319</v>
      </c>
      <c r="G47" s="130" t="s">
        <v>442</v>
      </c>
      <c r="H47" s="130" t="s">
        <v>440</v>
      </c>
      <c r="I47" s="130" t="s">
        <v>179</v>
      </c>
      <c r="J47" s="130" t="s">
        <v>179</v>
      </c>
      <c r="K47" s="130" t="s">
        <v>63</v>
      </c>
      <c r="L47" s="130">
        <v>17</v>
      </c>
      <c r="M47" s="130" t="s">
        <v>48</v>
      </c>
      <c r="N47" s="130" t="s">
        <v>40</v>
      </c>
      <c r="O47" s="130" t="s">
        <v>41</v>
      </c>
      <c r="P47" s="131" t="s">
        <v>42</v>
      </c>
      <c r="Q47" s="130" t="s">
        <v>43</v>
      </c>
      <c r="R47" s="130" t="s">
        <v>43</v>
      </c>
      <c r="S47" s="130" t="s">
        <v>44</v>
      </c>
      <c r="T47" s="130">
        <v>339999536</v>
      </c>
      <c r="U47" s="130" t="s">
        <v>45</v>
      </c>
      <c r="V47" s="130" t="s">
        <v>53</v>
      </c>
      <c r="W47" s="130" t="s">
        <v>244</v>
      </c>
      <c r="X47" s="130" t="s">
        <v>62</v>
      </c>
      <c r="Y47" s="130">
        <v>20002</v>
      </c>
      <c r="Z47" s="130" t="s">
        <v>42</v>
      </c>
      <c r="AA47" s="130" t="s">
        <v>43</v>
      </c>
      <c r="AB47" s="130" t="s">
        <v>42</v>
      </c>
      <c r="AC47" s="130" t="s">
        <v>42</v>
      </c>
      <c r="AD47" s="130" t="s">
        <v>42</v>
      </c>
      <c r="AE47" s="130" t="s">
        <v>43</v>
      </c>
      <c r="AF47" s="130" t="s">
        <v>42</v>
      </c>
      <c r="AG47" s="130" t="s">
        <v>42</v>
      </c>
      <c r="AH47" s="130" t="s">
        <v>42</v>
      </c>
      <c r="AI47" s="130" t="s">
        <v>42</v>
      </c>
      <c r="AJ47" s="130" t="s">
        <v>42</v>
      </c>
      <c r="AK47" s="130" t="s">
        <v>111</v>
      </c>
      <c r="AL47" s="130" t="s">
        <v>42</v>
      </c>
      <c r="AM47" s="130" t="s">
        <v>58</v>
      </c>
      <c r="AN47" s="130" t="s">
        <v>42</v>
      </c>
      <c r="AO47" s="130" t="s">
        <v>50</v>
      </c>
      <c r="AP47" s="206" t="s">
        <v>1124</v>
      </c>
      <c r="AQ47" s="130"/>
      <c r="AR47" s="183">
        <f t="shared" ref="AR47:AR48" si="15">45617+40583</f>
        <v>86200</v>
      </c>
      <c r="AS47" s="133">
        <v>4</v>
      </c>
      <c r="AT47" s="130"/>
      <c r="AU47" s="130"/>
      <c r="AV47" s="130"/>
      <c r="AW47" s="130"/>
      <c r="AX47" s="130" t="s">
        <v>43</v>
      </c>
      <c r="AY47" s="130" t="s">
        <v>72</v>
      </c>
      <c r="AZ47" s="130" t="s">
        <v>43</v>
      </c>
      <c r="BA47" s="130"/>
      <c r="BB47" s="130"/>
      <c r="BC47" s="130" t="s">
        <v>43</v>
      </c>
      <c r="BD47" s="130" t="s">
        <v>42</v>
      </c>
      <c r="BE47" s="130" t="s">
        <v>43</v>
      </c>
      <c r="BF47" s="130" t="s">
        <v>43</v>
      </c>
      <c r="BG47" s="130" t="s">
        <v>43</v>
      </c>
      <c r="BH47" s="76">
        <f ca="1">AR47/INDIRECT("'Formula for FPL-2016'!B"&amp;'24 Core'!AS47)</f>
        <v>3.5473251028806585</v>
      </c>
      <c r="BI47" s="248">
        <f ca="1">AR47/INDIRECT("'Formula for FPL-2015'!B"&amp;'24 Core'!AS47)</f>
        <v>3.5546391752577318</v>
      </c>
      <c r="BJ47" s="91">
        <f ca="1">AR47/INDIRECT("'Formula for FPL-2014'!B"&amp;'24 Core'!AS47)</f>
        <v>3.6142557651991614</v>
      </c>
      <c r="BK47" s="135">
        <v>290</v>
      </c>
      <c r="BL47" s="50">
        <v>294.11</v>
      </c>
      <c r="BM47" s="105"/>
      <c r="BN47" s="105"/>
      <c r="BO47" s="106"/>
      <c r="BP47" s="55" t="s">
        <v>166</v>
      </c>
      <c r="BQ47" s="80" t="s">
        <v>510</v>
      </c>
      <c r="BR47" s="80" t="s">
        <v>510</v>
      </c>
      <c r="BS47" s="80" t="s">
        <v>510</v>
      </c>
      <c r="BT47" s="186">
        <f t="shared" si="13"/>
        <v>86200</v>
      </c>
      <c r="BU47" s="149">
        <f t="shared" si="12"/>
        <v>4</v>
      </c>
      <c r="BV47" s="126">
        <v>3.5546391752577318</v>
      </c>
      <c r="BW47" s="276"/>
      <c r="BX47" s="169"/>
      <c r="BY47" s="169"/>
      <c r="BZ47" s="169"/>
      <c r="CA47" s="169"/>
      <c r="CB47" s="201"/>
      <c r="CC47" s="169"/>
      <c r="CD47" s="169"/>
      <c r="CE47" s="169"/>
      <c r="CF47" s="124"/>
      <c r="CG47" s="142" t="str">
        <f t="shared" si="14"/>
        <v>BLANK</v>
      </c>
      <c r="CH47" s="142" t="str">
        <f>IF(ISNUMBER(CF47),
      IF(EXACT(
           (ROUND(BV47,2)*100),
           $CF47),
      "PASS","FAIL"),
    IF(AND(BV47="NA",CF47="n/a"),"PASS","FAIL")
)</f>
        <v>FAIL</v>
      </c>
      <c r="CI47" s="275"/>
      <c r="CJ47" s="270"/>
      <c r="CK47" s="216"/>
      <c r="CL47" s="276"/>
      <c r="CM47" s="223"/>
      <c r="CN47" s="223"/>
      <c r="CO47" s="223"/>
      <c r="CP47" s="223"/>
      <c r="CQ47" s="223"/>
      <c r="CR47" s="135"/>
      <c r="CS47" s="124"/>
      <c r="CT47" s="142" t="str">
        <f t="shared" si="11"/>
        <v>BLANK</v>
      </c>
      <c r="CU47" s="142" t="str">
        <f t="shared" si="7"/>
        <v>FAIL</v>
      </c>
      <c r="CV47" s="275"/>
      <c r="CW47" s="270"/>
      <c r="CX47" s="216"/>
    </row>
    <row r="48" spans="1:102" s="31" customFormat="1" ht="35.25" customHeight="1">
      <c r="A48" s="293"/>
      <c r="B48" s="198">
        <v>4</v>
      </c>
      <c r="C48" s="219"/>
      <c r="D48" s="309"/>
      <c r="E48" s="309"/>
      <c r="F48" s="130" t="s">
        <v>320</v>
      </c>
      <c r="G48" s="130" t="s">
        <v>443</v>
      </c>
      <c r="H48" s="130" t="s">
        <v>440</v>
      </c>
      <c r="I48" s="130" t="s">
        <v>191</v>
      </c>
      <c r="J48" s="130" t="s">
        <v>191</v>
      </c>
      <c r="K48" s="130" t="s">
        <v>60</v>
      </c>
      <c r="L48" s="138">
        <v>13</v>
      </c>
      <c r="M48" s="138" t="s">
        <v>48</v>
      </c>
      <c r="N48" s="138" t="s">
        <v>40</v>
      </c>
      <c r="O48" s="130" t="s">
        <v>41</v>
      </c>
      <c r="P48" s="131" t="s">
        <v>42</v>
      </c>
      <c r="Q48" s="130" t="s">
        <v>43</v>
      </c>
      <c r="R48" s="130" t="s">
        <v>41</v>
      </c>
      <c r="S48" s="130" t="s">
        <v>44</v>
      </c>
      <c r="T48" s="130">
        <v>339999537</v>
      </c>
      <c r="U48" s="130" t="s">
        <v>45</v>
      </c>
      <c r="V48" s="130" t="s">
        <v>53</v>
      </c>
      <c r="W48" s="130" t="s">
        <v>180</v>
      </c>
      <c r="X48" s="130" t="s">
        <v>62</v>
      </c>
      <c r="Y48" s="130">
        <v>20002</v>
      </c>
      <c r="Z48" s="130" t="s">
        <v>42</v>
      </c>
      <c r="AA48" s="130" t="s">
        <v>43</v>
      </c>
      <c r="AB48" s="130" t="s">
        <v>42</v>
      </c>
      <c r="AC48" s="130" t="s">
        <v>42</v>
      </c>
      <c r="AD48" s="130" t="s">
        <v>42</v>
      </c>
      <c r="AE48" s="130" t="s">
        <v>42</v>
      </c>
      <c r="AF48" s="130" t="s">
        <v>42</v>
      </c>
      <c r="AG48" s="130" t="s">
        <v>42</v>
      </c>
      <c r="AH48" s="130" t="s">
        <v>42</v>
      </c>
      <c r="AI48" s="130" t="s">
        <v>42</v>
      </c>
      <c r="AJ48" s="130" t="s">
        <v>42</v>
      </c>
      <c r="AK48" s="130" t="s">
        <v>42</v>
      </c>
      <c r="AL48" s="130" t="s">
        <v>42</v>
      </c>
      <c r="AM48" s="130" t="s">
        <v>58</v>
      </c>
      <c r="AN48" s="130" t="s">
        <v>42</v>
      </c>
      <c r="AO48" s="130" t="s">
        <v>54</v>
      </c>
      <c r="AP48" s="130"/>
      <c r="AQ48" s="130"/>
      <c r="AR48" s="183">
        <f t="shared" si="15"/>
        <v>86200</v>
      </c>
      <c r="AS48" s="133">
        <v>4</v>
      </c>
      <c r="AT48" s="130"/>
      <c r="AU48" s="130"/>
      <c r="AV48" s="130"/>
      <c r="AW48" s="130"/>
      <c r="AX48" s="130" t="s">
        <v>43</v>
      </c>
      <c r="AY48" s="130" t="s">
        <v>72</v>
      </c>
      <c r="AZ48" s="130" t="s">
        <v>43</v>
      </c>
      <c r="BA48" s="130"/>
      <c r="BB48" s="130"/>
      <c r="BC48" s="130" t="s">
        <v>43</v>
      </c>
      <c r="BD48" s="130" t="s">
        <v>42</v>
      </c>
      <c r="BE48" s="130" t="s">
        <v>43</v>
      </c>
      <c r="BF48" s="130" t="s">
        <v>43</v>
      </c>
      <c r="BG48" s="130" t="s">
        <v>43</v>
      </c>
      <c r="BH48" s="76">
        <f ca="1">AR48/INDIRECT("'Formula for FPL-2016'!B"&amp;'24 Core'!AS48)</f>
        <v>3.5473251028806585</v>
      </c>
      <c r="BI48" s="248">
        <f ca="1">AR48/INDIRECT("'Formula for FPL-2015'!B"&amp;'24 Core'!AS48)</f>
        <v>3.5546391752577318</v>
      </c>
      <c r="BJ48" s="91">
        <f ca="1">AR48/INDIRECT("'Formula for FPL-2014'!B"&amp;'24 Core'!AS48)</f>
        <v>3.6142557651991614</v>
      </c>
      <c r="BK48" s="135">
        <v>258</v>
      </c>
      <c r="BL48" s="50">
        <v>261.66000000000003</v>
      </c>
      <c r="BM48" s="105"/>
      <c r="BN48" s="105"/>
      <c r="BO48" s="106"/>
      <c r="BP48" s="55" t="s">
        <v>166</v>
      </c>
      <c r="BQ48" s="80" t="s">
        <v>510</v>
      </c>
      <c r="BR48" s="80" t="s">
        <v>510</v>
      </c>
      <c r="BS48" s="80" t="s">
        <v>510</v>
      </c>
      <c r="BT48" s="186">
        <f t="shared" si="13"/>
        <v>86200</v>
      </c>
      <c r="BU48" s="149">
        <f t="shared" si="12"/>
        <v>4</v>
      </c>
      <c r="BV48" s="126">
        <v>3.5546391752577318</v>
      </c>
      <c r="BW48" s="267"/>
      <c r="BX48" s="169"/>
      <c r="BY48" s="169"/>
      <c r="BZ48" s="169"/>
      <c r="CA48" s="169"/>
      <c r="CB48" s="201"/>
      <c r="CC48" s="169"/>
      <c r="CD48" s="169"/>
      <c r="CE48" s="169"/>
      <c r="CF48" s="124"/>
      <c r="CG48" s="142" t="str">
        <f t="shared" si="14"/>
        <v>BLANK</v>
      </c>
      <c r="CH48" s="142" t="str">
        <f>IF(ISNUMBER(CF48),
      IF(EXACT(
           (ROUND(BV48,2)*100),
           $CF48),
      "PASS","FAIL"),
    IF(AND(BV48="NA",CF48="n/a"),"PASS","FAIL")
)</f>
        <v>FAIL</v>
      </c>
      <c r="CI48" s="269"/>
      <c r="CJ48" s="271"/>
      <c r="CK48" s="216"/>
      <c r="CL48" s="267"/>
      <c r="CM48" s="223"/>
      <c r="CN48" s="223"/>
      <c r="CO48" s="223"/>
      <c r="CP48" s="223"/>
      <c r="CQ48" s="223"/>
      <c r="CR48" s="135"/>
      <c r="CS48" s="124"/>
      <c r="CT48" s="142" t="str">
        <f t="shared" si="11"/>
        <v>BLANK</v>
      </c>
      <c r="CU48" s="142" t="str">
        <f t="shared" si="7"/>
        <v>FAIL</v>
      </c>
      <c r="CV48" s="269"/>
      <c r="CW48" s="271"/>
      <c r="CX48" s="216"/>
    </row>
    <row r="49" spans="1:102" ht="66.75" customHeight="1">
      <c r="A49" s="266">
        <v>13</v>
      </c>
      <c r="B49" s="198">
        <v>1</v>
      </c>
      <c r="C49" s="218" t="s">
        <v>1035</v>
      </c>
      <c r="D49" s="308" t="s">
        <v>221</v>
      </c>
      <c r="E49" s="308" t="s">
        <v>342</v>
      </c>
      <c r="F49" s="89" t="s">
        <v>50</v>
      </c>
      <c r="G49" s="89" t="s">
        <v>444</v>
      </c>
      <c r="H49" s="50" t="s">
        <v>445</v>
      </c>
      <c r="I49" s="50" t="s">
        <v>51</v>
      </c>
      <c r="J49" s="50" t="s">
        <v>51</v>
      </c>
      <c r="K49" s="50" t="s">
        <v>67</v>
      </c>
      <c r="L49" s="50">
        <v>37</v>
      </c>
      <c r="M49" s="50" t="s">
        <v>39</v>
      </c>
      <c r="N49" s="50" t="s">
        <v>52</v>
      </c>
      <c r="O49" s="50" t="s">
        <v>41</v>
      </c>
      <c r="P49" s="131" t="s">
        <v>42</v>
      </c>
      <c r="Q49" s="50" t="s">
        <v>43</v>
      </c>
      <c r="R49" s="50" t="s">
        <v>42</v>
      </c>
      <c r="S49" s="50" t="s">
        <v>44</v>
      </c>
      <c r="T49" s="50">
        <v>339999538</v>
      </c>
      <c r="U49" s="50" t="s">
        <v>45</v>
      </c>
      <c r="V49" s="50" t="s">
        <v>53</v>
      </c>
      <c r="W49" s="50" t="s">
        <v>216</v>
      </c>
      <c r="X49" s="50" t="s">
        <v>62</v>
      </c>
      <c r="Y49" s="50">
        <v>20002</v>
      </c>
      <c r="Z49" s="50" t="s">
        <v>42</v>
      </c>
      <c r="AA49" s="50" t="s">
        <v>42</v>
      </c>
      <c r="AB49" s="50" t="s">
        <v>42</v>
      </c>
      <c r="AC49" s="50" t="s">
        <v>42</v>
      </c>
      <c r="AD49" s="50" t="s">
        <v>42</v>
      </c>
      <c r="AE49" s="50" t="s">
        <v>42</v>
      </c>
      <c r="AF49" s="50" t="s">
        <v>42</v>
      </c>
      <c r="AG49" s="50" t="s">
        <v>42</v>
      </c>
      <c r="AH49" s="50" t="s">
        <v>42</v>
      </c>
      <c r="AI49" s="50" t="s">
        <v>42</v>
      </c>
      <c r="AJ49" s="50" t="s">
        <v>42</v>
      </c>
      <c r="AK49" s="50" t="s">
        <v>219</v>
      </c>
      <c r="AL49" s="50" t="s">
        <v>42</v>
      </c>
      <c r="AM49" s="50" t="s">
        <v>46</v>
      </c>
      <c r="AN49" s="50" t="s">
        <v>43</v>
      </c>
      <c r="AO49" s="50" t="s">
        <v>42</v>
      </c>
      <c r="AP49" s="50" t="s">
        <v>295</v>
      </c>
      <c r="AQ49" s="115" t="s">
        <v>835</v>
      </c>
      <c r="AR49" s="182">
        <f>25713.52+25000</f>
        <v>50713.520000000004</v>
      </c>
      <c r="AS49" s="57">
        <v>2</v>
      </c>
      <c r="AT49" s="46">
        <v>41275</v>
      </c>
      <c r="AU49" s="50"/>
      <c r="AV49" s="50"/>
      <c r="AW49" s="50"/>
      <c r="AX49" s="50" t="s">
        <v>43</v>
      </c>
      <c r="AY49" s="50" t="s">
        <v>72</v>
      </c>
      <c r="AZ49" s="50" t="s">
        <v>43</v>
      </c>
      <c r="BA49" s="50"/>
      <c r="BB49" s="50"/>
      <c r="BC49" s="50" t="s">
        <v>43</v>
      </c>
      <c r="BD49" s="50" t="s">
        <v>42</v>
      </c>
      <c r="BE49" s="50" t="s">
        <v>43</v>
      </c>
      <c r="BF49" s="50" t="s">
        <v>43</v>
      </c>
      <c r="BG49" s="50" t="s">
        <v>43</v>
      </c>
      <c r="BH49" s="76">
        <f ca="1">AR49/INDIRECT("'Formula for FPL-2016'!B"&amp;'24 Core'!AS49)</f>
        <v>3.165637952559301</v>
      </c>
      <c r="BI49" s="248">
        <f ca="1">AR49/INDIRECT("'Formula for FPL-2015'!B"&amp;'24 Core'!AS49)</f>
        <v>3.1835229127432521</v>
      </c>
      <c r="BJ49" s="76">
        <f ca="1">AR49/INDIRECT("'Formula for FPL-2014'!B"&amp;'24 Core'!AS49)</f>
        <v>3.2240000000000002</v>
      </c>
      <c r="BK49" s="47">
        <v>322</v>
      </c>
      <c r="BL49" s="50">
        <v>326.97000000000003</v>
      </c>
      <c r="BM49" s="105"/>
      <c r="BN49" s="105"/>
      <c r="BO49" s="106"/>
      <c r="BP49" s="55" t="s">
        <v>166</v>
      </c>
      <c r="BQ49" s="80" t="s">
        <v>510</v>
      </c>
      <c r="BR49" s="80" t="s">
        <v>510</v>
      </c>
      <c r="BS49" s="80" t="s">
        <v>510</v>
      </c>
      <c r="BT49" s="191">
        <f t="shared" si="13"/>
        <v>50713.520000000004</v>
      </c>
      <c r="BU49" s="148">
        <f t="shared" si="12"/>
        <v>2</v>
      </c>
      <c r="BV49" s="126">
        <v>3.1835229127432521</v>
      </c>
      <c r="BW49" s="266"/>
      <c r="BX49" s="168"/>
      <c r="BY49" s="168"/>
      <c r="BZ49" s="168"/>
      <c r="CA49" s="168"/>
      <c r="CB49" s="200" t="s">
        <v>1002</v>
      </c>
      <c r="CC49" s="168"/>
      <c r="CD49" s="168"/>
      <c r="CE49" s="168"/>
      <c r="CF49" s="228"/>
      <c r="CG49" s="142" t="str">
        <f t="shared" si="14"/>
        <v>BLANK</v>
      </c>
      <c r="CH49" s="142" t="str">
        <f>IF(ISNUMBER(CF49),
      IF(EXACT(
           ROUND(BV49,3),
           $CF49),
      "PASS","FAIL"),
    IF(AND(BV49="NA",CF49="n/a"),"PASS","FAIL")
)</f>
        <v>FAIL</v>
      </c>
      <c r="CI49" s="268" t="str">
        <f>IF(COUNTIF(CG49:CH52, "FAIL")=0,"PASS","FAIL")</f>
        <v>FAIL</v>
      </c>
      <c r="CJ49" s="268"/>
      <c r="CK49" s="216"/>
      <c r="CL49" s="266"/>
      <c r="CM49" s="220"/>
      <c r="CN49" s="220"/>
      <c r="CO49" s="220"/>
      <c r="CP49" s="220"/>
      <c r="CQ49" s="220"/>
      <c r="CR49" s="241"/>
      <c r="CS49" s="125"/>
      <c r="CT49" s="142" t="str">
        <f t="shared" si="11"/>
        <v>BLANK</v>
      </c>
      <c r="CU49" s="142" t="str">
        <f t="shared" si="7"/>
        <v>FAIL</v>
      </c>
      <c r="CV49" s="268" t="str">
        <f>IF(COUNTIF(CT49:CU52, "FAIL")=0,"PASS","FAIL")</f>
        <v>FAIL</v>
      </c>
      <c r="CW49" s="268"/>
      <c r="CX49" s="216" t="s">
        <v>1081</v>
      </c>
    </row>
    <row r="50" spans="1:102" ht="68.25" customHeight="1">
      <c r="A50" s="306"/>
      <c r="B50" s="198">
        <v>2</v>
      </c>
      <c r="C50" s="221"/>
      <c r="D50" s="308"/>
      <c r="E50" s="308"/>
      <c r="F50" s="89" t="s">
        <v>54</v>
      </c>
      <c r="G50" s="89" t="s">
        <v>446</v>
      </c>
      <c r="H50" s="50" t="s">
        <v>445</v>
      </c>
      <c r="I50" s="50" t="s">
        <v>51</v>
      </c>
      <c r="J50" s="50" t="s">
        <v>51</v>
      </c>
      <c r="K50" s="50" t="s">
        <v>67</v>
      </c>
      <c r="L50" s="50">
        <v>35</v>
      </c>
      <c r="M50" s="50" t="s">
        <v>48</v>
      </c>
      <c r="N50" s="50" t="s">
        <v>52</v>
      </c>
      <c r="O50" s="50" t="s">
        <v>41</v>
      </c>
      <c r="P50" s="131" t="s">
        <v>42</v>
      </c>
      <c r="Q50" s="50" t="s">
        <v>43</v>
      </c>
      <c r="R50" s="50" t="s">
        <v>43</v>
      </c>
      <c r="S50" s="50" t="s">
        <v>44</v>
      </c>
      <c r="T50" s="50">
        <v>339999539</v>
      </c>
      <c r="U50" s="50" t="s">
        <v>45</v>
      </c>
      <c r="V50" s="50" t="s">
        <v>53</v>
      </c>
      <c r="W50" s="50" t="s">
        <v>222</v>
      </c>
      <c r="X50" s="50" t="s">
        <v>62</v>
      </c>
      <c r="Y50" s="50">
        <v>20002</v>
      </c>
      <c r="Z50" s="50" t="s">
        <v>42</v>
      </c>
      <c r="AA50" s="50" t="s">
        <v>43</v>
      </c>
      <c r="AB50" s="50" t="s">
        <v>42</v>
      </c>
      <c r="AC50" s="50" t="s">
        <v>42</v>
      </c>
      <c r="AD50" s="50" t="s">
        <v>42</v>
      </c>
      <c r="AE50" s="50" t="s">
        <v>42</v>
      </c>
      <c r="AF50" s="50" t="s">
        <v>42</v>
      </c>
      <c r="AG50" s="50" t="s">
        <v>42</v>
      </c>
      <c r="AH50" s="50" t="s">
        <v>42</v>
      </c>
      <c r="AI50" s="50" t="s">
        <v>42</v>
      </c>
      <c r="AJ50" s="50" t="s">
        <v>42</v>
      </c>
      <c r="AK50" s="50" t="s">
        <v>220</v>
      </c>
      <c r="AL50" s="50" t="s">
        <v>42</v>
      </c>
      <c r="AM50" s="50" t="s">
        <v>46</v>
      </c>
      <c r="AN50" s="50" t="s">
        <v>43</v>
      </c>
      <c r="AO50" s="50" t="s">
        <v>42</v>
      </c>
      <c r="AP50" s="50" t="s">
        <v>296</v>
      </c>
      <c r="AQ50" s="115" t="s">
        <v>836</v>
      </c>
      <c r="AR50" s="182">
        <f>25355.18</f>
        <v>25355.18</v>
      </c>
      <c r="AS50" s="57">
        <v>2</v>
      </c>
      <c r="AT50" s="46">
        <v>41275</v>
      </c>
      <c r="AU50" s="50"/>
      <c r="AV50" s="50"/>
      <c r="AW50" s="50"/>
      <c r="AX50" s="50" t="s">
        <v>43</v>
      </c>
      <c r="AY50" s="50" t="s">
        <v>72</v>
      </c>
      <c r="AZ50" s="50" t="s">
        <v>43</v>
      </c>
      <c r="BA50" s="50"/>
      <c r="BB50" s="50"/>
      <c r="BC50" s="50" t="s">
        <v>43</v>
      </c>
      <c r="BD50" s="50" t="s">
        <v>42</v>
      </c>
      <c r="BE50" s="50" t="s">
        <v>43</v>
      </c>
      <c r="BF50" s="50" t="s">
        <v>43</v>
      </c>
      <c r="BG50" s="50" t="s">
        <v>43</v>
      </c>
      <c r="BH50" s="76">
        <f ca="1">AR50/INDIRECT("'Formula for FPL-2016'!B"&amp;'24 Core'!AS50)</f>
        <v>1.5827203495630462</v>
      </c>
      <c r="BI50" s="76">
        <f ca="1">AR50/INDIRECT("'Formula for FPL-2015'!B"&amp;'24 Core'!AS50)</f>
        <v>1.5916622724419334</v>
      </c>
      <c r="BJ50" s="76">
        <f ca="1">AR50/INDIRECT("'Formula for FPL-2014'!B"&amp;'24 Core'!AS50)</f>
        <v>1.611899554990464</v>
      </c>
      <c r="BK50" s="47">
        <v>161.19</v>
      </c>
      <c r="BL50" s="50" t="e">
        <f>IF(#REF!="4-MAGI Medicaid *","NA"," ")</f>
        <v>#REF!</v>
      </c>
      <c r="BM50" s="105"/>
      <c r="BN50" s="105"/>
      <c r="BO50" s="106"/>
      <c r="BP50" s="89" t="s">
        <v>172</v>
      </c>
      <c r="BQ50" s="80" t="s">
        <v>509</v>
      </c>
      <c r="BR50" s="80" t="s">
        <v>510</v>
      </c>
      <c r="BS50" s="80" t="s">
        <v>510</v>
      </c>
      <c r="BT50" s="191">
        <f t="shared" si="13"/>
        <v>25355.18</v>
      </c>
      <c r="BU50" s="148">
        <f t="shared" si="12"/>
        <v>2</v>
      </c>
      <c r="BV50" s="125">
        <v>1.5827203495630462</v>
      </c>
      <c r="BW50" s="276"/>
      <c r="BX50" s="168"/>
      <c r="BY50" s="168"/>
      <c r="BZ50" s="168"/>
      <c r="CA50" s="168"/>
      <c r="CB50" s="200"/>
      <c r="CC50" s="168"/>
      <c r="CD50" s="168"/>
      <c r="CE50" s="168"/>
      <c r="CF50" s="228"/>
      <c r="CG50" s="142" t="str">
        <f t="shared" si="14"/>
        <v>BLANK</v>
      </c>
      <c r="CH50" s="142" t="str">
        <f>IF(ISNUMBER(CF50),
      IF(EXACT(
           ROUND(BV50,3),
           $CF50),
      "PASS","FAIL"),
    IF(AND(BV50="NA",CF50="n/a"),"PASS","FAIL")
)</f>
        <v>FAIL</v>
      </c>
      <c r="CI50" s="275"/>
      <c r="CJ50" s="270"/>
      <c r="CK50" s="216"/>
      <c r="CL50" s="276"/>
      <c r="CM50" s="220"/>
      <c r="CN50" s="220"/>
      <c r="CO50" s="220"/>
      <c r="CP50" s="220"/>
      <c r="CQ50" s="220"/>
      <c r="CR50" s="241"/>
      <c r="CS50" s="125"/>
      <c r="CT50" s="142" t="str">
        <f t="shared" si="11"/>
        <v>BLANK</v>
      </c>
      <c r="CU50" s="142" t="str">
        <f t="shared" si="7"/>
        <v>FAIL</v>
      </c>
      <c r="CV50" s="275"/>
      <c r="CW50" s="270"/>
      <c r="CX50" s="216" t="s">
        <v>1082</v>
      </c>
    </row>
    <row r="51" spans="1:102" ht="59.25" customHeight="1">
      <c r="A51" s="306"/>
      <c r="B51" s="198">
        <v>3</v>
      </c>
      <c r="C51" s="221"/>
      <c r="D51" s="308"/>
      <c r="E51" s="308"/>
      <c r="F51" s="89" t="s">
        <v>319</v>
      </c>
      <c r="G51" s="89" t="s">
        <v>447</v>
      </c>
      <c r="H51" s="50" t="s">
        <v>445</v>
      </c>
      <c r="I51" s="50" t="s">
        <v>179</v>
      </c>
      <c r="J51" s="50" t="s">
        <v>179</v>
      </c>
      <c r="K51" s="50" t="s">
        <v>63</v>
      </c>
      <c r="L51" s="50">
        <v>17</v>
      </c>
      <c r="M51" s="50" t="s">
        <v>48</v>
      </c>
      <c r="N51" s="50" t="s">
        <v>40</v>
      </c>
      <c r="O51" s="50" t="s">
        <v>41</v>
      </c>
      <c r="P51" s="131" t="s">
        <v>42</v>
      </c>
      <c r="Q51" s="50" t="s">
        <v>43</v>
      </c>
      <c r="R51" s="50" t="s">
        <v>43</v>
      </c>
      <c r="S51" s="50" t="s">
        <v>44</v>
      </c>
      <c r="T51" s="50">
        <v>339999540</v>
      </c>
      <c r="U51" s="50" t="s">
        <v>45</v>
      </c>
      <c r="V51" s="50" t="s">
        <v>589</v>
      </c>
      <c r="W51" s="50" t="s">
        <v>223</v>
      </c>
      <c r="X51" s="50" t="s">
        <v>76</v>
      </c>
      <c r="Y51" s="50">
        <v>50002</v>
      </c>
      <c r="Z51" s="50" t="s">
        <v>42</v>
      </c>
      <c r="AA51" s="50" t="s">
        <v>43</v>
      </c>
      <c r="AB51" s="50" t="s">
        <v>42</v>
      </c>
      <c r="AC51" s="50" t="s">
        <v>42</v>
      </c>
      <c r="AD51" s="50" t="s">
        <v>42</v>
      </c>
      <c r="AE51" s="50" t="s">
        <v>43</v>
      </c>
      <c r="AF51" s="50" t="s">
        <v>42</v>
      </c>
      <c r="AG51" s="50" t="s">
        <v>42</v>
      </c>
      <c r="AH51" s="50" t="s">
        <v>42</v>
      </c>
      <c r="AI51" s="50" t="s">
        <v>42</v>
      </c>
      <c r="AJ51" s="50" t="s">
        <v>42</v>
      </c>
      <c r="AK51" s="50" t="s">
        <v>111</v>
      </c>
      <c r="AL51" s="50" t="s">
        <v>42</v>
      </c>
      <c r="AM51" s="73" t="s">
        <v>64</v>
      </c>
      <c r="AN51" s="73" t="s">
        <v>42</v>
      </c>
      <c r="AO51" s="73" t="s">
        <v>50</v>
      </c>
      <c r="AP51" s="73" t="s">
        <v>297</v>
      </c>
      <c r="AQ51" s="115" t="s">
        <v>837</v>
      </c>
      <c r="AR51" s="182">
        <f>25713.52+25000</f>
        <v>50713.520000000004</v>
      </c>
      <c r="AS51" s="57">
        <v>2</v>
      </c>
      <c r="AT51" s="46">
        <v>41275</v>
      </c>
      <c r="AU51" s="50"/>
      <c r="AV51" s="50"/>
      <c r="AW51" s="50"/>
      <c r="AX51" s="50" t="s">
        <v>43</v>
      </c>
      <c r="AY51" s="50" t="s">
        <v>72</v>
      </c>
      <c r="AZ51" s="50" t="s">
        <v>43</v>
      </c>
      <c r="BA51" s="50"/>
      <c r="BB51" s="50"/>
      <c r="BC51" s="50" t="s">
        <v>43</v>
      </c>
      <c r="BD51" s="50" t="s">
        <v>42</v>
      </c>
      <c r="BE51" s="50" t="s">
        <v>43</v>
      </c>
      <c r="BF51" s="50" t="s">
        <v>43</v>
      </c>
      <c r="BG51" s="50" t="s">
        <v>43</v>
      </c>
      <c r="BH51" s="76">
        <f ca="1">AR51/INDIRECT("'Formula for FPL-2016'!B"&amp;'24 Core'!AS51)</f>
        <v>3.165637952559301</v>
      </c>
      <c r="BI51" s="248">
        <f ca="1">AR51/INDIRECT("'Formula for FPL-2015'!B"&amp;'24 Core'!AS51)</f>
        <v>3.1835229127432521</v>
      </c>
      <c r="BJ51" s="76">
        <f ca="1">AR51/INDIRECT("'Formula for FPL-2014'!B"&amp;'24 Core'!AS51)</f>
        <v>3.2240000000000002</v>
      </c>
      <c r="BK51" s="45">
        <v>322.37</v>
      </c>
      <c r="BL51" s="50">
        <v>326.97000000000003</v>
      </c>
      <c r="BM51" s="105"/>
      <c r="BN51" s="105"/>
      <c r="BO51" s="106"/>
      <c r="BP51" s="55" t="s">
        <v>166</v>
      </c>
      <c r="BQ51" s="80" t="s">
        <v>510</v>
      </c>
      <c r="BR51" s="80" t="s">
        <v>510</v>
      </c>
      <c r="BS51" s="80" t="s">
        <v>510</v>
      </c>
      <c r="BT51" s="191">
        <f t="shared" si="13"/>
        <v>50713.520000000004</v>
      </c>
      <c r="BU51" s="148">
        <f t="shared" si="12"/>
        <v>2</v>
      </c>
      <c r="BV51" s="126">
        <v>3.1835229127432521</v>
      </c>
      <c r="BW51" s="276"/>
      <c r="BX51" s="168"/>
      <c r="BY51" s="168"/>
      <c r="BZ51" s="168"/>
      <c r="CA51" s="168"/>
      <c r="CB51" s="200"/>
      <c r="CC51" s="168"/>
      <c r="CD51" s="168"/>
      <c r="CE51" s="168"/>
      <c r="CF51" s="228"/>
      <c r="CG51" s="142" t="str">
        <f t="shared" si="14"/>
        <v>BLANK</v>
      </c>
      <c r="CH51" s="142" t="str">
        <f>IF(ISNUMBER(CF51),
      IF(EXACT(
           ROUND(BV51,3),
           $CF51),
      "PASS","FAIL"),
    IF(AND(BV51="NA",CF51="n/a"),"PASS","FAIL")
)</f>
        <v>FAIL</v>
      </c>
      <c r="CI51" s="275"/>
      <c r="CJ51" s="270"/>
      <c r="CK51" s="216"/>
      <c r="CL51" s="276"/>
      <c r="CM51" s="220"/>
      <c r="CN51" s="220"/>
      <c r="CO51" s="220"/>
      <c r="CP51" s="220"/>
      <c r="CQ51" s="220"/>
      <c r="CR51" s="241"/>
      <c r="CS51" s="125"/>
      <c r="CT51" s="142" t="str">
        <f t="shared" si="11"/>
        <v>BLANK</v>
      </c>
      <c r="CU51" s="142" t="str">
        <f t="shared" si="7"/>
        <v>FAIL</v>
      </c>
      <c r="CV51" s="275"/>
      <c r="CW51" s="270"/>
      <c r="CX51" s="216" t="s">
        <v>1052</v>
      </c>
    </row>
    <row r="52" spans="1:102" ht="93.75" customHeight="1">
      <c r="A52" s="293"/>
      <c r="B52" s="198">
        <v>4</v>
      </c>
      <c r="C52" s="219"/>
      <c r="D52" s="308"/>
      <c r="E52" s="308"/>
      <c r="F52" s="89" t="s">
        <v>320</v>
      </c>
      <c r="G52" s="89" t="s">
        <v>448</v>
      </c>
      <c r="H52" s="50" t="s">
        <v>445</v>
      </c>
      <c r="I52" s="50" t="s">
        <v>51</v>
      </c>
      <c r="J52" s="50" t="s">
        <v>191</v>
      </c>
      <c r="K52" s="50" t="s">
        <v>60</v>
      </c>
      <c r="L52" s="45">
        <v>10</v>
      </c>
      <c r="M52" s="45" t="s">
        <v>48</v>
      </c>
      <c r="N52" s="45" t="s">
        <v>40</v>
      </c>
      <c r="O52" s="50" t="s">
        <v>41</v>
      </c>
      <c r="P52" s="131" t="s">
        <v>42</v>
      </c>
      <c r="Q52" s="50" t="s">
        <v>43</v>
      </c>
      <c r="R52" s="50" t="s">
        <v>41</v>
      </c>
      <c r="S52" s="50" t="s">
        <v>44</v>
      </c>
      <c r="T52" s="50">
        <v>339999541</v>
      </c>
      <c r="U52" s="50" t="s">
        <v>45</v>
      </c>
      <c r="V52" s="50" t="s">
        <v>53</v>
      </c>
      <c r="W52" s="50" t="s">
        <v>216</v>
      </c>
      <c r="X52" s="50" t="s">
        <v>62</v>
      </c>
      <c r="Y52" s="50">
        <v>20002</v>
      </c>
      <c r="Z52" s="50" t="s">
        <v>42</v>
      </c>
      <c r="AA52" s="50" t="s">
        <v>43</v>
      </c>
      <c r="AB52" s="50" t="s">
        <v>42</v>
      </c>
      <c r="AC52" s="50" t="s">
        <v>42</v>
      </c>
      <c r="AD52" s="50" t="s">
        <v>42</v>
      </c>
      <c r="AE52" s="50" t="s">
        <v>42</v>
      </c>
      <c r="AF52" s="50" t="s">
        <v>42</v>
      </c>
      <c r="AG52" s="50" t="s">
        <v>42</v>
      </c>
      <c r="AH52" s="50" t="s">
        <v>42</v>
      </c>
      <c r="AI52" s="50" t="s">
        <v>42</v>
      </c>
      <c r="AJ52" s="50" t="s">
        <v>42</v>
      </c>
      <c r="AK52" s="50" t="s">
        <v>42</v>
      </c>
      <c r="AL52" s="50" t="s">
        <v>42</v>
      </c>
      <c r="AM52" s="50" t="s">
        <v>58</v>
      </c>
      <c r="AN52" s="50" t="s">
        <v>42</v>
      </c>
      <c r="AO52" s="50" t="s">
        <v>54</v>
      </c>
      <c r="AP52" s="50"/>
      <c r="AQ52" s="115"/>
      <c r="AR52" s="182">
        <f>25355.18</f>
        <v>25355.18</v>
      </c>
      <c r="AS52" s="57">
        <v>2</v>
      </c>
      <c r="AT52" s="50"/>
      <c r="AU52" s="50"/>
      <c r="AV52" s="50"/>
      <c r="AW52" s="50"/>
      <c r="AX52" s="50" t="s">
        <v>43</v>
      </c>
      <c r="AY52" s="50" t="s">
        <v>72</v>
      </c>
      <c r="AZ52" s="50" t="s">
        <v>43</v>
      </c>
      <c r="BA52" s="50"/>
      <c r="BB52" s="50"/>
      <c r="BC52" s="50" t="s">
        <v>43</v>
      </c>
      <c r="BD52" s="50" t="s">
        <v>42</v>
      </c>
      <c r="BE52" s="50" t="s">
        <v>43</v>
      </c>
      <c r="BF52" s="50" t="s">
        <v>43</v>
      </c>
      <c r="BG52" s="50" t="s">
        <v>43</v>
      </c>
      <c r="BH52" s="76">
        <f ca="1">AR52/INDIRECT("'Formula for FPL-2016'!B"&amp;'24 Core'!AS52)</f>
        <v>1.5827203495630462</v>
      </c>
      <c r="BI52" s="76">
        <f ca="1">AR52/INDIRECT("'Formula for FPL-2015'!B"&amp;'24 Core'!AS52)</f>
        <v>1.5916622724419334</v>
      </c>
      <c r="BJ52" s="76">
        <f ca="1">AR52/INDIRECT("'Formula for FPL-2014'!B"&amp;'24 Core'!AS52)</f>
        <v>1.611899554990464</v>
      </c>
      <c r="BK52" s="47">
        <v>161.19</v>
      </c>
      <c r="BL52" s="50" t="e">
        <f>IF(#REF!="4-MAGI Medicaid *","NA"," ")</f>
        <v>#REF!</v>
      </c>
      <c r="BM52" s="105"/>
      <c r="BN52" s="105"/>
      <c r="BO52" s="106"/>
      <c r="BP52" s="89" t="s">
        <v>172</v>
      </c>
      <c r="BQ52" s="80" t="s">
        <v>509</v>
      </c>
      <c r="BR52" s="80" t="s">
        <v>510</v>
      </c>
      <c r="BS52" s="80" t="s">
        <v>510</v>
      </c>
      <c r="BT52" s="191">
        <f t="shared" si="13"/>
        <v>25355.18</v>
      </c>
      <c r="BU52" s="148">
        <f t="shared" si="12"/>
        <v>2</v>
      </c>
      <c r="BV52" s="125">
        <v>1.5827203495630462</v>
      </c>
      <c r="BW52" s="267"/>
      <c r="BX52" s="168"/>
      <c r="BY52" s="168"/>
      <c r="BZ52" s="168"/>
      <c r="CA52" s="168"/>
      <c r="CB52" s="200"/>
      <c r="CC52" s="168"/>
      <c r="CD52" s="168"/>
      <c r="CE52" s="168"/>
      <c r="CF52" s="228"/>
      <c r="CG52" s="142" t="str">
        <f t="shared" si="14"/>
        <v>BLANK</v>
      </c>
      <c r="CH52" s="142" t="str">
        <f>IF(ISNUMBER(CF52),
      IF(EXACT(
           ROUND(BV52,3),
           $CF52),
      "PASS","FAIL"),
    IF(AND(BV52="NA",CF52="n/a"),"PASS","FAIL")
)</f>
        <v>FAIL</v>
      </c>
      <c r="CI52" s="269"/>
      <c r="CJ52" s="271"/>
      <c r="CK52" s="216"/>
      <c r="CL52" s="267"/>
      <c r="CM52" s="220"/>
      <c r="CN52" s="220"/>
      <c r="CO52" s="220"/>
      <c r="CP52" s="220"/>
      <c r="CQ52" s="220"/>
      <c r="CR52" s="241"/>
      <c r="CS52" s="125"/>
      <c r="CT52" s="142" t="str">
        <f t="shared" si="11"/>
        <v>BLANK</v>
      </c>
      <c r="CU52" s="142" t="str">
        <f t="shared" si="7"/>
        <v>FAIL</v>
      </c>
      <c r="CV52" s="269"/>
      <c r="CW52" s="271"/>
      <c r="CX52" s="216"/>
    </row>
    <row r="53" spans="1:102" ht="128.1" customHeight="1">
      <c r="A53" s="307">
        <v>14</v>
      </c>
      <c r="B53" s="198">
        <v>1</v>
      </c>
      <c r="C53" s="218" t="s">
        <v>1036</v>
      </c>
      <c r="D53" s="308" t="s">
        <v>225</v>
      </c>
      <c r="E53" s="308" t="s">
        <v>343</v>
      </c>
      <c r="F53" s="89" t="s">
        <v>189</v>
      </c>
      <c r="G53" s="89" t="s">
        <v>449</v>
      </c>
      <c r="H53" s="50" t="s">
        <v>437</v>
      </c>
      <c r="I53" s="50" t="s">
        <v>51</v>
      </c>
      <c r="J53" s="50" t="s">
        <v>51</v>
      </c>
      <c r="K53" s="50"/>
      <c r="L53" s="50">
        <v>35</v>
      </c>
      <c r="M53" s="50" t="s">
        <v>39</v>
      </c>
      <c r="N53" s="50" t="s">
        <v>40</v>
      </c>
      <c r="O53" s="50" t="s">
        <v>41</v>
      </c>
      <c r="P53" s="131" t="s">
        <v>43</v>
      </c>
      <c r="Q53" s="50" t="s">
        <v>43</v>
      </c>
      <c r="R53" s="50" t="s">
        <v>42</v>
      </c>
      <c r="S53" s="50" t="s">
        <v>44</v>
      </c>
      <c r="T53" s="50">
        <v>488770909</v>
      </c>
      <c r="U53" s="50" t="s">
        <v>45</v>
      </c>
      <c r="V53" s="50" t="s">
        <v>53</v>
      </c>
      <c r="W53" s="50" t="s">
        <v>180</v>
      </c>
      <c r="X53" s="50" t="s">
        <v>62</v>
      </c>
      <c r="Y53" s="50">
        <v>20002</v>
      </c>
      <c r="Z53" s="50" t="s">
        <v>42</v>
      </c>
      <c r="AA53" s="50" t="s">
        <v>42</v>
      </c>
      <c r="AB53" s="50" t="s">
        <v>42</v>
      </c>
      <c r="AC53" s="50" t="s">
        <v>42</v>
      </c>
      <c r="AD53" s="50" t="s">
        <v>42</v>
      </c>
      <c r="AE53" s="50" t="s">
        <v>42</v>
      </c>
      <c r="AF53" s="50" t="s">
        <v>42</v>
      </c>
      <c r="AG53" s="50" t="s">
        <v>42</v>
      </c>
      <c r="AH53" s="50" t="s">
        <v>42</v>
      </c>
      <c r="AI53" s="50" t="s">
        <v>42</v>
      </c>
      <c r="AJ53" s="50" t="s">
        <v>42</v>
      </c>
      <c r="AK53" s="50" t="s">
        <v>330</v>
      </c>
      <c r="AL53" s="50" t="s">
        <v>42</v>
      </c>
      <c r="AM53" s="50" t="s">
        <v>46</v>
      </c>
      <c r="AN53" s="50" t="s">
        <v>42</v>
      </c>
      <c r="AO53" s="50" t="s">
        <v>42</v>
      </c>
      <c r="AP53" s="44" t="s">
        <v>285</v>
      </c>
      <c r="AQ53" s="44"/>
      <c r="AR53" s="182">
        <v>50708.800000000003</v>
      </c>
      <c r="AS53" s="57">
        <v>2</v>
      </c>
      <c r="AT53" s="46">
        <v>41275</v>
      </c>
      <c r="AU53" s="44"/>
      <c r="AV53" s="50"/>
      <c r="AW53" s="50"/>
      <c r="AX53" s="50" t="s">
        <v>43</v>
      </c>
      <c r="AY53" s="50" t="s">
        <v>72</v>
      </c>
      <c r="AZ53" s="50" t="s">
        <v>43</v>
      </c>
      <c r="BA53" s="50"/>
      <c r="BB53" s="50"/>
      <c r="BC53" s="50" t="s">
        <v>43</v>
      </c>
      <c r="BD53" s="50" t="s">
        <v>42</v>
      </c>
      <c r="BE53" s="50" t="s">
        <v>43</v>
      </c>
      <c r="BF53" s="50" t="s">
        <v>43</v>
      </c>
      <c r="BG53" s="50" t="s">
        <v>43</v>
      </c>
      <c r="BH53" s="76">
        <f ca="1">AR53/INDIRECT("'Formula for FPL-2016'!B"&amp;'24 Core'!AS53)</f>
        <v>3.165343320848939</v>
      </c>
      <c r="BI53" s="248">
        <f ca="1">AR53/INDIRECT("'Formula for FPL-2015'!B"&amp;'24 Core'!AS53)</f>
        <v>3.1832266164469556</v>
      </c>
      <c r="BJ53" s="76">
        <f ca="1">AR53/INDIRECT("'Formula for FPL-2014'!B"&amp;'24 Core'!AS53)</f>
        <v>3.2236999364272094</v>
      </c>
      <c r="BK53" s="47">
        <v>322.37</v>
      </c>
      <c r="BL53" s="50">
        <v>326.94</v>
      </c>
      <c r="BM53" s="105"/>
      <c r="BN53" s="105"/>
      <c r="BO53" s="106"/>
      <c r="BP53" s="55" t="s">
        <v>167</v>
      </c>
      <c r="BQ53" s="80" t="s">
        <v>510</v>
      </c>
      <c r="BR53" s="80" t="s">
        <v>509</v>
      </c>
      <c r="BS53" s="80" t="s">
        <v>510</v>
      </c>
      <c r="BT53" s="191">
        <f t="shared" si="13"/>
        <v>50708.800000000003</v>
      </c>
      <c r="BU53" s="148">
        <f t="shared" si="12"/>
        <v>2</v>
      </c>
      <c r="BV53" s="126">
        <v>3.1832266164469556</v>
      </c>
      <c r="BW53" s="266"/>
      <c r="BX53" s="168"/>
      <c r="BY53" s="168"/>
      <c r="BZ53" s="168"/>
      <c r="CA53" s="168"/>
      <c r="CB53" s="200" t="s">
        <v>1003</v>
      </c>
      <c r="CC53" s="168"/>
      <c r="CD53" s="168"/>
      <c r="CE53" s="168"/>
      <c r="CF53" s="228"/>
      <c r="CG53" s="142" t="str">
        <f t="shared" si="14"/>
        <v>BLANK</v>
      </c>
      <c r="CH53" s="142" t="str">
        <f>IF(ISNUMBER(CF53),
      IF(EXACT(
           ROUND(BV53,3),
           $CF53),
      "PASS","FAIL"),
    IF(AND(BV53="NA",CF53="n/a"),"PASS","FAIL")
)</f>
        <v>FAIL</v>
      </c>
      <c r="CI53" s="268" t="str">
        <f>IF(COUNTIF(CG53:CH57, "FAIL")=0,"PASS","FAIL")</f>
        <v>FAIL</v>
      </c>
      <c r="CJ53" s="157"/>
      <c r="CK53" s="216"/>
      <c r="CL53" s="266"/>
      <c r="CM53" s="220"/>
      <c r="CN53" s="220"/>
      <c r="CO53" s="220"/>
      <c r="CP53" s="220"/>
      <c r="CQ53" s="220"/>
      <c r="CR53" s="241"/>
      <c r="CS53" s="125"/>
      <c r="CT53" s="142" t="str">
        <f t="shared" si="11"/>
        <v>BLANK</v>
      </c>
      <c r="CU53" s="142" t="str">
        <f t="shared" si="7"/>
        <v>FAIL</v>
      </c>
      <c r="CV53" s="268" t="str">
        <f>IF(COUNTIF(CT53:CU57, "FAIL")=0,"PASS","FAIL")</f>
        <v>FAIL</v>
      </c>
      <c r="CW53" s="157"/>
      <c r="CX53" s="216" t="s">
        <v>1096</v>
      </c>
    </row>
    <row r="54" spans="1:102" ht="131.1" customHeight="1">
      <c r="A54" s="306"/>
      <c r="B54" s="198">
        <v>2</v>
      </c>
      <c r="C54" s="221"/>
      <c r="D54" s="308"/>
      <c r="E54" s="308"/>
      <c r="F54" s="89" t="s">
        <v>183</v>
      </c>
      <c r="G54" s="89" t="s">
        <v>450</v>
      </c>
      <c r="H54" s="50" t="s">
        <v>437</v>
      </c>
      <c r="I54" s="50" t="s">
        <v>51</v>
      </c>
      <c r="J54" s="50" t="s">
        <v>51</v>
      </c>
      <c r="K54" s="50"/>
      <c r="L54" s="50">
        <v>35</v>
      </c>
      <c r="M54" s="50" t="s">
        <v>48</v>
      </c>
      <c r="N54" s="50" t="s">
        <v>40</v>
      </c>
      <c r="O54" s="50" t="s">
        <v>41</v>
      </c>
      <c r="P54" s="131" t="s">
        <v>43</v>
      </c>
      <c r="Q54" s="50" t="s">
        <v>43</v>
      </c>
      <c r="R54" s="50" t="s">
        <v>41</v>
      </c>
      <c r="S54" s="50" t="s">
        <v>44</v>
      </c>
      <c r="T54" s="50">
        <v>488770910</v>
      </c>
      <c r="U54" s="50" t="s">
        <v>45</v>
      </c>
      <c r="V54" s="50" t="s">
        <v>53</v>
      </c>
      <c r="W54" s="50" t="s">
        <v>180</v>
      </c>
      <c r="X54" s="50" t="s">
        <v>62</v>
      </c>
      <c r="Y54" s="50">
        <v>20002</v>
      </c>
      <c r="Z54" s="50" t="s">
        <v>42</v>
      </c>
      <c r="AA54" s="50" t="s">
        <v>43</v>
      </c>
      <c r="AB54" s="50" t="s">
        <v>42</v>
      </c>
      <c r="AC54" s="50" t="s">
        <v>42</v>
      </c>
      <c r="AD54" s="50" t="s">
        <v>42</v>
      </c>
      <c r="AE54" s="50" t="s">
        <v>42</v>
      </c>
      <c r="AF54" s="50" t="s">
        <v>42</v>
      </c>
      <c r="AG54" s="50" t="s">
        <v>42</v>
      </c>
      <c r="AH54" s="50" t="s">
        <v>42</v>
      </c>
      <c r="AI54" s="50" t="s">
        <v>42</v>
      </c>
      <c r="AJ54" s="50" t="s">
        <v>42</v>
      </c>
      <c r="AK54" s="50" t="s">
        <v>331</v>
      </c>
      <c r="AL54" s="50" t="s">
        <v>42</v>
      </c>
      <c r="AM54" s="50" t="s">
        <v>46</v>
      </c>
      <c r="AN54" s="50" t="s">
        <v>42</v>
      </c>
      <c r="AO54" s="50" t="s">
        <v>42</v>
      </c>
      <c r="AP54" s="50" t="s">
        <v>286</v>
      </c>
      <c r="AQ54" s="115"/>
      <c r="AR54" s="182">
        <v>25333.18</v>
      </c>
      <c r="AS54" s="57">
        <v>3</v>
      </c>
      <c r="AT54" s="46">
        <v>41275</v>
      </c>
      <c r="AU54" s="50"/>
      <c r="AV54" s="50"/>
      <c r="AW54" s="50"/>
      <c r="AX54" s="50" t="s">
        <v>43</v>
      </c>
      <c r="AY54" s="50" t="s">
        <v>72</v>
      </c>
      <c r="AZ54" s="50" t="s">
        <v>43</v>
      </c>
      <c r="BA54" s="50"/>
      <c r="BB54" s="50"/>
      <c r="BC54" s="50" t="s">
        <v>43</v>
      </c>
      <c r="BD54" s="50" t="s">
        <v>42</v>
      </c>
      <c r="BE54" s="50" t="s">
        <v>43</v>
      </c>
      <c r="BF54" s="50" t="s">
        <v>43</v>
      </c>
      <c r="BG54" s="50" t="s">
        <v>43</v>
      </c>
      <c r="BH54" s="76">
        <f ca="1">AR54/INDIRECT("'Formula for FPL-2016'!B"&amp;'24 Core'!AS54)</f>
        <v>1.2566061507936508</v>
      </c>
      <c r="BI54" s="76">
        <f ca="1">AR54/INDIRECT("'Formula for FPL-2015'!B"&amp;'24 Core'!AS54)</f>
        <v>1.2609845694375312</v>
      </c>
      <c r="BJ54" s="76">
        <f ca="1">AR54/INDIRECT("'Formula for FPL-2014'!B"&amp;'24 Core'!AS54)</f>
        <v>1.2801000505305711</v>
      </c>
      <c r="BK54" s="47">
        <v>128.01</v>
      </c>
      <c r="BL54" s="145" t="str">
        <f>IF($NK54="4-MAGI Medicaid *","NA"," ")</f>
        <v xml:space="preserve"> </v>
      </c>
      <c r="BM54" s="105"/>
      <c r="BN54" s="105"/>
      <c r="BO54" s="106"/>
      <c r="BP54" s="89" t="s">
        <v>172</v>
      </c>
      <c r="BQ54" s="80" t="s">
        <v>509</v>
      </c>
      <c r="BR54" s="80" t="s">
        <v>510</v>
      </c>
      <c r="BS54" s="80" t="s">
        <v>510</v>
      </c>
      <c r="BT54" s="191">
        <f t="shared" si="13"/>
        <v>25333.18</v>
      </c>
      <c r="BU54" s="148">
        <f t="shared" si="12"/>
        <v>3</v>
      </c>
      <c r="BV54" s="125">
        <v>1.2566061507936508</v>
      </c>
      <c r="BW54" s="276"/>
      <c r="BX54" s="168"/>
      <c r="BY54" s="168"/>
      <c r="BZ54" s="168"/>
      <c r="CA54" s="168"/>
      <c r="CB54" s="200"/>
      <c r="CC54" s="168"/>
      <c r="CD54" s="168"/>
      <c r="CE54" s="168"/>
      <c r="CF54" s="125"/>
      <c r="CG54" s="142" t="str">
        <f t="shared" si="14"/>
        <v>BLANK</v>
      </c>
      <c r="CH54" s="142" t="str">
        <f>IF(ISNUMBER(CF54),
      IF(EXACT(
           (ROUND(BV54,2)*100),
           $CF54),
      "PASS","FAIL"),
    IF(AND(BV54="NA",CF54="n/a"),"PASS","FAIL")
)</f>
        <v>FAIL</v>
      </c>
      <c r="CI54" s="275"/>
      <c r="CJ54" s="157"/>
      <c r="CK54" s="216"/>
      <c r="CL54" s="276"/>
      <c r="CM54" s="220"/>
      <c r="CN54" s="220"/>
      <c r="CO54" s="220"/>
      <c r="CP54" s="220"/>
      <c r="CQ54" s="220"/>
      <c r="CR54" s="241"/>
      <c r="CS54" s="125"/>
      <c r="CT54" s="142" t="str">
        <f t="shared" si="11"/>
        <v>BLANK</v>
      </c>
      <c r="CU54" s="142" t="str">
        <f t="shared" si="7"/>
        <v>FAIL</v>
      </c>
      <c r="CV54" s="275"/>
      <c r="CW54" s="157"/>
      <c r="CX54" s="216" t="s">
        <v>1097</v>
      </c>
    </row>
    <row r="55" spans="1:102" ht="123.95" customHeight="1">
      <c r="A55" s="306"/>
      <c r="B55" s="198">
        <v>3</v>
      </c>
      <c r="C55" s="221"/>
      <c r="D55" s="308"/>
      <c r="E55" s="308"/>
      <c r="F55" s="89" t="s">
        <v>319</v>
      </c>
      <c r="G55" s="89" t="s">
        <v>824</v>
      </c>
      <c r="H55" s="50" t="s">
        <v>437</v>
      </c>
      <c r="I55" s="50" t="s">
        <v>191</v>
      </c>
      <c r="J55" s="50" t="s">
        <v>191</v>
      </c>
      <c r="K55" s="50"/>
      <c r="L55" s="50">
        <v>9</v>
      </c>
      <c r="M55" s="50" t="s">
        <v>39</v>
      </c>
      <c r="N55" s="50" t="s">
        <v>40</v>
      </c>
      <c r="O55" s="50" t="s">
        <v>41</v>
      </c>
      <c r="P55" s="131" t="s">
        <v>43</v>
      </c>
      <c r="Q55" s="50" t="s">
        <v>43</v>
      </c>
      <c r="R55" s="50" t="s">
        <v>41</v>
      </c>
      <c r="S55" s="50" t="s">
        <v>44</v>
      </c>
      <c r="T55" s="50">
        <v>488770911</v>
      </c>
      <c r="U55" s="50" t="s">
        <v>45</v>
      </c>
      <c r="V55" s="50" t="s">
        <v>53</v>
      </c>
      <c r="W55" s="50" t="s">
        <v>180</v>
      </c>
      <c r="X55" s="50" t="s">
        <v>62</v>
      </c>
      <c r="Y55" s="50">
        <v>20002</v>
      </c>
      <c r="Z55" s="50" t="s">
        <v>42</v>
      </c>
      <c r="AA55" s="50" t="s">
        <v>42</v>
      </c>
      <c r="AB55" s="50" t="s">
        <v>42</v>
      </c>
      <c r="AC55" s="50" t="s">
        <v>42</v>
      </c>
      <c r="AD55" s="50" t="s">
        <v>42</v>
      </c>
      <c r="AE55" s="50" t="s">
        <v>42</v>
      </c>
      <c r="AF55" s="50" t="s">
        <v>42</v>
      </c>
      <c r="AG55" s="50" t="s">
        <v>42</v>
      </c>
      <c r="AH55" s="50" t="s">
        <v>42</v>
      </c>
      <c r="AI55" s="50" t="s">
        <v>42</v>
      </c>
      <c r="AJ55" s="50" t="s">
        <v>42</v>
      </c>
      <c r="AK55" s="50" t="s">
        <v>203</v>
      </c>
      <c r="AL55" s="50" t="s">
        <v>42</v>
      </c>
      <c r="AM55" s="50" t="s">
        <v>58</v>
      </c>
      <c r="AN55" s="50" t="s">
        <v>42</v>
      </c>
      <c r="AO55" s="50" t="s">
        <v>183</v>
      </c>
      <c r="AP55" s="50"/>
      <c r="AQ55" s="115"/>
      <c r="AR55" s="182">
        <v>25333.18</v>
      </c>
      <c r="AS55" s="57">
        <v>3</v>
      </c>
      <c r="AT55" s="50"/>
      <c r="AU55" s="50"/>
      <c r="AV55" s="50"/>
      <c r="AW55" s="50"/>
      <c r="AX55" s="50" t="s">
        <v>43</v>
      </c>
      <c r="AY55" s="50" t="s">
        <v>72</v>
      </c>
      <c r="AZ55" s="50" t="s">
        <v>43</v>
      </c>
      <c r="BA55" s="50"/>
      <c r="BB55" s="50"/>
      <c r="BC55" s="50" t="s">
        <v>43</v>
      </c>
      <c r="BD55" s="50" t="s">
        <v>42</v>
      </c>
      <c r="BE55" s="50" t="s">
        <v>43</v>
      </c>
      <c r="BF55" s="50" t="s">
        <v>43</v>
      </c>
      <c r="BG55" s="50" t="s">
        <v>43</v>
      </c>
      <c r="BH55" s="76">
        <f ca="1">AR55/INDIRECT("'Formula for FPL-2016'!B"&amp;'24 Core'!AS55)</f>
        <v>1.2566061507936508</v>
      </c>
      <c r="BI55" s="76">
        <f ca="1">AR55/INDIRECT("'Formula for FPL-2015'!B"&amp;'24 Core'!AS55)</f>
        <v>1.2609845694375312</v>
      </c>
      <c r="BJ55" s="76">
        <f ca="1">AR55/INDIRECT("'Formula for FPL-2014'!B"&amp;'24 Core'!AS55)</f>
        <v>1.2801000505305711</v>
      </c>
      <c r="BK55" s="47">
        <v>128.01</v>
      </c>
      <c r="BL55" s="145" t="str">
        <f>IF($NK55="4-MAGI Medicaid *","NA"," ")</f>
        <v xml:space="preserve"> </v>
      </c>
      <c r="BM55" s="105"/>
      <c r="BN55" s="105"/>
      <c r="BO55" s="106"/>
      <c r="BP55" s="89" t="s">
        <v>172</v>
      </c>
      <c r="BQ55" s="80" t="s">
        <v>509</v>
      </c>
      <c r="BR55" s="80" t="s">
        <v>510</v>
      </c>
      <c r="BS55" s="80" t="s">
        <v>510</v>
      </c>
      <c r="BT55" s="191">
        <f t="shared" si="13"/>
        <v>25333.18</v>
      </c>
      <c r="BU55" s="148">
        <f t="shared" si="12"/>
        <v>3</v>
      </c>
      <c r="BV55" s="125">
        <v>1.2566061507936508</v>
      </c>
      <c r="BW55" s="276"/>
      <c r="BX55" s="168"/>
      <c r="BY55" s="168"/>
      <c r="BZ55" s="168"/>
      <c r="CA55" s="168"/>
      <c r="CB55" s="200"/>
      <c r="CC55" s="168"/>
      <c r="CD55" s="168"/>
      <c r="CE55" s="168"/>
      <c r="CF55" s="125"/>
      <c r="CG55" s="142" t="str">
        <f t="shared" si="14"/>
        <v>BLANK</v>
      </c>
      <c r="CH55" s="142" t="str">
        <f>IF(ISNUMBER(CF55),
      IF(EXACT(
           (ROUND(BV55,2)*100),
           $CF55),
      "PASS","FAIL"),
    IF(AND(BV55="NA",CF55="n/a"),"PASS","FAIL")
)</f>
        <v>FAIL</v>
      </c>
      <c r="CI55" s="275"/>
      <c r="CJ55" s="157"/>
      <c r="CK55" s="216"/>
      <c r="CL55" s="276"/>
      <c r="CM55" s="220"/>
      <c r="CN55" s="220"/>
      <c r="CO55" s="220"/>
      <c r="CP55" s="220"/>
      <c r="CQ55" s="220"/>
      <c r="CR55" s="241"/>
      <c r="CS55" s="125"/>
      <c r="CT55" s="142" t="str">
        <f t="shared" si="11"/>
        <v>BLANK</v>
      </c>
      <c r="CU55" s="142" t="str">
        <f t="shared" si="7"/>
        <v>FAIL</v>
      </c>
      <c r="CV55" s="275"/>
      <c r="CW55" s="157"/>
      <c r="CX55" s="216" t="s">
        <v>1097</v>
      </c>
    </row>
    <row r="56" spans="1:102" ht="132.94999999999999" customHeight="1">
      <c r="A56" s="306"/>
      <c r="B56" s="198">
        <v>4</v>
      </c>
      <c r="C56" s="221"/>
      <c r="D56" s="308"/>
      <c r="E56" s="308"/>
      <c r="F56" s="89" t="s">
        <v>320</v>
      </c>
      <c r="G56" s="89" t="s">
        <v>825</v>
      </c>
      <c r="H56" s="50" t="s">
        <v>437</v>
      </c>
      <c r="I56" s="50" t="s">
        <v>191</v>
      </c>
      <c r="J56" s="50" t="s">
        <v>191</v>
      </c>
      <c r="K56" s="50"/>
      <c r="L56" s="50">
        <v>6</v>
      </c>
      <c r="M56" s="50" t="s">
        <v>48</v>
      </c>
      <c r="N56" s="50" t="s">
        <v>40</v>
      </c>
      <c r="O56" s="50" t="s">
        <v>41</v>
      </c>
      <c r="P56" s="131" t="s">
        <v>43</v>
      </c>
      <c r="Q56" s="50" t="s">
        <v>43</v>
      </c>
      <c r="R56" s="50" t="s">
        <v>41</v>
      </c>
      <c r="S56" s="50" t="s">
        <v>44</v>
      </c>
      <c r="T56" s="50">
        <v>488770912</v>
      </c>
      <c r="U56" s="50" t="s">
        <v>45</v>
      </c>
      <c r="V56" s="50" t="s">
        <v>53</v>
      </c>
      <c r="W56" s="50" t="s">
        <v>180</v>
      </c>
      <c r="X56" s="50" t="s">
        <v>62</v>
      </c>
      <c r="Y56" s="50">
        <v>20002</v>
      </c>
      <c r="Z56" s="50" t="s">
        <v>42</v>
      </c>
      <c r="AA56" s="50" t="s">
        <v>42</v>
      </c>
      <c r="AB56" s="50" t="s">
        <v>42</v>
      </c>
      <c r="AC56" s="50" t="s">
        <v>42</v>
      </c>
      <c r="AD56" s="50" t="s">
        <v>42</v>
      </c>
      <c r="AE56" s="50" t="s">
        <v>42</v>
      </c>
      <c r="AF56" s="50" t="s">
        <v>42</v>
      </c>
      <c r="AG56" s="50" t="s">
        <v>42</v>
      </c>
      <c r="AH56" s="50" t="s">
        <v>42</v>
      </c>
      <c r="AI56" s="50" t="s">
        <v>42</v>
      </c>
      <c r="AJ56" s="50" t="s">
        <v>42</v>
      </c>
      <c r="AK56" s="50" t="s">
        <v>204</v>
      </c>
      <c r="AL56" s="50" t="s">
        <v>42</v>
      </c>
      <c r="AM56" s="50" t="s">
        <v>58</v>
      </c>
      <c r="AN56" s="50" t="s">
        <v>42</v>
      </c>
      <c r="AO56" s="50" t="s">
        <v>189</v>
      </c>
      <c r="AP56" s="50"/>
      <c r="AQ56" s="115"/>
      <c r="AR56" s="182">
        <v>50708.800000000003</v>
      </c>
      <c r="AS56" s="57">
        <v>2</v>
      </c>
      <c r="AT56" s="50"/>
      <c r="AU56" s="50"/>
      <c r="AV56" s="50"/>
      <c r="AW56" s="50"/>
      <c r="AX56" s="50" t="s">
        <v>43</v>
      </c>
      <c r="AY56" s="50" t="s">
        <v>72</v>
      </c>
      <c r="AZ56" s="50" t="s">
        <v>43</v>
      </c>
      <c r="BA56" s="50"/>
      <c r="BB56" s="50"/>
      <c r="BC56" s="50" t="s">
        <v>43</v>
      </c>
      <c r="BD56" s="50" t="s">
        <v>42</v>
      </c>
      <c r="BE56" s="50" t="s">
        <v>43</v>
      </c>
      <c r="BF56" s="50" t="s">
        <v>43</v>
      </c>
      <c r="BG56" s="50" t="s">
        <v>43</v>
      </c>
      <c r="BH56" s="76">
        <f ca="1">AR56/INDIRECT("'Formula for FPL-2016'!B"&amp;'24 Core'!AS56)</f>
        <v>3.165343320848939</v>
      </c>
      <c r="BI56" s="76">
        <f ca="1">AR56/INDIRECT("'Formula for FPL-2015'!B"&amp;'24 Core'!AS56)</f>
        <v>3.1832266164469556</v>
      </c>
      <c r="BJ56" s="76">
        <f ca="1">AR56/INDIRECT("'Formula for FPL-2014'!B"&amp;'24 Core'!AS56)</f>
        <v>3.2236999364272094</v>
      </c>
      <c r="BK56" s="47">
        <v>322.37</v>
      </c>
      <c r="BL56" s="145" t="str">
        <f>IF($NK56="4-MAGI Medicaid *","NA"," ")</f>
        <v xml:space="preserve"> </v>
      </c>
      <c r="BM56" s="105"/>
      <c r="BN56" s="105"/>
      <c r="BO56" s="106"/>
      <c r="BP56" s="89" t="s">
        <v>172</v>
      </c>
      <c r="BQ56" s="80" t="s">
        <v>509</v>
      </c>
      <c r="BR56" s="80" t="s">
        <v>510</v>
      </c>
      <c r="BS56" s="80" t="s">
        <v>510</v>
      </c>
      <c r="BT56" s="191">
        <f t="shared" si="13"/>
        <v>50708.800000000003</v>
      </c>
      <c r="BU56" s="148">
        <f t="shared" si="12"/>
        <v>2</v>
      </c>
      <c r="BV56" s="125">
        <v>3.165343320848939</v>
      </c>
      <c r="BW56" s="276"/>
      <c r="BX56" s="168"/>
      <c r="BY56" s="168"/>
      <c r="BZ56" s="168"/>
      <c r="CA56" s="168"/>
      <c r="CB56" s="200"/>
      <c r="CC56" s="168"/>
      <c r="CD56" s="168"/>
      <c r="CE56" s="168"/>
      <c r="CF56" s="228"/>
      <c r="CG56" s="142" t="str">
        <f t="shared" si="14"/>
        <v>BLANK</v>
      </c>
      <c r="CH56" s="142" t="str">
        <f>IF(ISNUMBER(CF56),
      IF(EXACT(
           ROUND(BV56,3),
           $CF56),
      "PASS","FAIL"),
    IF(AND(BV56="NA",CF56="n/a"),"PASS","FAIL")
)</f>
        <v>FAIL</v>
      </c>
      <c r="CI56" s="275"/>
      <c r="CJ56" s="157"/>
      <c r="CK56" s="216"/>
      <c r="CL56" s="276"/>
      <c r="CM56" s="220"/>
      <c r="CN56" s="220"/>
      <c r="CO56" s="220"/>
      <c r="CP56" s="220"/>
      <c r="CQ56" s="220"/>
      <c r="CR56" s="241"/>
      <c r="CS56" s="125"/>
      <c r="CT56" s="142" t="str">
        <f t="shared" si="11"/>
        <v>BLANK</v>
      </c>
      <c r="CU56" s="142" t="str">
        <f t="shared" si="7"/>
        <v>FAIL</v>
      </c>
      <c r="CV56" s="275"/>
      <c r="CW56" s="157"/>
      <c r="CX56" s="216" t="s">
        <v>1096</v>
      </c>
    </row>
    <row r="57" spans="1:102" ht="135" customHeight="1">
      <c r="A57" s="293"/>
      <c r="B57" s="198">
        <v>5</v>
      </c>
      <c r="C57" s="219"/>
      <c r="D57" s="308"/>
      <c r="E57" s="308"/>
      <c r="F57" s="89" t="s">
        <v>329</v>
      </c>
      <c r="G57" s="89" t="s">
        <v>826</v>
      </c>
      <c r="H57" s="50" t="s">
        <v>437</v>
      </c>
      <c r="I57" s="50" t="s">
        <v>201</v>
      </c>
      <c r="J57" s="50" t="s">
        <v>201</v>
      </c>
      <c r="K57" s="50" t="s">
        <v>65</v>
      </c>
      <c r="L57" s="50">
        <v>1</v>
      </c>
      <c r="M57" s="50" t="s">
        <v>39</v>
      </c>
      <c r="N57" s="50" t="s">
        <v>40</v>
      </c>
      <c r="O57" s="50" t="s">
        <v>41</v>
      </c>
      <c r="P57" s="131" t="s">
        <v>43</v>
      </c>
      <c r="Q57" s="50" t="s">
        <v>43</v>
      </c>
      <c r="R57" s="50" t="s">
        <v>41</v>
      </c>
      <c r="S57" s="50" t="s">
        <v>44</v>
      </c>
      <c r="T57" s="50">
        <v>488770913</v>
      </c>
      <c r="U57" s="50" t="s">
        <v>45</v>
      </c>
      <c r="V57" s="50" t="s">
        <v>53</v>
      </c>
      <c r="W57" s="50" t="s">
        <v>180</v>
      </c>
      <c r="X57" s="50" t="s">
        <v>62</v>
      </c>
      <c r="Y57" s="50">
        <v>20002</v>
      </c>
      <c r="Z57" s="50" t="s">
        <v>42</v>
      </c>
      <c r="AA57" s="50" t="s">
        <v>42</v>
      </c>
      <c r="AB57" s="50" t="s">
        <v>42</v>
      </c>
      <c r="AC57" s="50" t="s">
        <v>42</v>
      </c>
      <c r="AD57" s="50" t="s">
        <v>42</v>
      </c>
      <c r="AE57" s="50" t="s">
        <v>42</v>
      </c>
      <c r="AF57" s="50" t="s">
        <v>42</v>
      </c>
      <c r="AG57" s="50" t="s">
        <v>42</v>
      </c>
      <c r="AH57" s="50" t="s">
        <v>42</v>
      </c>
      <c r="AI57" s="50" t="s">
        <v>42</v>
      </c>
      <c r="AJ57" s="50" t="s">
        <v>42</v>
      </c>
      <c r="AK57" s="50" t="s">
        <v>205</v>
      </c>
      <c r="AL57" s="50" t="s">
        <v>42</v>
      </c>
      <c r="AM57" s="50" t="s">
        <v>58</v>
      </c>
      <c r="AN57" s="50" t="s">
        <v>42</v>
      </c>
      <c r="AO57" s="50" t="s">
        <v>183</v>
      </c>
      <c r="AP57" s="50">
        <f>28440*2.6371</f>
        <v>74999.124000000011</v>
      </c>
      <c r="AQ57" s="55" t="s">
        <v>823</v>
      </c>
      <c r="AR57" s="182">
        <f>25333.18 + 50708.8</f>
        <v>76041.98000000001</v>
      </c>
      <c r="AS57" s="57">
        <v>5</v>
      </c>
      <c r="AT57" s="50"/>
      <c r="AU57" s="50"/>
      <c r="AV57" s="50"/>
      <c r="AW57" s="50"/>
      <c r="AX57" s="50" t="s">
        <v>43</v>
      </c>
      <c r="AY57" s="50" t="s">
        <v>72</v>
      </c>
      <c r="AZ57" s="50" t="s">
        <v>43</v>
      </c>
      <c r="BA57" s="50"/>
      <c r="BB57" s="50"/>
      <c r="BC57" s="50" t="s">
        <v>43</v>
      </c>
      <c r="BD57" s="50" t="s">
        <v>42</v>
      </c>
      <c r="BE57" s="50" t="s">
        <v>43</v>
      </c>
      <c r="BF57" s="50" t="s">
        <v>43</v>
      </c>
      <c r="BG57" s="50" t="s">
        <v>43</v>
      </c>
      <c r="BH57" s="76">
        <f ca="1">AR57/INDIRECT("'Formula for FPL-2016'!B"&amp;'24 Core'!AS57)</f>
        <v>2.6737686357243322</v>
      </c>
      <c r="BI57" s="76">
        <f ca="1">AR57/INDIRECT("'Formula for FPL-2015'!B"&amp;'24 Core'!AS57)</f>
        <v>2.6765920450545586</v>
      </c>
      <c r="BJ57" s="76">
        <f ca="1">AR57/INDIRECT("'Formula for FPL-2014'!B"&amp;'24 Core'!AS57)</f>
        <v>2.7245424579003945</v>
      </c>
      <c r="BK57" s="72">
        <v>272.02999999999997</v>
      </c>
      <c r="BL57" s="145" t="str">
        <f>IF($NK57="4-MAGI Medicaid *","NA"," ")</f>
        <v xml:space="preserve"> </v>
      </c>
      <c r="BM57" s="105"/>
      <c r="BN57" s="105"/>
      <c r="BO57" s="106"/>
      <c r="BP57" s="89" t="s">
        <v>172</v>
      </c>
      <c r="BQ57" s="80" t="s">
        <v>509</v>
      </c>
      <c r="BR57" s="80" t="s">
        <v>510</v>
      </c>
      <c r="BS57" s="80" t="s">
        <v>510</v>
      </c>
      <c r="BT57" s="191">
        <f t="shared" si="13"/>
        <v>76041.98000000001</v>
      </c>
      <c r="BU57" s="148">
        <f t="shared" si="12"/>
        <v>5</v>
      </c>
      <c r="BV57" s="125">
        <v>2.6737686357243322</v>
      </c>
      <c r="BW57" s="267"/>
      <c r="BX57" s="168"/>
      <c r="BY57" s="168"/>
      <c r="BZ57" s="168"/>
      <c r="CA57" s="168"/>
      <c r="CB57" s="200"/>
      <c r="CC57" s="168"/>
      <c r="CD57" s="168"/>
      <c r="CE57" s="168"/>
      <c r="CF57" s="125"/>
      <c r="CG57" s="142" t="str">
        <f t="shared" si="14"/>
        <v>BLANK</v>
      </c>
      <c r="CH57" s="142" t="str">
        <f t="shared" ref="CH57:CH71" si="16">IF(ISNUMBER(CF57),
      IF(EXACT(
           (ROUND(BV57,2)*100),
           $CF57),
      "PASS","FAIL"),
    IF(AND(BV57="NA",CF57="n/a"),"PASS","FAIL")
)</f>
        <v>FAIL</v>
      </c>
      <c r="CI57" s="269"/>
      <c r="CJ57" s="157"/>
      <c r="CK57" s="216"/>
      <c r="CL57" s="267"/>
      <c r="CM57" s="220"/>
      <c r="CN57" s="220"/>
      <c r="CO57" s="220"/>
      <c r="CP57" s="220"/>
      <c r="CQ57" s="220"/>
      <c r="CR57" s="241"/>
      <c r="CS57" s="125"/>
      <c r="CT57" s="142" t="str">
        <f t="shared" si="11"/>
        <v>BLANK</v>
      </c>
      <c r="CU57" s="142" t="str">
        <f t="shared" si="7"/>
        <v>FAIL</v>
      </c>
      <c r="CV57" s="269"/>
      <c r="CW57" s="157"/>
      <c r="CX57" s="216" t="s">
        <v>1098</v>
      </c>
    </row>
    <row r="58" spans="1:102" ht="159" customHeight="1">
      <c r="A58" s="249">
        <v>15</v>
      </c>
      <c r="B58" s="198">
        <v>1</v>
      </c>
      <c r="C58" s="218" t="s">
        <v>1037</v>
      </c>
      <c r="D58" s="309" t="s">
        <v>224</v>
      </c>
      <c r="E58" s="309" t="s">
        <v>344</v>
      </c>
      <c r="F58" s="90" t="s">
        <v>50</v>
      </c>
      <c r="G58" s="90" t="s">
        <v>451</v>
      </c>
      <c r="H58" s="130" t="s">
        <v>452</v>
      </c>
      <c r="I58" s="130" t="s">
        <v>51</v>
      </c>
      <c r="J58" s="130" t="s">
        <v>51</v>
      </c>
      <c r="K58" s="130"/>
      <c r="L58" s="130">
        <v>36</v>
      </c>
      <c r="M58" s="130" t="s">
        <v>39</v>
      </c>
      <c r="N58" s="130" t="s">
        <v>52</v>
      </c>
      <c r="O58" s="130" t="s">
        <v>41</v>
      </c>
      <c r="P58" s="131" t="s">
        <v>42</v>
      </c>
      <c r="Q58" s="130" t="s">
        <v>43</v>
      </c>
      <c r="R58" s="130" t="s">
        <v>42</v>
      </c>
      <c r="S58" s="130" t="s">
        <v>44</v>
      </c>
      <c r="T58" s="130">
        <v>488770914</v>
      </c>
      <c r="U58" s="130" t="s">
        <v>45</v>
      </c>
      <c r="V58" s="130" t="s">
        <v>53</v>
      </c>
      <c r="W58" s="130" t="s">
        <v>206</v>
      </c>
      <c r="X58" s="130" t="s">
        <v>62</v>
      </c>
      <c r="Y58" s="130">
        <v>20016</v>
      </c>
      <c r="Z58" s="130" t="s">
        <v>42</v>
      </c>
      <c r="AA58" s="130" t="s">
        <v>42</v>
      </c>
      <c r="AB58" s="130" t="s">
        <v>42</v>
      </c>
      <c r="AC58" s="130" t="s">
        <v>42</v>
      </c>
      <c r="AD58" s="130" t="s">
        <v>42</v>
      </c>
      <c r="AE58" s="130" t="s">
        <v>42</v>
      </c>
      <c r="AF58" s="130" t="s">
        <v>42</v>
      </c>
      <c r="AG58" s="130" t="s">
        <v>42</v>
      </c>
      <c r="AH58" s="130" t="s">
        <v>42</v>
      </c>
      <c r="AI58" s="130" t="s">
        <v>42</v>
      </c>
      <c r="AJ58" s="130" t="s">
        <v>42</v>
      </c>
      <c r="AK58" s="130" t="s">
        <v>207</v>
      </c>
      <c r="AL58" s="130" t="s">
        <v>42</v>
      </c>
      <c r="AM58" s="130" t="s">
        <v>46</v>
      </c>
      <c r="AN58" s="130" t="s">
        <v>41</v>
      </c>
      <c r="AO58" s="130" t="s">
        <v>42</v>
      </c>
      <c r="AP58" s="130" t="s">
        <v>288</v>
      </c>
      <c r="AQ58" s="130" t="s">
        <v>499</v>
      </c>
      <c r="AR58" s="183">
        <f>51446+6100</f>
        <v>57546</v>
      </c>
      <c r="AS58" s="133">
        <v>6</v>
      </c>
      <c r="AT58" s="134">
        <v>41275</v>
      </c>
      <c r="AU58" s="130"/>
      <c r="AV58" s="130"/>
      <c r="AW58" s="130"/>
      <c r="AX58" s="130" t="s">
        <v>43</v>
      </c>
      <c r="AY58" s="130" t="s">
        <v>42</v>
      </c>
      <c r="AZ58" s="130" t="s">
        <v>43</v>
      </c>
      <c r="BA58" s="130"/>
      <c r="BB58" s="130"/>
      <c r="BC58" s="130" t="s">
        <v>43</v>
      </c>
      <c r="BD58" s="130" t="s">
        <v>42</v>
      </c>
      <c r="BE58" s="130" t="s">
        <v>43</v>
      </c>
      <c r="BF58" s="130" t="s">
        <v>43</v>
      </c>
      <c r="BG58" s="130" t="s">
        <v>43</v>
      </c>
      <c r="BH58" s="76">
        <f ca="1">AR58/INDIRECT("'Formula for FPL-2016'!B"&amp;'24 Core'!AS58)</f>
        <v>1.7662983425414365</v>
      </c>
      <c r="BI58" s="91">
        <f ca="1">AR58/INDIRECT("'Formula for FPL-2015'!B"&amp;'24 Core'!AS58)</f>
        <v>1.7668406509057415</v>
      </c>
      <c r="BJ58" s="91">
        <f ca="1">AR58/INDIRECT("'Formula for FPL-2014'!B"&amp;'24 Core'!AS58)</f>
        <v>1.8</v>
      </c>
      <c r="BK58" s="135">
        <v>180</v>
      </c>
      <c r="BL58" s="130" t="e">
        <f>IF(#REF!="4-MAGI Medicaid *","NA"," ")</f>
        <v>#REF!</v>
      </c>
      <c r="BM58" s="136"/>
      <c r="BN58" s="136"/>
      <c r="BO58" s="137"/>
      <c r="BP58" s="90" t="s">
        <v>172</v>
      </c>
      <c r="BQ58" s="80" t="s">
        <v>509</v>
      </c>
      <c r="BR58" s="80" t="s">
        <v>510</v>
      </c>
      <c r="BS58" s="80" t="s">
        <v>510</v>
      </c>
      <c r="BT58" s="186">
        <f t="shared" si="13"/>
        <v>57546</v>
      </c>
      <c r="BU58" s="149">
        <f t="shared" si="12"/>
        <v>6</v>
      </c>
      <c r="BV58" s="124">
        <v>1.7662983425414365</v>
      </c>
      <c r="BW58" s="249"/>
      <c r="BX58" s="169"/>
      <c r="BY58" s="169"/>
      <c r="BZ58" s="169"/>
      <c r="CA58" s="169"/>
      <c r="CB58" s="201" t="s">
        <v>1004</v>
      </c>
      <c r="CC58" s="169"/>
      <c r="CD58" s="169"/>
      <c r="CE58" s="169"/>
      <c r="CF58" s="124"/>
      <c r="CG58" s="142" t="str">
        <f t="shared" si="14"/>
        <v>BLANK</v>
      </c>
      <c r="CH58" s="142" t="str">
        <f t="shared" si="16"/>
        <v>FAIL</v>
      </c>
      <c r="CI58" s="252" t="str">
        <f>IF(COUNTIF(CG58:CH63, "FAIL")=0,"PASS","FAIL")</f>
        <v>FAIL</v>
      </c>
      <c r="CJ58" s="157"/>
      <c r="CK58" s="216"/>
      <c r="CL58" s="249"/>
      <c r="CM58" s="223"/>
      <c r="CN58" s="223"/>
      <c r="CO58" s="223"/>
      <c r="CP58" s="223"/>
      <c r="CQ58" s="223"/>
      <c r="CR58" s="135"/>
      <c r="CS58" s="124"/>
      <c r="CT58" s="142" t="str">
        <f t="shared" si="11"/>
        <v>BLANK</v>
      </c>
      <c r="CU58" s="142" t="str">
        <f t="shared" si="7"/>
        <v>FAIL</v>
      </c>
      <c r="CV58" s="252" t="str">
        <f>IF(COUNTIF(CT58:CU63, "FAIL")=0,"PASS","FAIL")</f>
        <v>FAIL</v>
      </c>
      <c r="CW58" s="157"/>
      <c r="CX58" s="216" t="s">
        <v>1076</v>
      </c>
    </row>
    <row r="59" spans="1:102" ht="131.1" customHeight="1">
      <c r="A59" s="306"/>
      <c r="B59" s="198">
        <v>2</v>
      </c>
      <c r="C59" s="221"/>
      <c r="D59" s="309"/>
      <c r="E59" s="309"/>
      <c r="F59" s="90" t="s">
        <v>54</v>
      </c>
      <c r="G59" s="90" t="s">
        <v>453</v>
      </c>
      <c r="H59" s="130" t="s">
        <v>452</v>
      </c>
      <c r="I59" s="130" t="s">
        <v>51</v>
      </c>
      <c r="J59" s="130" t="s">
        <v>51</v>
      </c>
      <c r="K59" s="130"/>
      <c r="L59" s="130">
        <v>34</v>
      </c>
      <c r="M59" s="130" t="s">
        <v>48</v>
      </c>
      <c r="N59" s="130" t="s">
        <v>52</v>
      </c>
      <c r="O59" s="130" t="s">
        <v>41</v>
      </c>
      <c r="P59" s="131" t="s">
        <v>42</v>
      </c>
      <c r="Q59" s="130" t="s">
        <v>43</v>
      </c>
      <c r="R59" s="130" t="s">
        <v>41</v>
      </c>
      <c r="S59" s="130" t="s">
        <v>44</v>
      </c>
      <c r="T59" s="130">
        <v>488770915</v>
      </c>
      <c r="U59" s="130" t="s">
        <v>45</v>
      </c>
      <c r="V59" s="130" t="s">
        <v>53</v>
      </c>
      <c r="W59" s="130" t="s">
        <v>206</v>
      </c>
      <c r="X59" s="130" t="s">
        <v>62</v>
      </c>
      <c r="Y59" s="130">
        <v>20016</v>
      </c>
      <c r="Z59" s="130" t="s">
        <v>42</v>
      </c>
      <c r="AA59" s="130" t="s">
        <v>43</v>
      </c>
      <c r="AB59" s="130" t="s">
        <v>42</v>
      </c>
      <c r="AC59" s="130" t="s">
        <v>42</v>
      </c>
      <c r="AD59" s="130" t="s">
        <v>42</v>
      </c>
      <c r="AE59" s="130" t="s">
        <v>42</v>
      </c>
      <c r="AF59" s="130" t="s">
        <v>42</v>
      </c>
      <c r="AG59" s="130" t="s">
        <v>42</v>
      </c>
      <c r="AH59" s="130" t="s">
        <v>42</v>
      </c>
      <c r="AI59" s="130" t="s">
        <v>42</v>
      </c>
      <c r="AJ59" s="130" t="s">
        <v>42</v>
      </c>
      <c r="AK59" s="130" t="s">
        <v>208</v>
      </c>
      <c r="AL59" s="130" t="s">
        <v>42</v>
      </c>
      <c r="AM59" s="130" t="s">
        <v>46</v>
      </c>
      <c r="AN59" s="130" t="s">
        <v>41</v>
      </c>
      <c r="AO59" s="130" t="s">
        <v>42</v>
      </c>
      <c r="AP59" s="130"/>
      <c r="AQ59" s="130"/>
      <c r="AR59" s="183">
        <f t="shared" ref="AR59:AR61" si="17">51446+6100</f>
        <v>57546</v>
      </c>
      <c r="AS59" s="133">
        <v>6</v>
      </c>
      <c r="AT59" s="130"/>
      <c r="AU59" s="130"/>
      <c r="AV59" s="130"/>
      <c r="AW59" s="130"/>
      <c r="AX59" s="130" t="s">
        <v>43</v>
      </c>
      <c r="AY59" s="130" t="s">
        <v>42</v>
      </c>
      <c r="AZ59" s="130" t="s">
        <v>43</v>
      </c>
      <c r="BA59" s="130"/>
      <c r="BB59" s="130"/>
      <c r="BC59" s="130" t="s">
        <v>43</v>
      </c>
      <c r="BD59" s="130" t="s">
        <v>42</v>
      </c>
      <c r="BE59" s="130" t="s">
        <v>43</v>
      </c>
      <c r="BF59" s="130" t="s">
        <v>43</v>
      </c>
      <c r="BG59" s="130" t="s">
        <v>43</v>
      </c>
      <c r="BH59" s="76">
        <f ca="1">AR59/INDIRECT("'Formula for FPL-2016'!B"&amp;'24 Core'!AS59)</f>
        <v>1.7662983425414365</v>
      </c>
      <c r="BI59" s="91">
        <f ca="1">AR59/INDIRECT("'Formula for FPL-2015'!B"&amp;'24 Core'!AS59)</f>
        <v>1.7668406509057415</v>
      </c>
      <c r="BJ59" s="91">
        <f ca="1">AR59/INDIRECT("'Formula for FPL-2014'!B"&amp;'24 Core'!AS59)</f>
        <v>1.8</v>
      </c>
      <c r="BK59" s="135">
        <v>180</v>
      </c>
      <c r="BL59" s="130" t="e">
        <f>IF(#REF!="4-MAGI Medicaid *","NA"," ")</f>
        <v>#REF!</v>
      </c>
      <c r="BM59" s="136"/>
      <c r="BN59" s="136"/>
      <c r="BO59" s="137"/>
      <c r="BP59" s="90" t="s">
        <v>172</v>
      </c>
      <c r="BQ59" s="80" t="s">
        <v>509</v>
      </c>
      <c r="BR59" s="80" t="s">
        <v>510</v>
      </c>
      <c r="BS59" s="80" t="s">
        <v>510</v>
      </c>
      <c r="BT59" s="186">
        <f t="shared" si="13"/>
        <v>57546</v>
      </c>
      <c r="BU59" s="149">
        <f t="shared" si="12"/>
        <v>6</v>
      </c>
      <c r="BV59" s="124">
        <v>1.7662983425414365</v>
      </c>
      <c r="BW59" s="250"/>
      <c r="BX59" s="169"/>
      <c r="BY59" s="169"/>
      <c r="BZ59" s="169"/>
      <c r="CA59" s="169"/>
      <c r="CB59" s="201"/>
      <c r="CC59" s="169"/>
      <c r="CD59" s="169"/>
      <c r="CE59" s="169"/>
      <c r="CF59" s="124"/>
      <c r="CG59" s="142" t="str">
        <f t="shared" si="14"/>
        <v>BLANK</v>
      </c>
      <c r="CH59" s="142" t="str">
        <f t="shared" si="16"/>
        <v>FAIL</v>
      </c>
      <c r="CI59" s="253"/>
      <c r="CJ59" s="157"/>
      <c r="CK59" s="216"/>
      <c r="CL59" s="250"/>
      <c r="CM59" s="223"/>
      <c r="CN59" s="223"/>
      <c r="CO59" s="223"/>
      <c r="CP59" s="223"/>
      <c r="CQ59" s="223"/>
      <c r="CR59" s="135"/>
      <c r="CS59" s="124"/>
      <c r="CT59" s="142" t="str">
        <f t="shared" si="11"/>
        <v>BLANK</v>
      </c>
      <c r="CU59" s="142" t="str">
        <f t="shared" si="7"/>
        <v>FAIL</v>
      </c>
      <c r="CV59" s="253"/>
      <c r="CW59" s="157"/>
      <c r="CX59" s="216"/>
    </row>
    <row r="60" spans="1:102" ht="129" customHeight="1">
      <c r="A60" s="306"/>
      <c r="B60" s="198">
        <v>3</v>
      </c>
      <c r="C60" s="221"/>
      <c r="D60" s="309"/>
      <c r="E60" s="309"/>
      <c r="F60" s="90" t="s">
        <v>319</v>
      </c>
      <c r="G60" s="90" t="s">
        <v>454</v>
      </c>
      <c r="H60" s="130" t="s">
        <v>452</v>
      </c>
      <c r="I60" s="130" t="s">
        <v>245</v>
      </c>
      <c r="J60" s="130" t="s">
        <v>191</v>
      </c>
      <c r="K60" s="130"/>
      <c r="L60" s="130">
        <v>14</v>
      </c>
      <c r="M60" s="130" t="s">
        <v>39</v>
      </c>
      <c r="N60" s="130" t="s">
        <v>40</v>
      </c>
      <c r="O60" s="130" t="s">
        <v>41</v>
      </c>
      <c r="P60" s="131" t="s">
        <v>42</v>
      </c>
      <c r="Q60" s="130" t="s">
        <v>43</v>
      </c>
      <c r="R60" s="130" t="s">
        <v>41</v>
      </c>
      <c r="S60" s="130" t="s">
        <v>44</v>
      </c>
      <c r="T60" s="130">
        <v>488770916</v>
      </c>
      <c r="U60" s="130" t="s">
        <v>45</v>
      </c>
      <c r="V60" s="130" t="s">
        <v>53</v>
      </c>
      <c r="W60" s="130" t="s">
        <v>206</v>
      </c>
      <c r="X60" s="130" t="s">
        <v>62</v>
      </c>
      <c r="Y60" s="130">
        <v>20016</v>
      </c>
      <c r="Z60" s="130" t="s">
        <v>42</v>
      </c>
      <c r="AA60" s="130" t="s">
        <v>42</v>
      </c>
      <c r="AB60" s="130" t="s">
        <v>42</v>
      </c>
      <c r="AC60" s="130" t="s">
        <v>42</v>
      </c>
      <c r="AD60" s="130" t="s">
        <v>42</v>
      </c>
      <c r="AE60" s="130" t="s">
        <v>42</v>
      </c>
      <c r="AF60" s="130" t="s">
        <v>42</v>
      </c>
      <c r="AG60" s="130" t="s">
        <v>42</v>
      </c>
      <c r="AH60" s="130" t="s">
        <v>42</v>
      </c>
      <c r="AI60" s="130" t="s">
        <v>42</v>
      </c>
      <c r="AJ60" s="130" t="s">
        <v>42</v>
      </c>
      <c r="AK60" s="130" t="s">
        <v>209</v>
      </c>
      <c r="AL60" s="130" t="s">
        <v>42</v>
      </c>
      <c r="AM60" s="130" t="s">
        <v>58</v>
      </c>
      <c r="AN60" s="130" t="s">
        <v>42</v>
      </c>
      <c r="AO60" s="130" t="s">
        <v>50</v>
      </c>
      <c r="AP60" s="130"/>
      <c r="AQ60" s="130"/>
      <c r="AR60" s="183">
        <f t="shared" si="17"/>
        <v>57546</v>
      </c>
      <c r="AS60" s="133">
        <v>6</v>
      </c>
      <c r="AT60" s="130"/>
      <c r="AU60" s="130"/>
      <c r="AV60" s="130"/>
      <c r="AW60" s="130"/>
      <c r="AX60" s="130" t="s">
        <v>43</v>
      </c>
      <c r="AY60" s="130" t="s">
        <v>42</v>
      </c>
      <c r="AZ60" s="130" t="s">
        <v>43</v>
      </c>
      <c r="BA60" s="130"/>
      <c r="BB60" s="130"/>
      <c r="BC60" s="130" t="s">
        <v>43</v>
      </c>
      <c r="BD60" s="130" t="s">
        <v>42</v>
      </c>
      <c r="BE60" s="130" t="s">
        <v>43</v>
      </c>
      <c r="BF60" s="130" t="s">
        <v>43</v>
      </c>
      <c r="BG60" s="130" t="s">
        <v>43</v>
      </c>
      <c r="BH60" s="76">
        <f ca="1">AR60/INDIRECT("'Formula for FPL-2016'!B"&amp;'24 Core'!AS60)</f>
        <v>1.7662983425414365</v>
      </c>
      <c r="BI60" s="91">
        <f ca="1">AR60/INDIRECT("'Formula for FPL-2015'!B"&amp;'24 Core'!AS60)</f>
        <v>1.7668406509057415</v>
      </c>
      <c r="BJ60" s="91">
        <f ca="1">AR60/INDIRECT("'Formula for FPL-2014'!B"&amp;'24 Core'!AS60)</f>
        <v>1.8</v>
      </c>
      <c r="BK60" s="135">
        <v>180</v>
      </c>
      <c r="BL60" s="130" t="e">
        <f>IF(#REF!="4-MAGI Medicaid *","NA"," ")</f>
        <v>#REF!</v>
      </c>
      <c r="BM60" s="136"/>
      <c r="BN60" s="136"/>
      <c r="BO60" s="137"/>
      <c r="BP60" s="90" t="s">
        <v>172</v>
      </c>
      <c r="BQ60" s="80" t="s">
        <v>509</v>
      </c>
      <c r="BR60" s="80" t="s">
        <v>510</v>
      </c>
      <c r="BS60" s="80" t="s">
        <v>510</v>
      </c>
      <c r="BT60" s="186">
        <f t="shared" si="13"/>
        <v>57546</v>
      </c>
      <c r="BU60" s="149">
        <f t="shared" si="12"/>
        <v>6</v>
      </c>
      <c r="BV60" s="124">
        <v>1.7662983425414365</v>
      </c>
      <c r="BW60" s="250"/>
      <c r="BX60" s="169"/>
      <c r="BY60" s="169"/>
      <c r="BZ60" s="169"/>
      <c r="CA60" s="169"/>
      <c r="CB60" s="201"/>
      <c r="CC60" s="169"/>
      <c r="CD60" s="169"/>
      <c r="CE60" s="169"/>
      <c r="CF60" s="124"/>
      <c r="CG60" s="142" t="str">
        <f t="shared" si="14"/>
        <v>BLANK</v>
      </c>
      <c r="CH60" s="142" t="str">
        <f t="shared" si="16"/>
        <v>FAIL</v>
      </c>
      <c r="CI60" s="253"/>
      <c r="CJ60" s="157"/>
      <c r="CK60" s="216"/>
      <c r="CL60" s="250"/>
      <c r="CM60" s="223"/>
      <c r="CN60" s="223"/>
      <c r="CO60" s="223"/>
      <c r="CP60" s="223"/>
      <c r="CQ60" s="223"/>
      <c r="CR60" s="135"/>
      <c r="CS60" s="124"/>
      <c r="CT60" s="142" t="str">
        <f t="shared" si="11"/>
        <v>BLANK</v>
      </c>
      <c r="CU60" s="142" t="str">
        <f t="shared" si="7"/>
        <v>FAIL</v>
      </c>
      <c r="CV60" s="253"/>
      <c r="CW60" s="157"/>
      <c r="CX60" s="216"/>
    </row>
    <row r="61" spans="1:102" ht="126" customHeight="1">
      <c r="A61" s="306"/>
      <c r="B61" s="198">
        <v>4</v>
      </c>
      <c r="C61" s="221"/>
      <c r="D61" s="309"/>
      <c r="E61" s="309"/>
      <c r="F61" s="90" t="s">
        <v>320</v>
      </c>
      <c r="G61" s="90" t="s">
        <v>455</v>
      </c>
      <c r="H61" s="130" t="s">
        <v>452</v>
      </c>
      <c r="I61" s="130" t="s">
        <v>246</v>
      </c>
      <c r="J61" s="130" t="s">
        <v>191</v>
      </c>
      <c r="K61" s="130"/>
      <c r="L61" s="130">
        <v>10</v>
      </c>
      <c r="M61" s="130" t="s">
        <v>48</v>
      </c>
      <c r="N61" s="130" t="s">
        <v>40</v>
      </c>
      <c r="O61" s="130" t="s">
        <v>41</v>
      </c>
      <c r="P61" s="131" t="s">
        <v>42</v>
      </c>
      <c r="Q61" s="130" t="s">
        <v>43</v>
      </c>
      <c r="R61" s="130" t="s">
        <v>41</v>
      </c>
      <c r="S61" s="130" t="s">
        <v>44</v>
      </c>
      <c r="T61" s="130">
        <v>488770917</v>
      </c>
      <c r="U61" s="130" t="s">
        <v>45</v>
      </c>
      <c r="V61" s="130" t="s">
        <v>53</v>
      </c>
      <c r="W61" s="130" t="s">
        <v>206</v>
      </c>
      <c r="X61" s="130" t="s">
        <v>62</v>
      </c>
      <c r="Y61" s="130">
        <v>20016</v>
      </c>
      <c r="Z61" s="130" t="s">
        <v>42</v>
      </c>
      <c r="AA61" s="130" t="s">
        <v>42</v>
      </c>
      <c r="AB61" s="130" t="s">
        <v>42</v>
      </c>
      <c r="AC61" s="130" t="s">
        <v>42</v>
      </c>
      <c r="AD61" s="130" t="s">
        <v>42</v>
      </c>
      <c r="AE61" s="130" t="s">
        <v>42</v>
      </c>
      <c r="AF61" s="130" t="s">
        <v>42</v>
      </c>
      <c r="AG61" s="130" t="s">
        <v>42</v>
      </c>
      <c r="AH61" s="130" t="s">
        <v>42</v>
      </c>
      <c r="AI61" s="130" t="s">
        <v>42</v>
      </c>
      <c r="AJ61" s="130" t="s">
        <v>42</v>
      </c>
      <c r="AK61" s="130" t="s">
        <v>210</v>
      </c>
      <c r="AL61" s="130" t="s">
        <v>42</v>
      </c>
      <c r="AM61" s="130" t="s">
        <v>58</v>
      </c>
      <c r="AN61" s="130" t="s">
        <v>42</v>
      </c>
      <c r="AO61" s="130" t="s">
        <v>50</v>
      </c>
      <c r="AP61" s="130"/>
      <c r="AQ61" s="130"/>
      <c r="AR61" s="183">
        <f t="shared" si="17"/>
        <v>57546</v>
      </c>
      <c r="AS61" s="133">
        <v>6</v>
      </c>
      <c r="AT61" s="130"/>
      <c r="AU61" s="130"/>
      <c r="AV61" s="130"/>
      <c r="AW61" s="130"/>
      <c r="AX61" s="130" t="s">
        <v>43</v>
      </c>
      <c r="AY61" s="130" t="s">
        <v>42</v>
      </c>
      <c r="AZ61" s="130" t="s">
        <v>43</v>
      </c>
      <c r="BA61" s="130"/>
      <c r="BB61" s="130"/>
      <c r="BC61" s="130" t="s">
        <v>43</v>
      </c>
      <c r="BD61" s="130" t="s">
        <v>42</v>
      </c>
      <c r="BE61" s="130" t="s">
        <v>43</v>
      </c>
      <c r="BF61" s="130" t="s">
        <v>43</v>
      </c>
      <c r="BG61" s="130" t="s">
        <v>43</v>
      </c>
      <c r="BH61" s="76">
        <f ca="1">AR61/INDIRECT("'Formula for FPL-2016'!B"&amp;'24 Core'!AS61)</f>
        <v>1.7662983425414365</v>
      </c>
      <c r="BI61" s="91">
        <f ca="1">AR61/INDIRECT("'Formula for FPL-2015'!B"&amp;'24 Core'!AS61)</f>
        <v>1.7668406509057415</v>
      </c>
      <c r="BJ61" s="91">
        <f ca="1">AR61/INDIRECT("'Formula for FPL-2014'!B"&amp;'24 Core'!AS61)</f>
        <v>1.8</v>
      </c>
      <c r="BK61" s="135">
        <v>180</v>
      </c>
      <c r="BL61" s="130" t="e">
        <f>IF(#REF!="4-MAGI Medicaid *","NA"," ")</f>
        <v>#REF!</v>
      </c>
      <c r="BM61" s="136"/>
      <c r="BN61" s="136"/>
      <c r="BO61" s="137"/>
      <c r="BP61" s="90" t="s">
        <v>172</v>
      </c>
      <c r="BQ61" s="80" t="s">
        <v>509</v>
      </c>
      <c r="BR61" s="80" t="s">
        <v>510</v>
      </c>
      <c r="BS61" s="80" t="s">
        <v>510</v>
      </c>
      <c r="BT61" s="186">
        <f t="shared" si="13"/>
        <v>57546</v>
      </c>
      <c r="BU61" s="149">
        <f t="shared" si="12"/>
        <v>6</v>
      </c>
      <c r="BV61" s="124">
        <v>1.7662983425414365</v>
      </c>
      <c r="BW61" s="250"/>
      <c r="BX61" s="169"/>
      <c r="BY61" s="169"/>
      <c r="BZ61" s="169"/>
      <c r="CA61" s="169"/>
      <c r="CB61" s="201"/>
      <c r="CC61" s="169"/>
      <c r="CD61" s="169"/>
      <c r="CE61" s="169"/>
      <c r="CF61" s="124"/>
      <c r="CG61" s="142" t="str">
        <f t="shared" si="14"/>
        <v>BLANK</v>
      </c>
      <c r="CH61" s="142" t="str">
        <f t="shared" si="16"/>
        <v>FAIL</v>
      </c>
      <c r="CI61" s="253"/>
      <c r="CJ61" s="157"/>
      <c r="CK61" s="216"/>
      <c r="CL61" s="250"/>
      <c r="CM61" s="223"/>
      <c r="CN61" s="223"/>
      <c r="CO61" s="223"/>
      <c r="CP61" s="223"/>
      <c r="CQ61" s="223"/>
      <c r="CR61" s="135"/>
      <c r="CS61" s="124"/>
      <c r="CT61" s="142" t="str">
        <f t="shared" si="11"/>
        <v>BLANK</v>
      </c>
      <c r="CU61" s="142" t="str">
        <f t="shared" si="7"/>
        <v>FAIL</v>
      </c>
      <c r="CV61" s="253"/>
      <c r="CW61" s="157"/>
      <c r="CX61" s="216"/>
    </row>
    <row r="62" spans="1:102" ht="131.1" customHeight="1">
      <c r="A62" s="306"/>
      <c r="B62" s="198">
        <v>5</v>
      </c>
      <c r="C62" s="221"/>
      <c r="D62" s="309"/>
      <c r="E62" s="309"/>
      <c r="F62" s="90" t="s">
        <v>332</v>
      </c>
      <c r="G62" s="90" t="s">
        <v>456</v>
      </c>
      <c r="H62" s="130" t="s">
        <v>452</v>
      </c>
      <c r="I62" s="130" t="s">
        <v>199</v>
      </c>
      <c r="J62" s="130" t="s">
        <v>199</v>
      </c>
      <c r="K62" s="130"/>
      <c r="L62" s="130">
        <v>18</v>
      </c>
      <c r="M62" s="130" t="s">
        <v>39</v>
      </c>
      <c r="N62" s="130" t="s">
        <v>40</v>
      </c>
      <c r="O62" s="130" t="s">
        <v>41</v>
      </c>
      <c r="P62" s="131" t="s">
        <v>42</v>
      </c>
      <c r="Q62" s="130" t="s">
        <v>43</v>
      </c>
      <c r="R62" s="130" t="s">
        <v>41</v>
      </c>
      <c r="S62" s="130" t="s">
        <v>44</v>
      </c>
      <c r="T62" s="130">
        <v>488770918</v>
      </c>
      <c r="U62" s="130" t="s">
        <v>45</v>
      </c>
      <c r="V62" s="130" t="s">
        <v>53</v>
      </c>
      <c r="W62" s="130" t="s">
        <v>206</v>
      </c>
      <c r="X62" s="130" t="s">
        <v>62</v>
      </c>
      <c r="Y62" s="130">
        <v>20016</v>
      </c>
      <c r="Z62" s="130" t="s">
        <v>42</v>
      </c>
      <c r="AA62" s="130" t="s">
        <v>42</v>
      </c>
      <c r="AB62" s="130" t="s">
        <v>42</v>
      </c>
      <c r="AC62" s="130" t="s">
        <v>42</v>
      </c>
      <c r="AD62" s="130" t="s">
        <v>42</v>
      </c>
      <c r="AE62" s="130" t="s">
        <v>43</v>
      </c>
      <c r="AF62" s="130" t="s">
        <v>42</v>
      </c>
      <c r="AG62" s="130" t="s">
        <v>42</v>
      </c>
      <c r="AH62" s="130" t="s">
        <v>42</v>
      </c>
      <c r="AI62" s="130" t="s">
        <v>42</v>
      </c>
      <c r="AJ62" s="130" t="s">
        <v>42</v>
      </c>
      <c r="AK62" s="130" t="s">
        <v>112</v>
      </c>
      <c r="AL62" s="130" t="s">
        <v>42</v>
      </c>
      <c r="AM62" s="130" t="s">
        <v>58</v>
      </c>
      <c r="AN62" s="130" t="s">
        <v>42</v>
      </c>
      <c r="AO62" s="130" t="s">
        <v>50</v>
      </c>
      <c r="AP62" s="130"/>
      <c r="AQ62" s="130" t="s">
        <v>501</v>
      </c>
      <c r="AR62" s="183">
        <v>0</v>
      </c>
      <c r="AS62" s="133">
        <v>6</v>
      </c>
      <c r="AT62" s="130"/>
      <c r="AU62" s="130"/>
      <c r="AV62" s="130"/>
      <c r="AW62" s="130"/>
      <c r="AX62" s="130" t="s">
        <v>43</v>
      </c>
      <c r="AY62" s="130" t="s">
        <v>42</v>
      </c>
      <c r="AZ62" s="130" t="s">
        <v>98</v>
      </c>
      <c r="BA62" s="134">
        <v>41275</v>
      </c>
      <c r="BB62" s="130"/>
      <c r="BC62" s="130" t="s">
        <v>43</v>
      </c>
      <c r="BD62" s="130" t="s">
        <v>42</v>
      </c>
      <c r="BE62" s="130" t="s">
        <v>41</v>
      </c>
      <c r="BF62" s="130" t="s">
        <v>43</v>
      </c>
      <c r="BG62" s="130" t="s">
        <v>43</v>
      </c>
      <c r="BH62" s="76">
        <f ca="1">AR62/INDIRECT("'Formula for FPL-2016'!B"&amp;'24 Core'!AS62)</f>
        <v>0</v>
      </c>
      <c r="BI62" s="91">
        <f ca="1">AR62/INDIRECT("'Formula for FPL-2015'!B"&amp;'24 Core'!AS62)</f>
        <v>0</v>
      </c>
      <c r="BJ62" s="91">
        <f ca="1">AR62/INDIRECT("'Formula for FPL-2014'!B"&amp;'24 Core'!AS62)</f>
        <v>0</v>
      </c>
      <c r="BK62" s="135">
        <v>0</v>
      </c>
      <c r="BL62" s="130" t="s">
        <v>259</v>
      </c>
      <c r="BM62" s="136"/>
      <c r="BN62" s="136"/>
      <c r="BO62" s="137"/>
      <c r="BP62" s="90" t="s">
        <v>173</v>
      </c>
      <c r="BQ62" s="80" t="s">
        <v>509</v>
      </c>
      <c r="BR62" s="80" t="s">
        <v>510</v>
      </c>
      <c r="BS62" s="80" t="s">
        <v>510</v>
      </c>
      <c r="BT62" s="186">
        <f t="shared" si="13"/>
        <v>0</v>
      </c>
      <c r="BU62" s="149">
        <f t="shared" si="12"/>
        <v>6</v>
      </c>
      <c r="BV62" s="124">
        <v>0</v>
      </c>
      <c r="BW62" s="250"/>
      <c r="BX62" s="169"/>
      <c r="BY62" s="169"/>
      <c r="BZ62" s="169"/>
      <c r="CA62" s="169"/>
      <c r="CB62" s="201"/>
      <c r="CC62" s="169"/>
      <c r="CD62" s="169"/>
      <c r="CE62" s="169"/>
      <c r="CF62" s="124"/>
      <c r="CG62" s="142" t="str">
        <f t="shared" si="14"/>
        <v>BLANK</v>
      </c>
      <c r="CH62" s="142" t="str">
        <f t="shared" si="16"/>
        <v>FAIL</v>
      </c>
      <c r="CI62" s="253"/>
      <c r="CJ62" s="157"/>
      <c r="CK62" s="216"/>
      <c r="CL62" s="250"/>
      <c r="CM62" s="223"/>
      <c r="CN62" s="223"/>
      <c r="CO62" s="223"/>
      <c r="CP62" s="223"/>
      <c r="CQ62" s="223"/>
      <c r="CR62" s="135"/>
      <c r="CS62" s="124"/>
      <c r="CT62" s="142" t="str">
        <f t="shared" si="11"/>
        <v>BLANK</v>
      </c>
      <c r="CU62" s="142" t="str">
        <f t="shared" si="7"/>
        <v>FAIL</v>
      </c>
      <c r="CV62" s="253"/>
      <c r="CW62" s="157"/>
      <c r="CX62" s="216"/>
    </row>
    <row r="63" spans="1:102" ht="120" customHeight="1">
      <c r="A63" s="293"/>
      <c r="B63" s="198">
        <v>6</v>
      </c>
      <c r="C63" s="219"/>
      <c r="D63" s="309"/>
      <c r="E63" s="309"/>
      <c r="F63" s="90" t="s">
        <v>333</v>
      </c>
      <c r="G63" s="90" t="s">
        <v>457</v>
      </c>
      <c r="H63" s="130" t="s">
        <v>452</v>
      </c>
      <c r="I63" s="130" t="s">
        <v>188</v>
      </c>
      <c r="J63" s="130" t="s">
        <v>188</v>
      </c>
      <c r="K63" s="130" t="s">
        <v>96</v>
      </c>
      <c r="L63" s="130">
        <v>20</v>
      </c>
      <c r="M63" s="130" t="s">
        <v>39</v>
      </c>
      <c r="N63" s="130" t="s">
        <v>40</v>
      </c>
      <c r="O63" s="130" t="s">
        <v>41</v>
      </c>
      <c r="P63" s="131" t="s">
        <v>42</v>
      </c>
      <c r="Q63" s="130" t="s">
        <v>43</v>
      </c>
      <c r="R63" s="130" t="s">
        <v>41</v>
      </c>
      <c r="S63" s="130" t="s">
        <v>44</v>
      </c>
      <c r="T63" s="130">
        <v>488770919</v>
      </c>
      <c r="U63" s="130" t="s">
        <v>45</v>
      </c>
      <c r="V63" s="130" t="s">
        <v>53</v>
      </c>
      <c r="W63" s="130" t="s">
        <v>206</v>
      </c>
      <c r="X63" s="130" t="s">
        <v>62</v>
      </c>
      <c r="Y63" s="130">
        <v>20016</v>
      </c>
      <c r="Z63" s="130" t="s">
        <v>42</v>
      </c>
      <c r="AA63" s="130" t="s">
        <v>42</v>
      </c>
      <c r="AB63" s="130" t="s">
        <v>42</v>
      </c>
      <c r="AC63" s="130" t="s">
        <v>42</v>
      </c>
      <c r="AD63" s="130" t="s">
        <v>42</v>
      </c>
      <c r="AE63" s="130" t="s">
        <v>43</v>
      </c>
      <c r="AF63" s="130" t="s">
        <v>42</v>
      </c>
      <c r="AG63" s="130" t="s">
        <v>42</v>
      </c>
      <c r="AH63" s="134" t="s">
        <v>42</v>
      </c>
      <c r="AI63" s="130" t="s">
        <v>42</v>
      </c>
      <c r="AJ63" s="130" t="s">
        <v>42</v>
      </c>
      <c r="AK63" s="130" t="s">
        <v>42</v>
      </c>
      <c r="AL63" s="130" t="s">
        <v>42</v>
      </c>
      <c r="AM63" s="130" t="s">
        <v>58</v>
      </c>
      <c r="AN63" s="130" t="s">
        <v>42</v>
      </c>
      <c r="AO63" s="130" t="s">
        <v>50</v>
      </c>
      <c r="AP63" s="130" t="s">
        <v>287</v>
      </c>
      <c r="AQ63" s="130" t="s">
        <v>500</v>
      </c>
      <c r="AR63" s="183">
        <v>6100</v>
      </c>
      <c r="AS63" s="133">
        <v>1</v>
      </c>
      <c r="AT63" s="134">
        <v>41640</v>
      </c>
      <c r="AU63" s="130"/>
      <c r="AV63" s="130"/>
      <c r="AW63" s="130"/>
      <c r="AX63" s="130" t="s">
        <v>43</v>
      </c>
      <c r="AY63" s="130" t="s">
        <v>42</v>
      </c>
      <c r="AZ63" s="130" t="s">
        <v>43</v>
      </c>
      <c r="BA63" s="130"/>
      <c r="BB63" s="130"/>
      <c r="BC63" s="130" t="s">
        <v>43</v>
      </c>
      <c r="BD63" s="130" t="s">
        <v>42</v>
      </c>
      <c r="BE63" s="130" t="s">
        <v>43</v>
      </c>
      <c r="BF63" s="130" t="s">
        <v>43</v>
      </c>
      <c r="BG63" s="130" t="s">
        <v>43</v>
      </c>
      <c r="BH63" s="76">
        <f ca="1">AR63/INDIRECT("'Formula for FPL-2016'!B"&amp;'24 Core'!AS63)</f>
        <v>0.51346801346801352</v>
      </c>
      <c r="BI63" s="91">
        <f ca="1">AR63/INDIRECT("'Formula for FPL-2015'!B"&amp;'24 Core'!AS63)</f>
        <v>0.51826677994902293</v>
      </c>
      <c r="BJ63" s="91">
        <f ca="1">AR63/INDIRECT("'Formula for FPL-2014'!B"&amp;'24 Core'!AS63)</f>
        <v>0.52270779777206511</v>
      </c>
      <c r="BK63" s="135">
        <v>52.27</v>
      </c>
      <c r="BL63" s="130" t="e">
        <f>IF(#REF!="4-MAGI Medicaid *","NA"," ")</f>
        <v>#REF!</v>
      </c>
      <c r="BM63" s="136"/>
      <c r="BN63" s="136"/>
      <c r="BO63" s="137"/>
      <c r="BP63" s="90" t="s">
        <v>172</v>
      </c>
      <c r="BQ63" s="80" t="s">
        <v>509</v>
      </c>
      <c r="BR63" s="80" t="s">
        <v>510</v>
      </c>
      <c r="BS63" s="80" t="s">
        <v>510</v>
      </c>
      <c r="BT63" s="186">
        <f t="shared" si="13"/>
        <v>6100</v>
      </c>
      <c r="BU63" s="149">
        <f t="shared" si="12"/>
        <v>1</v>
      </c>
      <c r="BV63" s="124">
        <v>0.51346801346801352</v>
      </c>
      <c r="BW63" s="251"/>
      <c r="BX63" s="169"/>
      <c r="BY63" s="169"/>
      <c r="BZ63" s="169"/>
      <c r="CA63" s="169"/>
      <c r="CB63" s="201"/>
      <c r="CC63" s="169"/>
      <c r="CD63" s="169"/>
      <c r="CE63" s="169"/>
      <c r="CF63" s="124"/>
      <c r="CG63" s="142" t="str">
        <f t="shared" si="14"/>
        <v>BLANK</v>
      </c>
      <c r="CH63" s="142" t="str">
        <f t="shared" si="16"/>
        <v>FAIL</v>
      </c>
      <c r="CI63" s="254"/>
      <c r="CJ63" s="157"/>
      <c r="CK63" s="216"/>
      <c r="CL63" s="251"/>
      <c r="CM63" s="223"/>
      <c r="CN63" s="223"/>
      <c r="CO63" s="223"/>
      <c r="CP63" s="223"/>
      <c r="CQ63" s="223"/>
      <c r="CR63" s="135"/>
      <c r="CS63" s="124"/>
      <c r="CT63" s="142" t="str">
        <f t="shared" si="11"/>
        <v>BLANK</v>
      </c>
      <c r="CU63" s="142" t="str">
        <f t="shared" si="7"/>
        <v>FAIL</v>
      </c>
      <c r="CV63" s="254"/>
      <c r="CW63" s="157"/>
      <c r="CX63" s="216" t="s">
        <v>1053</v>
      </c>
    </row>
    <row r="64" spans="1:102" ht="207" customHeight="1">
      <c r="A64" s="307">
        <v>16</v>
      </c>
      <c r="B64" s="198">
        <v>1</v>
      </c>
      <c r="C64" s="218" t="s">
        <v>1038</v>
      </c>
      <c r="D64" s="308" t="s">
        <v>247</v>
      </c>
      <c r="E64" s="308" t="s">
        <v>345</v>
      </c>
      <c r="F64" s="89" t="s">
        <v>50</v>
      </c>
      <c r="G64" s="89"/>
      <c r="H64" s="50"/>
      <c r="I64" s="50" t="s">
        <v>51</v>
      </c>
      <c r="J64" s="50" t="s">
        <v>51</v>
      </c>
      <c r="K64" s="50" t="s">
        <v>70</v>
      </c>
      <c r="L64" s="50">
        <v>40</v>
      </c>
      <c r="M64" s="50" t="s">
        <v>39</v>
      </c>
      <c r="N64" s="50" t="s">
        <v>52</v>
      </c>
      <c r="O64" s="50" t="s">
        <v>41</v>
      </c>
      <c r="P64" s="131" t="s">
        <v>42</v>
      </c>
      <c r="Q64" s="50" t="s">
        <v>43</v>
      </c>
      <c r="R64" s="50" t="s">
        <v>42</v>
      </c>
      <c r="S64" s="50" t="s">
        <v>44</v>
      </c>
      <c r="T64" s="50"/>
      <c r="U64" s="50" t="s">
        <v>45</v>
      </c>
      <c r="V64" s="50" t="s">
        <v>53</v>
      </c>
      <c r="W64" s="50" t="s">
        <v>248</v>
      </c>
      <c r="X64" s="50" t="s">
        <v>62</v>
      </c>
      <c r="Y64" s="50">
        <v>20002</v>
      </c>
      <c r="Z64" s="50" t="s">
        <v>42</v>
      </c>
      <c r="AA64" s="50" t="s">
        <v>42</v>
      </c>
      <c r="AB64" s="50" t="s">
        <v>42</v>
      </c>
      <c r="AC64" s="50" t="s">
        <v>42</v>
      </c>
      <c r="AD64" s="50" t="s">
        <v>42</v>
      </c>
      <c r="AE64" s="50" t="s">
        <v>42</v>
      </c>
      <c r="AF64" s="50" t="s">
        <v>42</v>
      </c>
      <c r="AG64" s="50" t="s">
        <v>42</v>
      </c>
      <c r="AH64" s="50" t="s">
        <v>42</v>
      </c>
      <c r="AI64" s="50" t="s">
        <v>42</v>
      </c>
      <c r="AJ64" s="50" t="s">
        <v>42</v>
      </c>
      <c r="AK64" s="50" t="s">
        <v>249</v>
      </c>
      <c r="AL64" s="50" t="s">
        <v>42</v>
      </c>
      <c r="AM64" s="50" t="s">
        <v>46</v>
      </c>
      <c r="AN64" s="50" t="s">
        <v>43</v>
      </c>
      <c r="AO64" s="50" t="s">
        <v>42</v>
      </c>
      <c r="AP64" s="50" t="s">
        <v>250</v>
      </c>
      <c r="AQ64" s="55" t="s">
        <v>521</v>
      </c>
      <c r="AR64" s="184">
        <v>28000</v>
      </c>
      <c r="AS64" s="87">
        <v>1</v>
      </c>
      <c r="AT64" s="46">
        <v>41640</v>
      </c>
      <c r="AU64" s="50"/>
      <c r="AV64" s="50"/>
      <c r="AW64" s="50"/>
      <c r="AX64" s="50" t="s">
        <v>43</v>
      </c>
      <c r="AY64" s="50" t="s">
        <v>42</v>
      </c>
      <c r="AZ64" s="50" t="s">
        <v>43</v>
      </c>
      <c r="BA64" s="50"/>
      <c r="BB64" s="50"/>
      <c r="BC64" s="50" t="s">
        <v>43</v>
      </c>
      <c r="BD64" s="50" t="s">
        <v>42</v>
      </c>
      <c r="BE64" s="50" t="s">
        <v>43</v>
      </c>
      <c r="BF64" s="50" t="s">
        <v>43</v>
      </c>
      <c r="BG64" s="50" t="s">
        <v>43</v>
      </c>
      <c r="BH64" s="76">
        <f ca="1">AR64/INDIRECT("'Formula for FPL-2016'!B"&amp;'24 Core'!AS64)</f>
        <v>2.3569023569023568</v>
      </c>
      <c r="BI64" s="248">
        <f ca="1">AR64/INDIRECT("'Formula for FPL-2015'!B"&amp;'24 Core'!AS64)</f>
        <v>2.3789294817332198</v>
      </c>
      <c r="BJ64" s="76">
        <f ca="1">AR64/INDIRECT("'Formula for FPL-2014'!B"&amp;'24 Core'!AS64)</f>
        <v>2.3993144815766922</v>
      </c>
      <c r="BK64" s="72">
        <v>245.21</v>
      </c>
      <c r="BL64" s="47">
        <v>245.21</v>
      </c>
      <c r="BM64" s="105"/>
      <c r="BN64" s="105"/>
      <c r="BO64" s="106"/>
      <c r="BP64" s="55" t="s">
        <v>166</v>
      </c>
      <c r="BQ64" s="80" t="s">
        <v>510</v>
      </c>
      <c r="BR64" s="80" t="s">
        <v>510</v>
      </c>
      <c r="BS64" s="80" t="s">
        <v>510</v>
      </c>
      <c r="BT64" s="191">
        <f t="shared" si="13"/>
        <v>28000</v>
      </c>
      <c r="BU64" s="148">
        <f t="shared" si="12"/>
        <v>1</v>
      </c>
      <c r="BV64" s="126">
        <v>2.3789294817332198</v>
      </c>
      <c r="BW64" s="272"/>
      <c r="BX64" s="168"/>
      <c r="BY64" s="168"/>
      <c r="BZ64" s="168"/>
      <c r="CA64" s="168"/>
      <c r="CB64" s="200" t="s">
        <v>1005</v>
      </c>
      <c r="CC64" s="168"/>
      <c r="CD64" s="168"/>
      <c r="CE64" s="168"/>
      <c r="CF64" s="125"/>
      <c r="CG64" s="142" t="str">
        <f t="shared" si="14"/>
        <v>BLANK</v>
      </c>
      <c r="CH64" s="142" t="str">
        <f t="shared" si="16"/>
        <v>FAIL</v>
      </c>
      <c r="CI64" s="263" t="str">
        <f>IF(COUNTIF(CG64:CH71, "FAIL")=0,"PASS","FAIL")</f>
        <v>FAIL</v>
      </c>
      <c r="CJ64" s="158"/>
      <c r="CK64" s="216"/>
      <c r="CL64" s="272"/>
      <c r="CM64" s="220"/>
      <c r="CN64" s="220"/>
      <c r="CO64" s="220"/>
      <c r="CP64" s="220"/>
      <c r="CQ64" s="220"/>
      <c r="CR64" s="241"/>
      <c r="CS64" s="125"/>
      <c r="CT64" s="142" t="str">
        <f t="shared" si="11"/>
        <v>BLANK</v>
      </c>
      <c r="CU64" s="142" t="str">
        <f t="shared" si="7"/>
        <v>FAIL</v>
      </c>
      <c r="CV64" s="263" t="str">
        <f>IF(COUNTIF(CT64:CU71, "FAIL")=0,"PASS","FAIL")</f>
        <v>FAIL</v>
      </c>
      <c r="CW64" s="158"/>
      <c r="CX64" s="216" t="s">
        <v>1054</v>
      </c>
    </row>
    <row r="65" spans="1:102" ht="119.1" customHeight="1">
      <c r="A65" s="306"/>
      <c r="B65" s="198">
        <v>2</v>
      </c>
      <c r="C65" s="221"/>
      <c r="D65" s="308"/>
      <c r="E65" s="308"/>
      <c r="F65" s="89" t="s">
        <v>54</v>
      </c>
      <c r="G65" s="89"/>
      <c r="H65" s="50"/>
      <c r="I65" s="50" t="s">
        <v>51</v>
      </c>
      <c r="J65" s="50" t="s">
        <v>51</v>
      </c>
      <c r="K65" s="50" t="s">
        <v>67</v>
      </c>
      <c r="L65" s="50">
        <v>38</v>
      </c>
      <c r="M65" s="50" t="s">
        <v>48</v>
      </c>
      <c r="N65" s="50" t="s">
        <v>52</v>
      </c>
      <c r="O65" s="50" t="s">
        <v>41</v>
      </c>
      <c r="P65" s="131" t="s">
        <v>42</v>
      </c>
      <c r="Q65" s="50" t="s">
        <v>43</v>
      </c>
      <c r="R65" s="50" t="s">
        <v>41</v>
      </c>
      <c r="S65" s="50" t="s">
        <v>44</v>
      </c>
      <c r="T65" s="50"/>
      <c r="U65" s="50" t="s">
        <v>45</v>
      </c>
      <c r="V65" s="50" t="s">
        <v>53</v>
      </c>
      <c r="W65" s="50" t="s">
        <v>248</v>
      </c>
      <c r="X65" s="50" t="s">
        <v>62</v>
      </c>
      <c r="Y65" s="50">
        <v>20002</v>
      </c>
      <c r="Z65" s="50" t="s">
        <v>42</v>
      </c>
      <c r="AA65" s="50" t="s">
        <v>43</v>
      </c>
      <c r="AB65" s="50" t="s">
        <v>42</v>
      </c>
      <c r="AC65" s="50" t="s">
        <v>42</v>
      </c>
      <c r="AD65" s="50" t="s">
        <v>42</v>
      </c>
      <c r="AE65" s="50" t="s">
        <v>42</v>
      </c>
      <c r="AF65" s="50" t="s">
        <v>42</v>
      </c>
      <c r="AG65" s="50" t="s">
        <v>42</v>
      </c>
      <c r="AH65" s="50" t="s">
        <v>42</v>
      </c>
      <c r="AI65" s="50" t="s">
        <v>42</v>
      </c>
      <c r="AJ65" s="50" t="s">
        <v>42</v>
      </c>
      <c r="AK65" s="50" t="s">
        <v>251</v>
      </c>
      <c r="AL65" s="50" t="s">
        <v>42</v>
      </c>
      <c r="AM65" s="50" t="s">
        <v>46</v>
      </c>
      <c r="AN65" s="50" t="s">
        <v>43</v>
      </c>
      <c r="AO65" s="50" t="s">
        <v>42</v>
      </c>
      <c r="AP65" s="50" t="s">
        <v>298</v>
      </c>
      <c r="AQ65" s="55" t="s">
        <v>502</v>
      </c>
      <c r="AR65" s="184">
        <f>53940+28000</f>
        <v>81940</v>
      </c>
      <c r="AS65" s="87">
        <v>3</v>
      </c>
      <c r="AT65" s="46">
        <v>41640</v>
      </c>
      <c r="AU65" s="50"/>
      <c r="AV65" s="50"/>
      <c r="AW65" s="50"/>
      <c r="AX65" s="50" t="s">
        <v>43</v>
      </c>
      <c r="AY65" s="50" t="s">
        <v>42</v>
      </c>
      <c r="AZ65" s="50" t="s">
        <v>43</v>
      </c>
      <c r="BA65" s="50"/>
      <c r="BB65" s="50"/>
      <c r="BC65" s="50" t="s">
        <v>43</v>
      </c>
      <c r="BD65" s="50" t="s">
        <v>42</v>
      </c>
      <c r="BE65" s="50" t="s">
        <v>43</v>
      </c>
      <c r="BF65" s="50" t="s">
        <v>43</v>
      </c>
      <c r="BG65" s="50" t="s">
        <v>43</v>
      </c>
      <c r="BH65" s="76">
        <f ca="1">AR65/INDIRECT("'Formula for FPL-2016'!B"&amp;'24 Core'!AS65)</f>
        <v>4.0644841269841274</v>
      </c>
      <c r="BI65" s="248">
        <f ca="1">AR65/INDIRECT("'Formula for FPL-2015'!B"&amp;'24 Core'!AS65)</f>
        <v>4.0786460925833747</v>
      </c>
      <c r="BJ65" s="76">
        <f ca="1">AR65/INDIRECT("'Formula for FPL-2014'!B"&amp;'24 Core'!AS65)</f>
        <v>4.140474987367357</v>
      </c>
      <c r="BK65" s="47">
        <v>414.05</v>
      </c>
      <c r="BL65" s="47">
        <v>414.05</v>
      </c>
      <c r="BM65" s="105"/>
      <c r="BN65" s="105"/>
      <c r="BO65" s="106"/>
      <c r="BP65" s="55" t="s">
        <v>166</v>
      </c>
      <c r="BQ65" s="80" t="s">
        <v>510</v>
      </c>
      <c r="BR65" s="80" t="s">
        <v>510</v>
      </c>
      <c r="BS65" s="80" t="s">
        <v>510</v>
      </c>
      <c r="BT65" s="191">
        <f t="shared" si="13"/>
        <v>81940</v>
      </c>
      <c r="BU65" s="148">
        <f t="shared" si="12"/>
        <v>3</v>
      </c>
      <c r="BV65" s="126">
        <v>4.0786460925833747</v>
      </c>
      <c r="BW65" s="273"/>
      <c r="BX65" s="168"/>
      <c r="BY65" s="168"/>
      <c r="BZ65" s="168"/>
      <c r="CA65" s="168"/>
      <c r="CB65" s="200"/>
      <c r="CC65" s="168"/>
      <c r="CD65" s="168"/>
      <c r="CE65" s="168"/>
      <c r="CF65" s="125"/>
      <c r="CG65" s="142" t="str">
        <f t="shared" si="14"/>
        <v>BLANK</v>
      </c>
      <c r="CH65" s="142" t="str">
        <f t="shared" si="16"/>
        <v>FAIL</v>
      </c>
      <c r="CI65" s="264"/>
      <c r="CJ65" s="158"/>
      <c r="CK65" s="216"/>
      <c r="CL65" s="273"/>
      <c r="CM65" s="220"/>
      <c r="CN65" s="220"/>
      <c r="CO65" s="220"/>
      <c r="CP65" s="220"/>
      <c r="CQ65" s="220"/>
      <c r="CR65" s="241"/>
      <c r="CS65" s="125"/>
      <c r="CT65" s="142" t="str">
        <f t="shared" si="11"/>
        <v>BLANK</v>
      </c>
      <c r="CU65" s="142" t="str">
        <f t="shared" si="7"/>
        <v>FAIL</v>
      </c>
      <c r="CV65" s="264"/>
      <c r="CW65" s="158"/>
      <c r="CX65" s="216" t="s">
        <v>1083</v>
      </c>
    </row>
    <row r="66" spans="1:102" ht="123" customHeight="1">
      <c r="A66" s="306"/>
      <c r="B66" s="198">
        <v>3</v>
      </c>
      <c r="C66" s="221"/>
      <c r="D66" s="308"/>
      <c r="E66" s="308"/>
      <c r="F66" s="89" t="s">
        <v>319</v>
      </c>
      <c r="G66" s="89"/>
      <c r="H66" s="50"/>
      <c r="I66" s="50" t="s">
        <v>201</v>
      </c>
      <c r="J66" s="50" t="s">
        <v>201</v>
      </c>
      <c r="K66" s="50" t="s">
        <v>65</v>
      </c>
      <c r="L66" s="50">
        <v>4</v>
      </c>
      <c r="M66" s="50" t="s">
        <v>39</v>
      </c>
      <c r="N66" s="50" t="s">
        <v>40</v>
      </c>
      <c r="O66" s="50" t="s">
        <v>41</v>
      </c>
      <c r="P66" s="131" t="s">
        <v>42</v>
      </c>
      <c r="Q66" s="50" t="s">
        <v>43</v>
      </c>
      <c r="R66" s="50" t="s">
        <v>41</v>
      </c>
      <c r="S66" s="50" t="s">
        <v>44</v>
      </c>
      <c r="T66" s="50"/>
      <c r="U66" s="50" t="s">
        <v>45</v>
      </c>
      <c r="V66" s="50" t="s">
        <v>53</v>
      </c>
      <c r="W66" s="50" t="s">
        <v>248</v>
      </c>
      <c r="X66" s="50" t="s">
        <v>62</v>
      </c>
      <c r="Y66" s="50">
        <v>20002</v>
      </c>
      <c r="Z66" s="50" t="s">
        <v>42</v>
      </c>
      <c r="AA66" s="50" t="s">
        <v>42</v>
      </c>
      <c r="AB66" s="50" t="s">
        <v>42</v>
      </c>
      <c r="AC66" s="50" t="s">
        <v>42</v>
      </c>
      <c r="AD66" s="50" t="s">
        <v>42</v>
      </c>
      <c r="AE66" s="50" t="s">
        <v>42</v>
      </c>
      <c r="AF66" s="50" t="s">
        <v>42</v>
      </c>
      <c r="AG66" s="50" t="s">
        <v>42</v>
      </c>
      <c r="AH66" s="50" t="s">
        <v>42</v>
      </c>
      <c r="AI66" s="50" t="s">
        <v>42</v>
      </c>
      <c r="AJ66" s="50" t="s">
        <v>42</v>
      </c>
      <c r="AK66" s="50" t="s">
        <v>252</v>
      </c>
      <c r="AL66" s="50" t="s">
        <v>42</v>
      </c>
      <c r="AM66" s="50" t="s">
        <v>58</v>
      </c>
      <c r="AN66" s="50" t="s">
        <v>42</v>
      </c>
      <c r="AO66" s="50" t="s">
        <v>54</v>
      </c>
      <c r="AP66" s="50"/>
      <c r="AQ66" s="55" t="s">
        <v>503</v>
      </c>
      <c r="AR66" s="184">
        <f>53940+28000</f>
        <v>81940</v>
      </c>
      <c r="AS66" s="87">
        <v>3</v>
      </c>
      <c r="AT66" s="50"/>
      <c r="AU66" s="50"/>
      <c r="AV66" s="50"/>
      <c r="AW66" s="50"/>
      <c r="AX66" s="50" t="s">
        <v>43</v>
      </c>
      <c r="AY66" s="50" t="s">
        <v>42</v>
      </c>
      <c r="AZ66" s="50" t="s">
        <v>43</v>
      </c>
      <c r="BA66" s="50"/>
      <c r="BB66" s="50"/>
      <c r="BC66" s="50" t="s">
        <v>43</v>
      </c>
      <c r="BD66" s="50" t="s">
        <v>42</v>
      </c>
      <c r="BE66" s="50" t="s">
        <v>43</v>
      </c>
      <c r="BF66" s="50" t="s">
        <v>43</v>
      </c>
      <c r="BG66" s="50" t="s">
        <v>43</v>
      </c>
      <c r="BH66" s="76">
        <f ca="1">AR66/INDIRECT("'Formula for FPL-2016'!B"&amp;'24 Core'!AS66)</f>
        <v>4.0644841269841274</v>
      </c>
      <c r="BI66" s="248">
        <f ca="1">AR66/INDIRECT("'Formula for FPL-2015'!B"&amp;'24 Core'!AS66)</f>
        <v>4.0786460925833747</v>
      </c>
      <c r="BJ66" s="76">
        <f ca="1">AR66/INDIRECT("'Formula for FPL-2014'!B"&amp;'24 Core'!AS66)</f>
        <v>4.140474987367357</v>
      </c>
      <c r="BK66" s="47">
        <v>414.05</v>
      </c>
      <c r="BL66" s="47">
        <v>414.05</v>
      </c>
      <c r="BM66" s="105"/>
      <c r="BN66" s="105"/>
      <c r="BO66" s="106"/>
      <c r="BP66" s="55" t="s">
        <v>166</v>
      </c>
      <c r="BQ66" s="80" t="s">
        <v>510</v>
      </c>
      <c r="BR66" s="80" t="s">
        <v>510</v>
      </c>
      <c r="BS66" s="80" t="s">
        <v>510</v>
      </c>
      <c r="BT66" s="191">
        <f t="shared" si="13"/>
        <v>81940</v>
      </c>
      <c r="BU66" s="148">
        <f t="shared" si="12"/>
        <v>3</v>
      </c>
      <c r="BV66" s="126">
        <v>4.0786460925833747</v>
      </c>
      <c r="BW66" s="273"/>
      <c r="BX66" s="168"/>
      <c r="BY66" s="168"/>
      <c r="BZ66" s="168"/>
      <c r="CA66" s="168"/>
      <c r="CB66" s="200"/>
      <c r="CC66" s="168"/>
      <c r="CD66" s="168"/>
      <c r="CE66" s="168"/>
      <c r="CF66" s="125"/>
      <c r="CG66" s="142" t="str">
        <f t="shared" si="14"/>
        <v>BLANK</v>
      </c>
      <c r="CH66" s="142" t="str">
        <f t="shared" si="16"/>
        <v>FAIL</v>
      </c>
      <c r="CI66" s="264"/>
      <c r="CJ66" s="158"/>
      <c r="CK66" s="216"/>
      <c r="CL66" s="273"/>
      <c r="CM66" s="220"/>
      <c r="CN66" s="220"/>
      <c r="CO66" s="220"/>
      <c r="CP66" s="220"/>
      <c r="CQ66" s="220"/>
      <c r="CR66" s="241"/>
      <c r="CS66" s="125"/>
      <c r="CT66" s="142" t="str">
        <f t="shared" si="11"/>
        <v>BLANK</v>
      </c>
      <c r="CU66" s="142" t="str">
        <f t="shared" si="7"/>
        <v>FAIL</v>
      </c>
      <c r="CV66" s="264"/>
      <c r="CW66" s="158"/>
      <c r="CX66" s="216"/>
    </row>
    <row r="67" spans="1:102" ht="132" customHeight="1">
      <c r="A67" s="306"/>
      <c r="B67" s="198">
        <v>4</v>
      </c>
      <c r="C67" s="221"/>
      <c r="D67" s="308"/>
      <c r="E67" s="308"/>
      <c r="F67" s="89" t="s">
        <v>320</v>
      </c>
      <c r="G67" s="89"/>
      <c r="H67" s="50"/>
      <c r="I67" s="50"/>
      <c r="J67" s="50" t="s">
        <v>188</v>
      </c>
      <c r="K67" s="50" t="s">
        <v>96</v>
      </c>
      <c r="L67" s="50">
        <v>19</v>
      </c>
      <c r="M67" s="50" t="s">
        <v>39</v>
      </c>
      <c r="N67" s="50" t="s">
        <v>40</v>
      </c>
      <c r="O67" s="50" t="s">
        <v>41</v>
      </c>
      <c r="P67" s="131" t="s">
        <v>42</v>
      </c>
      <c r="Q67" s="50" t="s">
        <v>43</v>
      </c>
      <c r="R67" s="50" t="s">
        <v>41</v>
      </c>
      <c r="S67" s="50" t="s">
        <v>44</v>
      </c>
      <c r="T67" s="50"/>
      <c r="U67" s="50" t="s">
        <v>45</v>
      </c>
      <c r="V67" s="50" t="s">
        <v>53</v>
      </c>
      <c r="W67" s="50" t="s">
        <v>248</v>
      </c>
      <c r="X67" s="50" t="s">
        <v>62</v>
      </c>
      <c r="Y67" s="50">
        <v>20002</v>
      </c>
      <c r="Z67" s="50" t="s">
        <v>42</v>
      </c>
      <c r="AA67" s="50" t="s">
        <v>42</v>
      </c>
      <c r="AB67" s="50" t="s">
        <v>42</v>
      </c>
      <c r="AC67" s="50" t="s">
        <v>42</v>
      </c>
      <c r="AD67" s="50" t="s">
        <v>42</v>
      </c>
      <c r="AE67" s="50" t="s">
        <v>42</v>
      </c>
      <c r="AF67" s="50" t="s">
        <v>42</v>
      </c>
      <c r="AG67" s="50" t="s">
        <v>42</v>
      </c>
      <c r="AH67" s="50" t="s">
        <v>42</v>
      </c>
      <c r="AI67" s="50" t="s">
        <v>42</v>
      </c>
      <c r="AJ67" s="50" t="s">
        <v>42</v>
      </c>
      <c r="AK67" s="50" t="s">
        <v>253</v>
      </c>
      <c r="AL67" s="50" t="s">
        <v>42</v>
      </c>
      <c r="AM67" s="50" t="s">
        <v>64</v>
      </c>
      <c r="AN67" s="50" t="s">
        <v>42</v>
      </c>
      <c r="AO67" s="50" t="s">
        <v>50</v>
      </c>
      <c r="AP67" s="50" t="s">
        <v>289</v>
      </c>
      <c r="AQ67" s="55" t="s">
        <v>1055</v>
      </c>
      <c r="AR67" s="184">
        <f>28000</f>
        <v>28000</v>
      </c>
      <c r="AS67" s="87">
        <v>1</v>
      </c>
      <c r="AT67" s="46">
        <v>41640</v>
      </c>
      <c r="AU67" s="50"/>
      <c r="AV67" s="50"/>
      <c r="AW67" s="50"/>
      <c r="AX67" s="50" t="s">
        <v>43</v>
      </c>
      <c r="AY67" s="50" t="s">
        <v>42</v>
      </c>
      <c r="AZ67" s="50" t="s">
        <v>43</v>
      </c>
      <c r="BA67" s="50"/>
      <c r="BB67" s="50"/>
      <c r="BC67" s="50" t="s">
        <v>43</v>
      </c>
      <c r="BD67" s="50" t="s">
        <v>42</v>
      </c>
      <c r="BE67" s="50" t="s">
        <v>43</v>
      </c>
      <c r="BF67" s="50" t="s">
        <v>43</v>
      </c>
      <c r="BG67" s="50" t="s">
        <v>43</v>
      </c>
      <c r="BH67" s="76">
        <f ca="1">AR67/INDIRECT("'Formula for FPL-2016'!B"&amp;'24 Core'!AS67)</f>
        <v>2.3569023569023568</v>
      </c>
      <c r="BI67" s="248">
        <f ca="1">AR67/INDIRECT("'Formula for FPL-2015'!B"&amp;'24 Core'!AS67)</f>
        <v>2.3789294817332198</v>
      </c>
      <c r="BJ67" s="76">
        <f ca="1">AR67/INDIRECT("'Formula for FPL-2014'!B"&amp;'24 Core'!AS67)</f>
        <v>2.3993144815766922</v>
      </c>
      <c r="BK67" s="72">
        <v>245.21</v>
      </c>
      <c r="BL67" s="47">
        <v>245.21</v>
      </c>
      <c r="BM67" s="105"/>
      <c r="BN67" s="105"/>
      <c r="BO67" s="106"/>
      <c r="BP67" s="55" t="s">
        <v>166</v>
      </c>
      <c r="BQ67" s="80" t="s">
        <v>510</v>
      </c>
      <c r="BR67" s="80" t="s">
        <v>510</v>
      </c>
      <c r="BS67" s="80" t="s">
        <v>510</v>
      </c>
      <c r="BT67" s="191">
        <f t="shared" si="13"/>
        <v>28000</v>
      </c>
      <c r="BU67" s="148">
        <f t="shared" si="12"/>
        <v>1</v>
      </c>
      <c r="BV67" s="126">
        <v>2.3789294817332198</v>
      </c>
      <c r="BW67" s="273"/>
      <c r="BX67" s="168"/>
      <c r="BY67" s="168"/>
      <c r="BZ67" s="168"/>
      <c r="CA67" s="168"/>
      <c r="CB67" s="200"/>
      <c r="CC67" s="168"/>
      <c r="CD67" s="168"/>
      <c r="CE67" s="168"/>
      <c r="CF67" s="125"/>
      <c r="CG67" s="142" t="str">
        <f t="shared" si="14"/>
        <v>BLANK</v>
      </c>
      <c r="CH67" s="142" t="str">
        <f t="shared" si="16"/>
        <v>FAIL</v>
      </c>
      <c r="CI67" s="264"/>
      <c r="CJ67" s="158"/>
      <c r="CK67" s="216"/>
      <c r="CL67" s="273"/>
      <c r="CM67" s="220"/>
      <c r="CN67" s="220"/>
      <c r="CO67" s="220"/>
      <c r="CP67" s="220"/>
      <c r="CQ67" s="220"/>
      <c r="CR67" s="241"/>
      <c r="CS67" s="125"/>
      <c r="CT67" s="142" t="str">
        <f t="shared" si="11"/>
        <v>BLANK</v>
      </c>
      <c r="CU67" s="142" t="str">
        <f t="shared" si="7"/>
        <v>FAIL</v>
      </c>
      <c r="CV67" s="264"/>
      <c r="CW67" s="158"/>
      <c r="CX67" s="216" t="s">
        <v>1084</v>
      </c>
    </row>
    <row r="68" spans="1:102" ht="134.1" customHeight="1">
      <c r="A68" s="306"/>
      <c r="B68" s="198">
        <v>5</v>
      </c>
      <c r="C68" s="221"/>
      <c r="D68" s="308"/>
      <c r="E68" s="308"/>
      <c r="F68" s="89" t="s">
        <v>332</v>
      </c>
      <c r="G68" s="89"/>
      <c r="H68" s="50"/>
      <c r="I68" s="50" t="s">
        <v>188</v>
      </c>
      <c r="J68" s="50" t="s">
        <v>188</v>
      </c>
      <c r="K68" s="50" t="s">
        <v>96</v>
      </c>
      <c r="L68" s="50">
        <v>20</v>
      </c>
      <c r="M68" s="50" t="s">
        <v>48</v>
      </c>
      <c r="N68" s="50" t="s">
        <v>40</v>
      </c>
      <c r="O68" s="50" t="s">
        <v>41</v>
      </c>
      <c r="P68" s="131" t="s">
        <v>42</v>
      </c>
      <c r="Q68" s="50" t="s">
        <v>43</v>
      </c>
      <c r="R68" s="50" t="s">
        <v>41</v>
      </c>
      <c r="S68" s="50" t="s">
        <v>44</v>
      </c>
      <c r="T68" s="50"/>
      <c r="U68" s="50" t="s">
        <v>45</v>
      </c>
      <c r="V68" s="50" t="s">
        <v>53</v>
      </c>
      <c r="W68" s="50" t="s">
        <v>248</v>
      </c>
      <c r="X68" s="50" t="s">
        <v>62</v>
      </c>
      <c r="Y68" s="50">
        <v>20002</v>
      </c>
      <c r="Z68" s="50" t="s">
        <v>42</v>
      </c>
      <c r="AA68" s="50" t="s">
        <v>43</v>
      </c>
      <c r="AB68" s="50" t="s">
        <v>42</v>
      </c>
      <c r="AC68" s="50" t="s">
        <v>42</v>
      </c>
      <c r="AD68" s="50" t="s">
        <v>42</v>
      </c>
      <c r="AE68" s="50" t="s">
        <v>43</v>
      </c>
      <c r="AF68" s="50" t="s">
        <v>42</v>
      </c>
      <c r="AG68" s="50" t="s">
        <v>42</v>
      </c>
      <c r="AH68" s="50" t="s">
        <v>42</v>
      </c>
      <c r="AI68" s="50" t="s">
        <v>42</v>
      </c>
      <c r="AJ68" s="50" t="s">
        <v>42</v>
      </c>
      <c r="AK68" s="50" t="s">
        <v>254</v>
      </c>
      <c r="AL68" s="50" t="s">
        <v>42</v>
      </c>
      <c r="AM68" s="50" t="s">
        <v>58</v>
      </c>
      <c r="AN68" s="50" t="s">
        <v>42</v>
      </c>
      <c r="AO68" s="50" t="s">
        <v>50</v>
      </c>
      <c r="AP68" s="50"/>
      <c r="AQ68" s="55" t="s">
        <v>504</v>
      </c>
      <c r="AR68" s="184">
        <v>0</v>
      </c>
      <c r="AS68" s="87">
        <v>1</v>
      </c>
      <c r="AT68" s="50"/>
      <c r="AU68" s="50"/>
      <c r="AV68" s="50"/>
      <c r="AW68" s="50"/>
      <c r="AX68" s="50" t="s">
        <v>43</v>
      </c>
      <c r="AY68" s="50" t="s">
        <v>42</v>
      </c>
      <c r="AZ68" s="50" t="s">
        <v>43</v>
      </c>
      <c r="BA68" s="50"/>
      <c r="BB68" s="50"/>
      <c r="BC68" s="50" t="s">
        <v>43</v>
      </c>
      <c r="BD68" s="50" t="s">
        <v>42</v>
      </c>
      <c r="BE68" s="50" t="s">
        <v>43</v>
      </c>
      <c r="BF68" s="50" t="s">
        <v>43</v>
      </c>
      <c r="BG68" s="50" t="s">
        <v>43</v>
      </c>
      <c r="BH68" s="76">
        <f ca="1">AR68/INDIRECT("'Formula for FPL-2016'!B"&amp;'24 Core'!AS68)</f>
        <v>0</v>
      </c>
      <c r="BI68" s="76">
        <f ca="1">AR68/INDIRECT("'Formula for FPL-2015'!B"&amp;'24 Core'!AS68)</f>
        <v>0</v>
      </c>
      <c r="BJ68" s="76">
        <f ca="1">AR68/INDIRECT("'Formula for FPL-2014'!B"&amp;'24 Core'!AS68)</f>
        <v>0</v>
      </c>
      <c r="BK68" s="47">
        <v>0</v>
      </c>
      <c r="BL68" s="50" t="e">
        <f>IF(#REF!="4-MAGI Medicaid *","NA"," ")</f>
        <v>#REF!</v>
      </c>
      <c r="BM68" s="105"/>
      <c r="BN68" s="105"/>
      <c r="BO68" s="106"/>
      <c r="BP68" s="89" t="s">
        <v>172</v>
      </c>
      <c r="BQ68" s="80" t="s">
        <v>509</v>
      </c>
      <c r="BR68" s="80" t="s">
        <v>510</v>
      </c>
      <c r="BS68" s="80" t="s">
        <v>510</v>
      </c>
      <c r="BT68" s="191">
        <f t="shared" si="13"/>
        <v>0</v>
      </c>
      <c r="BU68" s="148">
        <f t="shared" si="12"/>
        <v>1</v>
      </c>
      <c r="BV68" s="125">
        <v>0</v>
      </c>
      <c r="BW68" s="273"/>
      <c r="BX68" s="168"/>
      <c r="BY68" s="168"/>
      <c r="BZ68" s="168"/>
      <c r="CA68" s="168"/>
      <c r="CB68" s="200"/>
      <c r="CC68" s="168"/>
      <c r="CD68" s="168"/>
      <c r="CE68" s="168"/>
      <c r="CF68" s="125"/>
      <c r="CG68" s="142" t="str">
        <f t="shared" si="14"/>
        <v>BLANK</v>
      </c>
      <c r="CH68" s="142" t="str">
        <f t="shared" si="16"/>
        <v>FAIL</v>
      </c>
      <c r="CI68" s="264"/>
      <c r="CJ68" s="158"/>
      <c r="CK68" s="216"/>
      <c r="CL68" s="273"/>
      <c r="CM68" s="220"/>
      <c r="CN68" s="220"/>
      <c r="CO68" s="220"/>
      <c r="CP68" s="220"/>
      <c r="CQ68" s="220"/>
      <c r="CR68" s="241"/>
      <c r="CS68" s="125"/>
      <c r="CT68" s="142" t="str">
        <f t="shared" si="11"/>
        <v>BLANK</v>
      </c>
      <c r="CU68" s="142" t="str">
        <f t="shared" si="7"/>
        <v>FAIL</v>
      </c>
      <c r="CV68" s="264"/>
      <c r="CW68" s="158"/>
      <c r="CX68" s="216"/>
    </row>
    <row r="69" spans="1:102" ht="129.94999999999999" customHeight="1">
      <c r="A69" s="306"/>
      <c r="B69" s="198">
        <v>6</v>
      </c>
      <c r="C69" s="221"/>
      <c r="D69" s="308"/>
      <c r="E69" s="308"/>
      <c r="F69" s="89" t="s">
        <v>333</v>
      </c>
      <c r="G69" s="89"/>
      <c r="H69" s="50"/>
      <c r="I69" s="50" t="s">
        <v>178</v>
      </c>
      <c r="J69" s="50" t="s">
        <v>178</v>
      </c>
      <c r="K69" s="50" t="s">
        <v>67</v>
      </c>
      <c r="L69" s="50">
        <v>32</v>
      </c>
      <c r="M69" s="50" t="s">
        <v>48</v>
      </c>
      <c r="N69" s="50" t="s">
        <v>40</v>
      </c>
      <c r="O69" s="50" t="s">
        <v>41</v>
      </c>
      <c r="P69" s="131" t="s">
        <v>42</v>
      </c>
      <c r="Q69" s="50" t="s">
        <v>43</v>
      </c>
      <c r="R69" s="50" t="s">
        <v>41</v>
      </c>
      <c r="S69" s="50" t="s">
        <v>44</v>
      </c>
      <c r="T69" s="50"/>
      <c r="U69" s="50" t="s">
        <v>45</v>
      </c>
      <c r="V69" s="50" t="s">
        <v>53</v>
      </c>
      <c r="W69" s="50" t="s">
        <v>248</v>
      </c>
      <c r="X69" s="50" t="s">
        <v>62</v>
      </c>
      <c r="Y69" s="50">
        <v>20002</v>
      </c>
      <c r="Z69" s="50" t="s">
        <v>42</v>
      </c>
      <c r="AA69" s="50" t="s">
        <v>43</v>
      </c>
      <c r="AB69" s="50" t="s">
        <v>42</v>
      </c>
      <c r="AC69" s="50" t="s">
        <v>42</v>
      </c>
      <c r="AD69" s="50" t="s">
        <v>42</v>
      </c>
      <c r="AE69" s="50" t="s">
        <v>42</v>
      </c>
      <c r="AF69" s="50" t="s">
        <v>42</v>
      </c>
      <c r="AG69" s="50" t="s">
        <v>42</v>
      </c>
      <c r="AH69" s="50" t="s">
        <v>42</v>
      </c>
      <c r="AI69" s="50" t="s">
        <v>42</v>
      </c>
      <c r="AJ69" s="50" t="s">
        <v>42</v>
      </c>
      <c r="AK69" s="50" t="s">
        <v>255</v>
      </c>
      <c r="AL69" s="50" t="s">
        <v>42</v>
      </c>
      <c r="AM69" s="50" t="s">
        <v>58</v>
      </c>
      <c r="AN69" s="50" t="s">
        <v>42</v>
      </c>
      <c r="AO69" s="50" t="s">
        <v>50</v>
      </c>
      <c r="AP69" s="50"/>
      <c r="AQ69" s="55" t="s">
        <v>505</v>
      </c>
      <c r="AR69" s="184">
        <v>0</v>
      </c>
      <c r="AS69" s="87">
        <v>1</v>
      </c>
      <c r="AT69" s="50"/>
      <c r="AU69" s="50"/>
      <c r="AV69" s="50"/>
      <c r="AW69" s="50"/>
      <c r="AX69" s="50" t="s">
        <v>43</v>
      </c>
      <c r="AY69" s="50" t="s">
        <v>42</v>
      </c>
      <c r="AZ69" s="50" t="s">
        <v>43</v>
      </c>
      <c r="BA69" s="50"/>
      <c r="BB69" s="50"/>
      <c r="BC69" s="50" t="s">
        <v>43</v>
      </c>
      <c r="BD69" s="50" t="s">
        <v>42</v>
      </c>
      <c r="BE69" s="50" t="s">
        <v>43</v>
      </c>
      <c r="BF69" s="50" t="s">
        <v>43</v>
      </c>
      <c r="BG69" s="50" t="s">
        <v>43</v>
      </c>
      <c r="BH69" s="76">
        <f ca="1">AR69/INDIRECT("'Formula for FPL-2016'!B"&amp;'24 Core'!AS69)</f>
        <v>0</v>
      </c>
      <c r="BI69" s="76">
        <f ca="1">AR69/INDIRECT("'Formula for FPL-2015'!B"&amp;'24 Core'!AS69)</f>
        <v>0</v>
      </c>
      <c r="BJ69" s="76">
        <f ca="1">AR69/INDIRECT("'Formula for FPL-2014'!B"&amp;'24 Core'!AS69)</f>
        <v>0</v>
      </c>
      <c r="BK69" s="47">
        <v>0</v>
      </c>
      <c r="BL69" s="50" t="e">
        <f>IF(#REF!="4-MAGI Medicaid *","NA"," ")</f>
        <v>#REF!</v>
      </c>
      <c r="BM69" s="105"/>
      <c r="BN69" s="105"/>
      <c r="BO69" s="106"/>
      <c r="BP69" s="89" t="s">
        <v>172</v>
      </c>
      <c r="BQ69" s="80" t="s">
        <v>509</v>
      </c>
      <c r="BR69" s="80" t="s">
        <v>510</v>
      </c>
      <c r="BS69" s="80" t="s">
        <v>510</v>
      </c>
      <c r="BT69" s="191">
        <f t="shared" si="13"/>
        <v>0</v>
      </c>
      <c r="BU69" s="148">
        <f t="shared" si="12"/>
        <v>1</v>
      </c>
      <c r="BV69" s="125">
        <v>0</v>
      </c>
      <c r="BW69" s="273"/>
      <c r="BX69" s="168"/>
      <c r="BY69" s="168"/>
      <c r="BZ69" s="168"/>
      <c r="CA69" s="168"/>
      <c r="CB69" s="200"/>
      <c r="CC69" s="168"/>
      <c r="CD69" s="168"/>
      <c r="CE69" s="168"/>
      <c r="CF69" s="125"/>
      <c r="CG69" s="142" t="str">
        <f t="shared" si="14"/>
        <v>BLANK</v>
      </c>
      <c r="CH69" s="142" t="str">
        <f t="shared" si="16"/>
        <v>FAIL</v>
      </c>
      <c r="CI69" s="264"/>
      <c r="CJ69" s="158"/>
      <c r="CK69" s="216"/>
      <c r="CL69" s="273"/>
      <c r="CM69" s="220"/>
      <c r="CN69" s="220"/>
      <c r="CO69" s="220"/>
      <c r="CP69" s="220"/>
      <c r="CQ69" s="220"/>
      <c r="CR69" s="241"/>
      <c r="CS69" s="125"/>
      <c r="CT69" s="142" t="str">
        <f t="shared" si="11"/>
        <v>BLANK</v>
      </c>
      <c r="CU69" s="142" t="str">
        <f t="shared" si="7"/>
        <v>FAIL</v>
      </c>
      <c r="CV69" s="264"/>
      <c r="CW69" s="158"/>
      <c r="CX69" s="216"/>
    </row>
    <row r="70" spans="1:102" ht="189" customHeight="1">
      <c r="A70" s="306"/>
      <c r="B70" s="198">
        <v>7</v>
      </c>
      <c r="C70" s="221"/>
      <c r="D70" s="308"/>
      <c r="E70" s="308"/>
      <c r="F70" s="89" t="s">
        <v>256</v>
      </c>
      <c r="G70" s="89"/>
      <c r="H70" s="50"/>
      <c r="I70" s="50" t="s">
        <v>184</v>
      </c>
      <c r="J70" s="50" t="s">
        <v>184</v>
      </c>
      <c r="K70" s="50" t="s">
        <v>73</v>
      </c>
      <c r="L70" s="50">
        <v>66</v>
      </c>
      <c r="M70" s="50" t="s">
        <v>39</v>
      </c>
      <c r="N70" s="50" t="s">
        <v>52</v>
      </c>
      <c r="O70" s="50" t="s">
        <v>41</v>
      </c>
      <c r="P70" s="131" t="s">
        <v>42</v>
      </c>
      <c r="Q70" s="50" t="s">
        <v>43</v>
      </c>
      <c r="R70" s="50" t="s">
        <v>41</v>
      </c>
      <c r="S70" s="50" t="s">
        <v>44</v>
      </c>
      <c r="T70" s="50"/>
      <c r="U70" s="50" t="s">
        <v>45</v>
      </c>
      <c r="V70" s="50" t="s">
        <v>53</v>
      </c>
      <c r="W70" s="50" t="s">
        <v>248</v>
      </c>
      <c r="X70" s="50" t="s">
        <v>62</v>
      </c>
      <c r="Y70" s="50">
        <v>20002</v>
      </c>
      <c r="Z70" s="50" t="s">
        <v>42</v>
      </c>
      <c r="AA70" s="50" t="s">
        <v>42</v>
      </c>
      <c r="AB70" s="50" t="s">
        <v>42</v>
      </c>
      <c r="AC70" s="50" t="s">
        <v>42</v>
      </c>
      <c r="AD70" s="50" t="s">
        <v>42</v>
      </c>
      <c r="AE70" s="50" t="s">
        <v>42</v>
      </c>
      <c r="AF70" s="50" t="s">
        <v>42</v>
      </c>
      <c r="AG70" s="50" t="s">
        <v>42</v>
      </c>
      <c r="AH70" s="50" t="s">
        <v>42</v>
      </c>
      <c r="AI70" s="50" t="s">
        <v>42</v>
      </c>
      <c r="AJ70" s="50" t="s">
        <v>42</v>
      </c>
      <c r="AK70" s="50" t="s">
        <v>257</v>
      </c>
      <c r="AL70" s="50" t="s">
        <v>42</v>
      </c>
      <c r="AM70" s="50" t="s">
        <v>58</v>
      </c>
      <c r="AN70" s="50" t="s">
        <v>43</v>
      </c>
      <c r="AO70" s="50" t="s">
        <v>50</v>
      </c>
      <c r="AP70" s="50"/>
      <c r="AQ70" s="55" t="s">
        <v>506</v>
      </c>
      <c r="AR70" s="184">
        <v>0</v>
      </c>
      <c r="AS70" s="87">
        <v>1</v>
      </c>
      <c r="AT70" s="50"/>
      <c r="AU70" s="50"/>
      <c r="AV70" s="50"/>
      <c r="AW70" s="50"/>
      <c r="AX70" s="50" t="s">
        <v>43</v>
      </c>
      <c r="AY70" s="50" t="s">
        <v>42</v>
      </c>
      <c r="AZ70" s="50" t="s">
        <v>43</v>
      </c>
      <c r="BA70" s="50"/>
      <c r="BB70" s="50"/>
      <c r="BC70" s="50" t="s">
        <v>43</v>
      </c>
      <c r="BD70" s="50" t="s">
        <v>42</v>
      </c>
      <c r="BE70" s="50" t="s">
        <v>43</v>
      </c>
      <c r="BF70" s="50" t="s">
        <v>43</v>
      </c>
      <c r="BG70" s="50" t="s">
        <v>43</v>
      </c>
      <c r="BH70" s="76">
        <f ca="1">AR70/INDIRECT("'Formula for FPL-2016'!B"&amp;'24 Core'!AS70)</f>
        <v>0</v>
      </c>
      <c r="BI70" s="248">
        <f ca="1">AR70/INDIRECT("'Formula for FPL-2015'!B"&amp;'24 Core'!AS70)</f>
        <v>0</v>
      </c>
      <c r="BJ70" s="76">
        <f ca="1">AR70/INDIRECT("'Formula for FPL-2014'!B"&amp;'24 Core'!AS70)</f>
        <v>0</v>
      </c>
      <c r="BK70" s="47">
        <v>0</v>
      </c>
      <c r="BL70" s="50" t="s">
        <v>259</v>
      </c>
      <c r="BM70" s="105"/>
      <c r="BN70" s="105"/>
      <c r="BO70" s="106"/>
      <c r="BP70" s="55" t="s">
        <v>166</v>
      </c>
      <c r="BQ70" s="80" t="s">
        <v>510</v>
      </c>
      <c r="BR70" s="80" t="s">
        <v>510</v>
      </c>
      <c r="BS70" s="80" t="s">
        <v>510</v>
      </c>
      <c r="BT70" s="191">
        <f t="shared" si="13"/>
        <v>0</v>
      </c>
      <c r="BU70" s="148">
        <f t="shared" si="12"/>
        <v>1</v>
      </c>
      <c r="BV70" s="126">
        <v>0</v>
      </c>
      <c r="BW70" s="273"/>
      <c r="BX70" s="168"/>
      <c r="BY70" s="168"/>
      <c r="BZ70" s="168"/>
      <c r="CA70" s="168"/>
      <c r="CB70" s="200"/>
      <c r="CC70" s="168"/>
      <c r="CD70" s="168"/>
      <c r="CE70" s="168"/>
      <c r="CF70" s="125"/>
      <c r="CG70" s="142" t="str">
        <f t="shared" si="14"/>
        <v>BLANK</v>
      </c>
      <c r="CH70" s="142" t="str">
        <f t="shared" si="16"/>
        <v>FAIL</v>
      </c>
      <c r="CI70" s="264"/>
      <c r="CJ70" s="158"/>
      <c r="CK70" s="216"/>
      <c r="CL70" s="273"/>
      <c r="CM70" s="220"/>
      <c r="CN70" s="220"/>
      <c r="CO70" s="220"/>
      <c r="CP70" s="220"/>
      <c r="CQ70" s="220"/>
      <c r="CR70" s="241"/>
      <c r="CS70" s="125"/>
      <c r="CT70" s="142" t="str">
        <f t="shared" si="11"/>
        <v>BLANK</v>
      </c>
      <c r="CU70" s="142" t="str">
        <f t="shared" si="7"/>
        <v>FAIL</v>
      </c>
      <c r="CV70" s="264"/>
      <c r="CW70" s="158"/>
      <c r="CX70" s="216"/>
    </row>
    <row r="71" spans="1:102" ht="134.1" customHeight="1">
      <c r="A71" s="293"/>
      <c r="B71" s="198">
        <v>8</v>
      </c>
      <c r="C71" s="219"/>
      <c r="D71" s="308"/>
      <c r="E71" s="308"/>
      <c r="F71" s="89" t="s">
        <v>258</v>
      </c>
      <c r="G71" s="89"/>
      <c r="H71" s="50"/>
      <c r="I71" s="50" t="s">
        <v>178</v>
      </c>
      <c r="J71" s="50" t="s">
        <v>178</v>
      </c>
      <c r="K71" s="50" t="s">
        <v>68</v>
      </c>
      <c r="L71" s="50">
        <v>63</v>
      </c>
      <c r="M71" s="50" t="s">
        <v>48</v>
      </c>
      <c r="N71" s="50" t="s">
        <v>52</v>
      </c>
      <c r="O71" s="50" t="s">
        <v>41</v>
      </c>
      <c r="P71" s="131" t="s">
        <v>42</v>
      </c>
      <c r="Q71" s="50" t="s">
        <v>43</v>
      </c>
      <c r="R71" s="50" t="s">
        <v>41</v>
      </c>
      <c r="S71" s="50" t="s">
        <v>44</v>
      </c>
      <c r="T71" s="50"/>
      <c r="U71" s="50" t="s">
        <v>45</v>
      </c>
      <c r="V71" s="50" t="s">
        <v>53</v>
      </c>
      <c r="W71" s="50" t="s">
        <v>248</v>
      </c>
      <c r="X71" s="50" t="s">
        <v>62</v>
      </c>
      <c r="Y71" s="50">
        <v>20002</v>
      </c>
      <c r="Z71" s="50" t="s">
        <v>42</v>
      </c>
      <c r="AA71" s="50" t="s">
        <v>43</v>
      </c>
      <c r="AB71" s="46" t="s">
        <v>42</v>
      </c>
      <c r="AC71" s="46" t="s">
        <v>42</v>
      </c>
      <c r="AD71" s="46" t="s">
        <v>42</v>
      </c>
      <c r="AE71" s="50" t="s">
        <v>42</v>
      </c>
      <c r="AF71" s="46" t="s">
        <v>42</v>
      </c>
      <c r="AG71" s="46" t="s">
        <v>42</v>
      </c>
      <c r="AH71" s="46" t="s">
        <v>42</v>
      </c>
      <c r="AI71" s="46" t="s">
        <v>42</v>
      </c>
      <c r="AJ71" s="46" t="s">
        <v>42</v>
      </c>
      <c r="AK71" s="50" t="s">
        <v>42</v>
      </c>
      <c r="AL71" s="50" t="s">
        <v>42</v>
      </c>
      <c r="AM71" s="50" t="s">
        <v>58</v>
      </c>
      <c r="AN71" s="50" t="s">
        <v>43</v>
      </c>
      <c r="AO71" s="50" t="s">
        <v>50</v>
      </c>
      <c r="AP71" s="50"/>
      <c r="AQ71" s="55" t="s">
        <v>507</v>
      </c>
      <c r="AR71" s="184">
        <v>0</v>
      </c>
      <c r="AS71" s="87">
        <v>1</v>
      </c>
      <c r="AT71" s="50"/>
      <c r="AU71" s="50"/>
      <c r="AV71" s="50"/>
      <c r="AW71" s="50"/>
      <c r="AX71" s="50" t="s">
        <v>43</v>
      </c>
      <c r="AY71" s="50" t="s">
        <v>42</v>
      </c>
      <c r="AZ71" s="50" t="s">
        <v>43</v>
      </c>
      <c r="BA71" s="50"/>
      <c r="BB71" s="50"/>
      <c r="BC71" s="50" t="s">
        <v>43</v>
      </c>
      <c r="BD71" s="50" t="s">
        <v>42</v>
      </c>
      <c r="BE71" s="50" t="s">
        <v>43</v>
      </c>
      <c r="BF71" s="50" t="s">
        <v>43</v>
      </c>
      <c r="BG71" s="50" t="s">
        <v>43</v>
      </c>
      <c r="BH71" s="76">
        <f ca="1">AR71/INDIRECT("'Formula for FPL-2016'!B"&amp;'24 Core'!AS71)</f>
        <v>0</v>
      </c>
      <c r="BI71" s="76">
        <f ca="1">AR71/INDIRECT("'Formula for FPL-2015'!B"&amp;'24 Core'!AS71)</f>
        <v>0</v>
      </c>
      <c r="BJ71" s="76">
        <f ca="1">AR71/INDIRECT("'Formula for FPL-2014'!B"&amp;'24 Core'!AS71)</f>
        <v>0</v>
      </c>
      <c r="BK71" s="47">
        <v>0</v>
      </c>
      <c r="BL71" s="50" t="e">
        <f>IF(#REF!="4-MAGI Medicaid *","NA"," ")</f>
        <v>#REF!</v>
      </c>
      <c r="BM71" s="105"/>
      <c r="BN71" s="105"/>
      <c r="BO71" s="106"/>
      <c r="BP71" s="89" t="s">
        <v>172</v>
      </c>
      <c r="BQ71" s="80" t="s">
        <v>509</v>
      </c>
      <c r="BR71" s="80" t="s">
        <v>510</v>
      </c>
      <c r="BS71" s="80" t="s">
        <v>510</v>
      </c>
      <c r="BT71" s="191">
        <f t="shared" si="13"/>
        <v>0</v>
      </c>
      <c r="BU71" s="148">
        <f t="shared" si="12"/>
        <v>1</v>
      </c>
      <c r="BV71" s="125">
        <v>0</v>
      </c>
      <c r="BW71" s="274"/>
      <c r="BX71" s="168"/>
      <c r="BY71" s="168"/>
      <c r="BZ71" s="168"/>
      <c r="CA71" s="168"/>
      <c r="CB71" s="200"/>
      <c r="CC71" s="168"/>
      <c r="CD71" s="168"/>
      <c r="CE71" s="168"/>
      <c r="CF71" s="125"/>
      <c r="CG71" s="142" t="str">
        <f t="shared" si="14"/>
        <v>BLANK</v>
      </c>
      <c r="CH71" s="142" t="str">
        <f t="shared" si="16"/>
        <v>FAIL</v>
      </c>
      <c r="CI71" s="265"/>
      <c r="CJ71" s="158"/>
      <c r="CK71" s="216"/>
      <c r="CL71" s="274"/>
      <c r="CM71" s="220"/>
      <c r="CN71" s="220"/>
      <c r="CO71" s="220"/>
      <c r="CP71" s="220"/>
      <c r="CQ71" s="220"/>
      <c r="CR71" s="241"/>
      <c r="CS71" s="125"/>
      <c r="CT71" s="142" t="str">
        <f t="shared" si="11"/>
        <v>BLANK</v>
      </c>
      <c r="CU71" s="142" t="str">
        <f t="shared" si="7"/>
        <v>FAIL</v>
      </c>
      <c r="CV71" s="265"/>
      <c r="CW71" s="158"/>
      <c r="CX71" s="216"/>
    </row>
    <row r="72" spans="1:102" ht="168" customHeight="1">
      <c r="A72" s="249">
        <v>17</v>
      </c>
      <c r="B72" s="198">
        <v>1</v>
      </c>
      <c r="C72" s="218" t="s">
        <v>1039</v>
      </c>
      <c r="D72" s="309" t="s">
        <v>359</v>
      </c>
      <c r="E72" s="309" t="s">
        <v>368</v>
      </c>
      <c r="F72" s="90" t="s">
        <v>183</v>
      </c>
      <c r="G72" s="90" t="s">
        <v>394</v>
      </c>
      <c r="H72" s="130" t="s">
        <v>395</v>
      </c>
      <c r="I72" s="130" t="s">
        <v>348</v>
      </c>
      <c r="J72" s="130" t="s">
        <v>51</v>
      </c>
      <c r="K72" s="130" t="s">
        <v>68</v>
      </c>
      <c r="L72" s="130">
        <v>38</v>
      </c>
      <c r="M72" s="130" t="s">
        <v>48</v>
      </c>
      <c r="N72" s="130" t="s">
        <v>40</v>
      </c>
      <c r="O72" s="130" t="s">
        <v>41</v>
      </c>
      <c r="P72" s="131" t="s">
        <v>42</v>
      </c>
      <c r="Q72" s="130" t="s">
        <v>43</v>
      </c>
      <c r="R72" s="130" t="s">
        <v>42</v>
      </c>
      <c r="S72" s="130" t="s">
        <v>44</v>
      </c>
      <c r="T72" s="130">
        <v>555648206</v>
      </c>
      <c r="U72" s="130" t="s">
        <v>61</v>
      </c>
      <c r="V72" s="130" t="s">
        <v>53</v>
      </c>
      <c r="W72" s="130" t="s">
        <v>180</v>
      </c>
      <c r="X72" s="130" t="s">
        <v>62</v>
      </c>
      <c r="Y72" s="130">
        <v>20002</v>
      </c>
      <c r="Z72" s="130" t="s">
        <v>351</v>
      </c>
      <c r="AA72" s="130" t="s">
        <v>43</v>
      </c>
      <c r="AB72" s="130" t="s">
        <v>42</v>
      </c>
      <c r="AC72" s="130" t="s">
        <v>42</v>
      </c>
      <c r="AD72" s="130" t="s">
        <v>42</v>
      </c>
      <c r="AE72" s="130" t="s">
        <v>42</v>
      </c>
      <c r="AF72" s="130" t="s">
        <v>42</v>
      </c>
      <c r="AG72" s="130" t="s">
        <v>42</v>
      </c>
      <c r="AH72" s="130" t="s">
        <v>42</v>
      </c>
      <c r="AI72" s="130" t="s">
        <v>42</v>
      </c>
      <c r="AJ72" s="130" t="s">
        <v>42</v>
      </c>
      <c r="AK72" s="130" t="s">
        <v>42</v>
      </c>
      <c r="AL72" s="130" t="s">
        <v>42</v>
      </c>
      <c r="AM72" s="130" t="s">
        <v>46</v>
      </c>
      <c r="AN72" s="130" t="s">
        <v>42</v>
      </c>
      <c r="AO72" s="130" t="s">
        <v>42</v>
      </c>
      <c r="AP72" s="132" t="s">
        <v>367</v>
      </c>
      <c r="AQ72" s="132"/>
      <c r="AR72" s="183">
        <f>1000*12</f>
        <v>12000</v>
      </c>
      <c r="AS72" s="133">
        <v>2</v>
      </c>
      <c r="AT72" s="134">
        <v>41640</v>
      </c>
      <c r="AU72" s="132"/>
      <c r="AV72" s="130"/>
      <c r="AW72" s="130"/>
      <c r="AX72" s="130" t="s">
        <v>43</v>
      </c>
      <c r="AY72" s="130" t="s">
        <v>72</v>
      </c>
      <c r="AZ72" s="130" t="s">
        <v>43</v>
      </c>
      <c r="BA72" s="130"/>
      <c r="BB72" s="130"/>
      <c r="BC72" s="130" t="s">
        <v>43</v>
      </c>
      <c r="BD72" s="130" t="s">
        <v>42</v>
      </c>
      <c r="BE72" s="130" t="s">
        <v>43</v>
      </c>
      <c r="BF72" s="130" t="s">
        <v>43</v>
      </c>
      <c r="BG72" s="130" t="s">
        <v>43</v>
      </c>
      <c r="BH72" s="76">
        <f ca="1">AR72/INDIRECT("'Formula for FPL-2016'!B"&amp;'24 Core'!AS72)</f>
        <v>0.74906367041198507</v>
      </c>
      <c r="BI72" s="91">
        <f ca="1">AR72/INDIRECT("'Formula for FPL-2015'!B"&amp;'24 Core'!AS72)</f>
        <v>0.75329566854990582</v>
      </c>
      <c r="BJ72" s="91">
        <f ca="1">AR72/INDIRECT("'Formula for FPL-2014'!B"&amp;'24 Core'!AS72)</f>
        <v>0.76287349014621741</v>
      </c>
      <c r="BK72" s="130">
        <v>76.319999999999993</v>
      </c>
      <c r="BL72" s="130"/>
      <c r="BM72" s="136"/>
      <c r="BN72" s="136"/>
      <c r="BO72" s="137"/>
      <c r="BP72" s="90" t="s">
        <v>172</v>
      </c>
      <c r="BQ72" s="80" t="s">
        <v>509</v>
      </c>
      <c r="BR72" s="80" t="s">
        <v>510</v>
      </c>
      <c r="BS72" s="80" t="s">
        <v>510</v>
      </c>
      <c r="BT72" s="186">
        <f t="shared" si="13"/>
        <v>12000</v>
      </c>
      <c r="BU72" s="149">
        <f t="shared" si="12"/>
        <v>2</v>
      </c>
      <c r="BV72" s="124">
        <v>0.74906367041198507</v>
      </c>
      <c r="BW72" s="249"/>
      <c r="BX72" s="169"/>
      <c r="BY72" s="169"/>
      <c r="BZ72" s="169"/>
      <c r="CA72" s="169"/>
      <c r="CB72" s="201" t="s">
        <v>1006</v>
      </c>
      <c r="CC72" s="169"/>
      <c r="CD72" s="169"/>
      <c r="CE72" s="169"/>
      <c r="CF72" s="229"/>
      <c r="CG72" s="142" t="str">
        <f t="shared" si="14"/>
        <v>BLANK</v>
      </c>
      <c r="CH72" s="142" t="str">
        <f>IF(ISNUMBER(CF72),
      IF(EXACT(
           ROUND(BV72,3),
           $CF72),
      "PASS","FAIL"),
    IF(AND(BV72="NA",CF72="n/a"),"PASS","FAIL")
)</f>
        <v>FAIL</v>
      </c>
      <c r="CI72" s="252" t="str">
        <f>IF(COUNTIF(CG72:CH73, "FAIL")=0,"PASS","FAIL")</f>
        <v>FAIL</v>
      </c>
      <c r="CJ72" s="157"/>
      <c r="CK72" s="216"/>
      <c r="CL72" s="249"/>
      <c r="CM72" s="223"/>
      <c r="CN72" s="223"/>
      <c r="CO72" s="223"/>
      <c r="CP72" s="223"/>
      <c r="CQ72" s="223"/>
      <c r="CR72" s="135"/>
      <c r="CS72" s="124"/>
      <c r="CT72" s="142" t="str">
        <f t="shared" si="11"/>
        <v>BLANK</v>
      </c>
      <c r="CU72" s="142" t="str">
        <f t="shared" si="7"/>
        <v>FAIL</v>
      </c>
      <c r="CV72" s="252" t="str">
        <f>IF(COUNTIF(CT72:CU73, "FAIL")=0,"PASS","FAIL")</f>
        <v>FAIL</v>
      </c>
      <c r="CW72" s="157"/>
      <c r="CX72" s="216" t="s">
        <v>1069</v>
      </c>
    </row>
    <row r="73" spans="1:102" ht="141" customHeight="1">
      <c r="A73" s="293"/>
      <c r="B73" s="198">
        <v>2</v>
      </c>
      <c r="C73" s="219"/>
      <c r="D73" s="309"/>
      <c r="E73" s="309"/>
      <c r="F73" s="90" t="s">
        <v>181</v>
      </c>
      <c r="G73" s="90" t="s">
        <v>396</v>
      </c>
      <c r="H73" s="130" t="s">
        <v>395</v>
      </c>
      <c r="I73" s="130" t="s">
        <v>349</v>
      </c>
      <c r="J73" s="130" t="s">
        <v>350</v>
      </c>
      <c r="K73" s="130" t="s">
        <v>353</v>
      </c>
      <c r="L73" s="130">
        <v>10</v>
      </c>
      <c r="M73" s="130" t="s">
        <v>48</v>
      </c>
      <c r="N73" s="130" t="s">
        <v>40</v>
      </c>
      <c r="O73" s="130" t="s">
        <v>41</v>
      </c>
      <c r="P73" s="131" t="s">
        <v>42</v>
      </c>
      <c r="Q73" s="130" t="s">
        <v>43</v>
      </c>
      <c r="R73" s="130" t="s">
        <v>41</v>
      </c>
      <c r="S73" s="130" t="s">
        <v>44</v>
      </c>
      <c r="T73" s="130">
        <v>555648207</v>
      </c>
      <c r="U73" s="130" t="s">
        <v>61</v>
      </c>
      <c r="V73" s="130" t="s">
        <v>53</v>
      </c>
      <c r="W73" s="130" t="s">
        <v>180</v>
      </c>
      <c r="X73" s="130" t="s">
        <v>62</v>
      </c>
      <c r="Y73" s="130">
        <v>20002</v>
      </c>
      <c r="Z73" s="130" t="s">
        <v>351</v>
      </c>
      <c r="AA73" s="130" t="s">
        <v>43</v>
      </c>
      <c r="AB73" s="130" t="s">
        <v>42</v>
      </c>
      <c r="AC73" s="130" t="s">
        <v>42</v>
      </c>
      <c r="AD73" s="130" t="s">
        <v>42</v>
      </c>
      <c r="AE73" s="130" t="s">
        <v>42</v>
      </c>
      <c r="AF73" s="130" t="s">
        <v>42</v>
      </c>
      <c r="AG73" s="130" t="s">
        <v>42</v>
      </c>
      <c r="AH73" s="130" t="s">
        <v>42</v>
      </c>
      <c r="AI73" s="130" t="s">
        <v>42</v>
      </c>
      <c r="AJ73" s="130" t="s">
        <v>42</v>
      </c>
      <c r="AK73" s="130" t="s">
        <v>352</v>
      </c>
      <c r="AL73" s="130" t="s">
        <v>42</v>
      </c>
      <c r="AM73" s="130" t="s">
        <v>58</v>
      </c>
      <c r="AN73" s="130" t="s">
        <v>42</v>
      </c>
      <c r="AO73" s="130" t="s">
        <v>181</v>
      </c>
      <c r="AP73" s="130"/>
      <c r="AQ73" s="130"/>
      <c r="AR73" s="183">
        <f>1000*12</f>
        <v>12000</v>
      </c>
      <c r="AS73" s="133">
        <v>2</v>
      </c>
      <c r="AT73" s="130"/>
      <c r="AU73" s="130"/>
      <c r="AV73" s="130"/>
      <c r="AW73" s="130"/>
      <c r="AX73" s="130" t="s">
        <v>43</v>
      </c>
      <c r="AY73" s="130" t="s">
        <v>72</v>
      </c>
      <c r="AZ73" s="130" t="s">
        <v>43</v>
      </c>
      <c r="BA73" s="130"/>
      <c r="BB73" s="130"/>
      <c r="BC73" s="130" t="s">
        <v>43</v>
      </c>
      <c r="BD73" s="130" t="s">
        <v>42</v>
      </c>
      <c r="BE73" s="130" t="s">
        <v>43</v>
      </c>
      <c r="BF73" s="130" t="s">
        <v>43</v>
      </c>
      <c r="BG73" s="130" t="s">
        <v>43</v>
      </c>
      <c r="BH73" s="76">
        <f ca="1">AR73/INDIRECT("'Formula for FPL-2016'!B"&amp;'24 Core'!AS73)</f>
        <v>0.74906367041198507</v>
      </c>
      <c r="BI73" s="91">
        <f ca="1">AR73/INDIRECT("'Formula for FPL-2015'!B"&amp;'24 Core'!AS73)</f>
        <v>0.75329566854990582</v>
      </c>
      <c r="BJ73" s="91">
        <f ca="1">AR73/INDIRECT("'Formula for FPL-2014'!B"&amp;'24 Core'!AS73)</f>
        <v>0.76287349014621741</v>
      </c>
      <c r="BK73" s="130">
        <v>76.319999999999993</v>
      </c>
      <c r="BL73" s="130"/>
      <c r="BM73" s="136"/>
      <c r="BN73" s="136"/>
      <c r="BO73" s="137"/>
      <c r="BP73" s="90" t="s">
        <v>172</v>
      </c>
      <c r="BQ73" s="80" t="s">
        <v>509</v>
      </c>
      <c r="BR73" s="80" t="s">
        <v>510</v>
      </c>
      <c r="BS73" s="80" t="s">
        <v>510</v>
      </c>
      <c r="BT73" s="186">
        <f t="shared" si="13"/>
        <v>12000</v>
      </c>
      <c r="BU73" s="149">
        <f t="shared" si="12"/>
        <v>2</v>
      </c>
      <c r="BV73" s="124">
        <v>0.74906367041198507</v>
      </c>
      <c r="BW73" s="251"/>
      <c r="BX73" s="169"/>
      <c r="BY73" s="169"/>
      <c r="BZ73" s="169"/>
      <c r="CA73" s="169"/>
      <c r="CB73" s="201"/>
      <c r="CC73" s="169"/>
      <c r="CD73" s="169"/>
      <c r="CE73" s="169"/>
      <c r="CF73" s="229"/>
      <c r="CG73" s="142" t="str">
        <f t="shared" si="14"/>
        <v>BLANK</v>
      </c>
      <c r="CH73" s="142" t="str">
        <f>IF(ISNUMBER(CF73),
      IF(EXACT(
           ROUND(BV73,3),
           $CF73),
      "PASS","FAIL"),
    IF(AND(BV73="NA",CF73="n/a"),"PASS","FAIL")
)</f>
        <v>FAIL</v>
      </c>
      <c r="CI73" s="254"/>
      <c r="CJ73" s="157"/>
      <c r="CK73" s="216"/>
      <c r="CL73" s="251"/>
      <c r="CM73" s="223"/>
      <c r="CN73" s="223"/>
      <c r="CO73" s="223"/>
      <c r="CP73" s="223"/>
      <c r="CQ73" s="223"/>
      <c r="CR73" s="135"/>
      <c r="CS73" s="124"/>
      <c r="CT73" s="142" t="str">
        <f t="shared" si="11"/>
        <v>BLANK</v>
      </c>
      <c r="CU73" s="142" t="str">
        <f t="shared" si="7"/>
        <v>FAIL</v>
      </c>
      <c r="CV73" s="254"/>
      <c r="CW73" s="157"/>
      <c r="CX73" s="216"/>
    </row>
    <row r="74" spans="1:102" ht="132.94999999999999" customHeight="1">
      <c r="A74" s="307">
        <v>18</v>
      </c>
      <c r="B74" s="198">
        <v>1</v>
      </c>
      <c r="C74" s="218" t="s">
        <v>1040</v>
      </c>
      <c r="D74" s="308" t="s">
        <v>360</v>
      </c>
      <c r="E74" s="308" t="s">
        <v>347</v>
      </c>
      <c r="F74" s="89" t="s">
        <v>189</v>
      </c>
      <c r="G74" s="89" t="s">
        <v>390</v>
      </c>
      <c r="H74" s="50" t="s">
        <v>391</v>
      </c>
      <c r="I74" s="50" t="s">
        <v>51</v>
      </c>
      <c r="J74" s="50" t="s">
        <v>348</v>
      </c>
      <c r="K74" s="50" t="s">
        <v>71</v>
      </c>
      <c r="L74" s="50">
        <v>52</v>
      </c>
      <c r="M74" s="50" t="s">
        <v>39</v>
      </c>
      <c r="N74" s="50" t="s">
        <v>52</v>
      </c>
      <c r="O74" s="50" t="s">
        <v>41</v>
      </c>
      <c r="P74" s="131" t="s">
        <v>43</v>
      </c>
      <c r="Q74" s="50" t="s">
        <v>43</v>
      </c>
      <c r="R74" s="50" t="s">
        <v>42</v>
      </c>
      <c r="S74" s="50" t="s">
        <v>44</v>
      </c>
      <c r="T74" s="50">
        <v>885522105</v>
      </c>
      <c r="U74" s="50" t="s">
        <v>61</v>
      </c>
      <c r="V74" s="50" t="s">
        <v>53</v>
      </c>
      <c r="W74" s="50" t="s">
        <v>180</v>
      </c>
      <c r="X74" s="50" t="s">
        <v>62</v>
      </c>
      <c r="Y74" s="50">
        <v>20002</v>
      </c>
      <c r="Z74" s="50" t="s">
        <v>358</v>
      </c>
      <c r="AA74" s="50" t="s">
        <v>42</v>
      </c>
      <c r="AB74" s="50" t="s">
        <v>42</v>
      </c>
      <c r="AC74" s="50" t="s">
        <v>42</v>
      </c>
      <c r="AD74" s="50" t="s">
        <v>42</v>
      </c>
      <c r="AE74" s="50" t="s">
        <v>42</v>
      </c>
      <c r="AF74" s="50" t="s">
        <v>42</v>
      </c>
      <c r="AG74" s="50" t="s">
        <v>42</v>
      </c>
      <c r="AH74" s="50" t="s">
        <v>42</v>
      </c>
      <c r="AI74" s="50" t="s">
        <v>42</v>
      </c>
      <c r="AJ74" s="50" t="s">
        <v>42</v>
      </c>
      <c r="AK74" s="50" t="s">
        <v>354</v>
      </c>
      <c r="AL74" s="50" t="s">
        <v>42</v>
      </c>
      <c r="AM74" s="50" t="s">
        <v>46</v>
      </c>
      <c r="AN74" s="50" t="s">
        <v>41</v>
      </c>
      <c r="AO74" s="50" t="s">
        <v>42</v>
      </c>
      <c r="AP74" s="50" t="s">
        <v>357</v>
      </c>
      <c r="AQ74" s="115">
        <f>650*(52/2)</f>
        <v>16900</v>
      </c>
      <c r="AR74" s="182">
        <f>650*26</f>
        <v>16900</v>
      </c>
      <c r="AS74" s="57">
        <v>3</v>
      </c>
      <c r="AT74" s="46">
        <v>41640</v>
      </c>
      <c r="AU74" s="50"/>
      <c r="AV74" s="50"/>
      <c r="AW74" s="50"/>
      <c r="AX74" s="50" t="s">
        <v>43</v>
      </c>
      <c r="AY74" s="50" t="s">
        <v>72</v>
      </c>
      <c r="AZ74" s="50" t="s">
        <v>43</v>
      </c>
      <c r="BA74" s="50"/>
      <c r="BB74" s="50"/>
      <c r="BC74" s="50" t="s">
        <v>43</v>
      </c>
      <c r="BD74" s="50" t="s">
        <v>42</v>
      </c>
      <c r="BE74" s="50" t="s">
        <v>43</v>
      </c>
      <c r="BF74" s="50" t="s">
        <v>43</v>
      </c>
      <c r="BG74" s="50" t="s">
        <v>43</v>
      </c>
      <c r="BH74" s="76">
        <f ca="1">AR74/INDIRECT("'Formula for FPL-2016'!B"&amp;'24 Core'!AS74)</f>
        <v>0.83829365079365081</v>
      </c>
      <c r="BI74" s="76">
        <f ca="1">AR74/INDIRECT("'Formula for FPL-2015'!B"&amp;'24 Core'!AS74)</f>
        <v>0.84121453459432549</v>
      </c>
      <c r="BJ74" s="76">
        <f ca="1">AR74/INDIRECT("'Formula for FPL-2014'!B"&amp;'24 Core'!AS74)</f>
        <v>0.85396664982314296</v>
      </c>
      <c r="BK74" s="47">
        <v>85.43</v>
      </c>
      <c r="BL74" s="50"/>
      <c r="BM74" s="105"/>
      <c r="BN74" s="105"/>
      <c r="BO74" s="106"/>
      <c r="BP74" s="89" t="s">
        <v>172</v>
      </c>
      <c r="BQ74" s="80" t="s">
        <v>509</v>
      </c>
      <c r="BR74" s="80" t="s">
        <v>510</v>
      </c>
      <c r="BS74" s="80" t="s">
        <v>510</v>
      </c>
      <c r="BT74" s="191">
        <f t="shared" si="13"/>
        <v>16900</v>
      </c>
      <c r="BU74" s="148">
        <f t="shared" si="12"/>
        <v>3</v>
      </c>
      <c r="BV74" s="125">
        <v>0.83829365079365081</v>
      </c>
      <c r="BW74" s="272"/>
      <c r="BX74" s="168"/>
      <c r="BY74" s="168"/>
      <c r="BZ74" s="168"/>
      <c r="CA74" s="168"/>
      <c r="CB74" s="200" t="s">
        <v>1007</v>
      </c>
      <c r="CC74" s="168"/>
      <c r="CD74" s="168"/>
      <c r="CE74" s="168"/>
      <c r="CF74" s="125"/>
      <c r="CG74" s="142" t="str">
        <f t="shared" si="14"/>
        <v>BLANK</v>
      </c>
      <c r="CH74" s="142" t="str">
        <f>IF(ISNUMBER(CF74),
      IF(EXACT(
           (ROUND(BV74,2)*100),
           $CF74),
      "PASS","FAIL"),
    IF(AND(BV74="NA",CF74="n/a"),"PASS","FAIL")
)</f>
        <v>FAIL</v>
      </c>
      <c r="CI74" s="263" t="str">
        <f>IF(COUNTIF(CG74:CH76, "FAIL")=0,"PASS","FAIL")</f>
        <v>FAIL</v>
      </c>
      <c r="CJ74" s="158"/>
      <c r="CK74" s="216"/>
      <c r="CL74" s="272"/>
      <c r="CM74" s="220"/>
      <c r="CN74" s="220"/>
      <c r="CO74" s="220"/>
      <c r="CP74" s="220"/>
      <c r="CQ74" s="220"/>
      <c r="CR74" s="241"/>
      <c r="CS74" s="125"/>
      <c r="CT74" s="142" t="str">
        <f t="shared" si="11"/>
        <v>BLANK</v>
      </c>
      <c r="CU74" s="142" t="str">
        <f t="shared" si="7"/>
        <v>FAIL</v>
      </c>
      <c r="CV74" s="263" t="str">
        <f>IF(COUNTIF(CT74:CU76, "FAIL")=0,"PASS","FAIL")</f>
        <v>FAIL</v>
      </c>
      <c r="CW74" s="158"/>
      <c r="CX74" s="216" t="s">
        <v>1087</v>
      </c>
    </row>
    <row r="75" spans="1:102" ht="144" customHeight="1">
      <c r="A75" s="306"/>
      <c r="B75" s="198">
        <v>2</v>
      </c>
      <c r="C75" s="221"/>
      <c r="D75" s="308"/>
      <c r="E75" s="308"/>
      <c r="F75" s="89" t="s">
        <v>183</v>
      </c>
      <c r="G75" s="89" t="s">
        <v>392</v>
      </c>
      <c r="H75" s="50" t="s">
        <v>391</v>
      </c>
      <c r="I75" s="50" t="s">
        <v>51</v>
      </c>
      <c r="J75" s="50" t="s">
        <v>348</v>
      </c>
      <c r="K75" s="50" t="s">
        <v>70</v>
      </c>
      <c r="L75" s="50">
        <v>48</v>
      </c>
      <c r="M75" s="50" t="s">
        <v>48</v>
      </c>
      <c r="N75" s="50" t="s">
        <v>52</v>
      </c>
      <c r="O75" s="50" t="s">
        <v>41</v>
      </c>
      <c r="P75" s="131" t="s">
        <v>43</v>
      </c>
      <c r="Q75" s="50" t="s">
        <v>43</v>
      </c>
      <c r="R75" s="50" t="s">
        <v>41</v>
      </c>
      <c r="S75" s="50" t="s">
        <v>44</v>
      </c>
      <c r="T75" s="50">
        <v>885522106</v>
      </c>
      <c r="U75" s="50" t="s">
        <v>61</v>
      </c>
      <c r="V75" s="50" t="s">
        <v>53</v>
      </c>
      <c r="W75" s="50" t="s">
        <v>180</v>
      </c>
      <c r="X75" s="50" t="s">
        <v>62</v>
      </c>
      <c r="Y75" s="50">
        <v>20002</v>
      </c>
      <c r="Z75" s="50" t="s">
        <v>358</v>
      </c>
      <c r="AA75" s="50" t="s">
        <v>43</v>
      </c>
      <c r="AB75" s="50" t="s">
        <v>42</v>
      </c>
      <c r="AC75" s="50" t="s">
        <v>42</v>
      </c>
      <c r="AD75" s="50" t="s">
        <v>42</v>
      </c>
      <c r="AE75" s="50" t="s">
        <v>42</v>
      </c>
      <c r="AF75" s="50" t="s">
        <v>42</v>
      </c>
      <c r="AG75" s="50" t="s">
        <v>42</v>
      </c>
      <c r="AH75" s="50" t="s">
        <v>42</v>
      </c>
      <c r="AI75" s="50" t="s">
        <v>42</v>
      </c>
      <c r="AJ75" s="50" t="s">
        <v>42</v>
      </c>
      <c r="AK75" s="50" t="s">
        <v>355</v>
      </c>
      <c r="AL75" s="50" t="s">
        <v>42</v>
      </c>
      <c r="AM75" s="50" t="s">
        <v>46</v>
      </c>
      <c r="AN75" s="50" t="s">
        <v>41</v>
      </c>
      <c r="AO75" s="50" t="s">
        <v>42</v>
      </c>
      <c r="AP75" s="44"/>
      <c r="AQ75" s="44"/>
      <c r="AR75" s="182">
        <f t="shared" ref="AR75:AR76" si="18">650*26</f>
        <v>16900</v>
      </c>
      <c r="AS75" s="57">
        <v>3</v>
      </c>
      <c r="AT75" s="44"/>
      <c r="AU75" s="44"/>
      <c r="AV75" s="50"/>
      <c r="AW75" s="50"/>
      <c r="AX75" s="50" t="s">
        <v>43</v>
      </c>
      <c r="AY75" s="50" t="s">
        <v>72</v>
      </c>
      <c r="AZ75" s="50" t="s">
        <v>43</v>
      </c>
      <c r="BA75" s="50"/>
      <c r="BB75" s="50"/>
      <c r="BC75" s="50" t="s">
        <v>43</v>
      </c>
      <c r="BD75" s="50" t="s">
        <v>42</v>
      </c>
      <c r="BE75" s="50" t="s">
        <v>43</v>
      </c>
      <c r="BF75" s="50" t="s">
        <v>43</v>
      </c>
      <c r="BG75" s="50" t="s">
        <v>43</v>
      </c>
      <c r="BH75" s="76">
        <f ca="1">AR75/INDIRECT("'Formula for FPL-2016'!B"&amp;'24 Core'!AS75)</f>
        <v>0.83829365079365081</v>
      </c>
      <c r="BI75" s="76">
        <f ca="1">AR75/INDIRECT("'Formula for FPL-2015'!B"&amp;'24 Core'!AS75)</f>
        <v>0.84121453459432549</v>
      </c>
      <c r="BJ75" s="76">
        <f ca="1">AR75/INDIRECT("'Formula for FPL-2014'!B"&amp;'24 Core'!AS75)</f>
        <v>0.85396664982314296</v>
      </c>
      <c r="BK75" s="47">
        <v>85.43</v>
      </c>
      <c r="BL75" s="50"/>
      <c r="BM75" s="105"/>
      <c r="BN75" s="105"/>
      <c r="BO75" s="106"/>
      <c r="BP75" s="89" t="s">
        <v>172</v>
      </c>
      <c r="BQ75" s="80" t="s">
        <v>509</v>
      </c>
      <c r="BR75" s="80" t="s">
        <v>510</v>
      </c>
      <c r="BS75" s="80" t="s">
        <v>510</v>
      </c>
      <c r="BT75" s="191">
        <f t="shared" si="13"/>
        <v>16900</v>
      </c>
      <c r="BU75" s="148">
        <f t="shared" si="12"/>
        <v>3</v>
      </c>
      <c r="BV75" s="125">
        <v>0.83829365079365081</v>
      </c>
      <c r="BW75" s="273"/>
      <c r="BX75" s="168"/>
      <c r="BY75" s="168"/>
      <c r="BZ75" s="168"/>
      <c r="CA75" s="168"/>
      <c r="CB75" s="200"/>
      <c r="CC75" s="168"/>
      <c r="CD75" s="168"/>
      <c r="CE75" s="168"/>
      <c r="CF75" s="125"/>
      <c r="CG75" s="142" t="str">
        <f t="shared" si="14"/>
        <v>BLANK</v>
      </c>
      <c r="CH75" s="142" t="str">
        <f>IF(ISNUMBER(CF75),
      IF(EXACT(
           (ROUND(BV75,2)*100),
           $CF75),
      "PASS","FAIL"),
    IF(AND(BV75="NA",CF75="n/a"),"PASS","FAIL")
)</f>
        <v>FAIL</v>
      </c>
      <c r="CI75" s="264"/>
      <c r="CJ75" s="158"/>
      <c r="CK75" s="216"/>
      <c r="CL75" s="273"/>
      <c r="CM75" s="220"/>
      <c r="CN75" s="220"/>
      <c r="CO75" s="220"/>
      <c r="CP75" s="220"/>
      <c r="CQ75" s="220"/>
      <c r="CR75" s="241"/>
      <c r="CS75" s="125"/>
      <c r="CT75" s="142" t="str">
        <f t="shared" si="11"/>
        <v>BLANK</v>
      </c>
      <c r="CU75" s="142" t="str">
        <f t="shared" si="7"/>
        <v>FAIL</v>
      </c>
      <c r="CV75" s="264"/>
      <c r="CW75" s="158"/>
      <c r="CX75" s="216"/>
    </row>
    <row r="76" spans="1:102" ht="144" customHeight="1">
      <c r="A76" s="293"/>
      <c r="B76" s="198">
        <v>3</v>
      </c>
      <c r="C76" s="219"/>
      <c r="D76" s="308"/>
      <c r="E76" s="308"/>
      <c r="F76" s="89" t="s">
        <v>181</v>
      </c>
      <c r="G76" s="89" t="s">
        <v>393</v>
      </c>
      <c r="H76" s="50" t="s">
        <v>391</v>
      </c>
      <c r="I76" s="50" t="s">
        <v>188</v>
      </c>
      <c r="J76" s="50" t="s">
        <v>350</v>
      </c>
      <c r="K76" s="50" t="s">
        <v>353</v>
      </c>
      <c r="L76" s="50">
        <v>10</v>
      </c>
      <c r="M76" s="50" t="s">
        <v>48</v>
      </c>
      <c r="N76" s="50" t="s">
        <v>40</v>
      </c>
      <c r="O76" s="50" t="s">
        <v>41</v>
      </c>
      <c r="P76" s="131" t="s">
        <v>43</v>
      </c>
      <c r="Q76" s="50" t="s">
        <v>43</v>
      </c>
      <c r="R76" s="50" t="s">
        <v>41</v>
      </c>
      <c r="S76" s="50" t="s">
        <v>44</v>
      </c>
      <c r="T76" s="50">
        <v>885522107</v>
      </c>
      <c r="U76" s="50" t="s">
        <v>61</v>
      </c>
      <c r="V76" s="50" t="s">
        <v>53</v>
      </c>
      <c r="W76" s="50" t="s">
        <v>180</v>
      </c>
      <c r="X76" s="50" t="s">
        <v>62</v>
      </c>
      <c r="Y76" s="50">
        <v>20002</v>
      </c>
      <c r="Z76" s="50" t="s">
        <v>358</v>
      </c>
      <c r="AA76" s="50" t="s">
        <v>43</v>
      </c>
      <c r="AB76" s="50" t="s">
        <v>42</v>
      </c>
      <c r="AC76" s="50" t="s">
        <v>42</v>
      </c>
      <c r="AD76" s="50" t="s">
        <v>42</v>
      </c>
      <c r="AE76" s="50" t="s">
        <v>42</v>
      </c>
      <c r="AF76" s="50" t="s">
        <v>42</v>
      </c>
      <c r="AG76" s="50" t="s">
        <v>42</v>
      </c>
      <c r="AH76" s="50" t="s">
        <v>42</v>
      </c>
      <c r="AI76" s="50" t="s">
        <v>42</v>
      </c>
      <c r="AJ76" s="50" t="s">
        <v>42</v>
      </c>
      <c r="AK76" s="50" t="s">
        <v>356</v>
      </c>
      <c r="AL76" s="50" t="s">
        <v>42</v>
      </c>
      <c r="AM76" s="50" t="s">
        <v>58</v>
      </c>
      <c r="AN76" s="50" t="s">
        <v>42</v>
      </c>
      <c r="AO76" s="50" t="s">
        <v>189</v>
      </c>
      <c r="AP76" s="50"/>
      <c r="AQ76" s="115"/>
      <c r="AR76" s="182">
        <f t="shared" si="18"/>
        <v>16900</v>
      </c>
      <c r="AS76" s="57">
        <v>3</v>
      </c>
      <c r="AT76" s="50"/>
      <c r="AU76" s="50"/>
      <c r="AV76" s="50"/>
      <c r="AW76" s="50"/>
      <c r="AX76" s="50" t="s">
        <v>43</v>
      </c>
      <c r="AY76" s="50" t="s">
        <v>72</v>
      </c>
      <c r="AZ76" s="50" t="s">
        <v>43</v>
      </c>
      <c r="BA76" s="50"/>
      <c r="BB76" s="50"/>
      <c r="BC76" s="50" t="s">
        <v>43</v>
      </c>
      <c r="BD76" s="50" t="s">
        <v>42</v>
      </c>
      <c r="BE76" s="50" t="s">
        <v>43</v>
      </c>
      <c r="BF76" s="50" t="s">
        <v>43</v>
      </c>
      <c r="BG76" s="50" t="s">
        <v>43</v>
      </c>
      <c r="BH76" s="76">
        <f ca="1">AR76/INDIRECT("'Formula for FPL-2016'!B"&amp;'24 Core'!AS76)</f>
        <v>0.83829365079365081</v>
      </c>
      <c r="BI76" s="76">
        <f ca="1">AR76/INDIRECT("'Formula for FPL-2015'!B"&amp;'24 Core'!AS76)</f>
        <v>0.84121453459432549</v>
      </c>
      <c r="BJ76" s="76">
        <f ca="1">AR76/INDIRECT("'Formula for FPL-2014'!B"&amp;'24 Core'!AS76)</f>
        <v>0.85396664982314296</v>
      </c>
      <c r="BK76" s="47">
        <v>85.43</v>
      </c>
      <c r="BL76" s="50"/>
      <c r="BM76" s="105"/>
      <c r="BN76" s="105"/>
      <c r="BO76" s="106"/>
      <c r="BP76" s="89" t="s">
        <v>172</v>
      </c>
      <c r="BQ76" s="80" t="s">
        <v>509</v>
      </c>
      <c r="BR76" s="80" t="s">
        <v>510</v>
      </c>
      <c r="BS76" s="80" t="s">
        <v>510</v>
      </c>
      <c r="BT76" s="191">
        <f t="shared" si="13"/>
        <v>16900</v>
      </c>
      <c r="BU76" s="148">
        <f t="shared" si="12"/>
        <v>3</v>
      </c>
      <c r="BV76" s="125">
        <v>0.83829365079365081</v>
      </c>
      <c r="BW76" s="274"/>
      <c r="BX76" s="168"/>
      <c r="BY76" s="168"/>
      <c r="BZ76" s="168"/>
      <c r="CA76" s="168"/>
      <c r="CB76" s="200"/>
      <c r="CC76" s="168"/>
      <c r="CD76" s="168"/>
      <c r="CE76" s="168"/>
      <c r="CF76" s="125"/>
      <c r="CG76" s="142" t="str">
        <f t="shared" si="14"/>
        <v>BLANK</v>
      </c>
      <c r="CH76" s="142" t="str">
        <f>IF(ISNUMBER(CF76),
      IF(EXACT(
           (ROUND(BV76,2)*100),
           $CF76),
      "PASS","FAIL"),
    IF(AND(BV76="NA",CF76="n/a"),"PASS","FAIL")
)</f>
        <v>FAIL</v>
      </c>
      <c r="CI76" s="265"/>
      <c r="CJ76" s="158"/>
      <c r="CK76" s="216"/>
      <c r="CL76" s="274"/>
      <c r="CM76" s="220"/>
      <c r="CN76" s="220"/>
      <c r="CO76" s="220"/>
      <c r="CP76" s="220"/>
      <c r="CQ76" s="220"/>
      <c r="CR76" s="241"/>
      <c r="CS76" s="125"/>
      <c r="CT76" s="142" t="str">
        <f t="shared" si="11"/>
        <v>BLANK</v>
      </c>
      <c r="CU76" s="142" t="str">
        <f t="shared" si="7"/>
        <v>FAIL</v>
      </c>
      <c r="CV76" s="265"/>
      <c r="CW76" s="158"/>
      <c r="CX76" s="216"/>
    </row>
    <row r="77" spans="1:102" ht="38.25" customHeight="1">
      <c r="A77" s="249">
        <v>19</v>
      </c>
      <c r="B77" s="198">
        <v>1</v>
      </c>
      <c r="C77" s="218" t="s">
        <v>1041</v>
      </c>
      <c r="D77" s="309" t="s">
        <v>361</v>
      </c>
      <c r="E77" s="309" t="s">
        <v>369</v>
      </c>
      <c r="F77" s="90" t="s">
        <v>189</v>
      </c>
      <c r="G77" s="90" t="s">
        <v>414</v>
      </c>
      <c r="H77" s="130" t="s">
        <v>414</v>
      </c>
      <c r="I77" s="130" t="s">
        <v>348</v>
      </c>
      <c r="J77" s="130" t="s">
        <v>51</v>
      </c>
      <c r="K77" s="130" t="s">
        <v>362</v>
      </c>
      <c r="L77" s="130">
        <v>42</v>
      </c>
      <c r="M77" s="130" t="s">
        <v>39</v>
      </c>
      <c r="N77" s="130" t="s">
        <v>40</v>
      </c>
      <c r="O77" s="130" t="s">
        <v>43</v>
      </c>
      <c r="P77" s="131" t="s">
        <v>42</v>
      </c>
      <c r="Q77" s="130" t="s">
        <v>43</v>
      </c>
      <c r="R77" s="130" t="s">
        <v>42</v>
      </c>
      <c r="S77" s="130" t="s">
        <v>44</v>
      </c>
      <c r="T77" s="130">
        <v>443323592</v>
      </c>
      <c r="U77" s="130" t="s">
        <v>45</v>
      </c>
      <c r="V77" s="130" t="s">
        <v>53</v>
      </c>
      <c r="W77" s="130" t="s">
        <v>180</v>
      </c>
      <c r="X77" s="130" t="s">
        <v>62</v>
      </c>
      <c r="Y77" s="130">
        <v>20002</v>
      </c>
      <c r="Z77" s="130" t="s">
        <v>42</v>
      </c>
      <c r="AA77" s="130" t="s">
        <v>42</v>
      </c>
      <c r="AB77" s="130" t="s">
        <v>42</v>
      </c>
      <c r="AC77" s="130" t="s">
        <v>42</v>
      </c>
      <c r="AD77" s="130" t="s">
        <v>42</v>
      </c>
      <c r="AE77" s="130" t="s">
        <v>42</v>
      </c>
      <c r="AF77" s="130" t="s">
        <v>42</v>
      </c>
      <c r="AG77" s="130" t="s">
        <v>42</v>
      </c>
      <c r="AH77" s="130" t="s">
        <v>42</v>
      </c>
      <c r="AI77" s="130" t="s">
        <v>42</v>
      </c>
      <c r="AJ77" s="130" t="s">
        <v>42</v>
      </c>
      <c r="AK77" s="130" t="s">
        <v>42</v>
      </c>
      <c r="AL77" s="130" t="s">
        <v>42</v>
      </c>
      <c r="AM77" s="130" t="s">
        <v>46</v>
      </c>
      <c r="AN77" s="130" t="s">
        <v>42</v>
      </c>
      <c r="AO77" s="130" t="s">
        <v>42</v>
      </c>
      <c r="AP77" s="132" t="s">
        <v>363</v>
      </c>
      <c r="AQ77" s="132"/>
      <c r="AR77" s="183">
        <v>10000</v>
      </c>
      <c r="AS77" s="133">
        <v>2</v>
      </c>
      <c r="AT77" s="134">
        <v>41640</v>
      </c>
      <c r="AU77" s="132"/>
      <c r="AV77" s="130"/>
      <c r="AW77" s="130"/>
      <c r="AX77" s="130" t="s">
        <v>43</v>
      </c>
      <c r="AY77" s="130" t="s">
        <v>72</v>
      </c>
      <c r="AZ77" s="130" t="s">
        <v>43</v>
      </c>
      <c r="BA77" s="130"/>
      <c r="BB77" s="130"/>
      <c r="BC77" s="130" t="s">
        <v>43</v>
      </c>
      <c r="BD77" s="130" t="s">
        <v>42</v>
      </c>
      <c r="BE77" s="130" t="s">
        <v>43</v>
      </c>
      <c r="BF77" s="130" t="s">
        <v>43</v>
      </c>
      <c r="BG77" s="130" t="s">
        <v>43</v>
      </c>
      <c r="BH77" s="76">
        <f ca="1">AR77/INDIRECT("'Formula for FPL-2016'!B"&amp;'24 Core'!AS77)</f>
        <v>0.62421972534332082</v>
      </c>
      <c r="BI77" s="91">
        <f ca="1">AR77/INDIRECT("'Formula for FPL-2015'!B"&amp;'24 Core'!AS77)</f>
        <v>0.62774639045825487</v>
      </c>
      <c r="BJ77" s="91">
        <f ca="1">AR77/INDIRECT("'Formula for FPL-2014'!B"&amp;'24 Core'!AS77)</f>
        <v>0.63572790845518123</v>
      </c>
      <c r="BK77" s="130"/>
      <c r="BL77" s="130"/>
      <c r="BM77" s="136"/>
      <c r="BN77" s="136"/>
      <c r="BO77" s="137"/>
      <c r="BP77" s="90" t="s">
        <v>106</v>
      </c>
      <c r="BQ77" s="80" t="s">
        <v>259</v>
      </c>
      <c r="BR77" s="80" t="s">
        <v>259</v>
      </c>
      <c r="BS77" s="80" t="s">
        <v>259</v>
      </c>
      <c r="BT77" s="186"/>
      <c r="BU77" s="149"/>
      <c r="BV77" s="124" t="s">
        <v>259</v>
      </c>
      <c r="BW77" s="249"/>
      <c r="BX77" s="135"/>
      <c r="BY77" s="135"/>
      <c r="BZ77" s="135"/>
      <c r="CA77" s="135"/>
      <c r="CB77" s="135" t="s">
        <v>1008</v>
      </c>
      <c r="CC77" s="135"/>
      <c r="CD77" s="135"/>
      <c r="CE77" s="135"/>
      <c r="CF77" s="229"/>
      <c r="CG77" s="142" t="str">
        <f t="shared" si="14"/>
        <v>BLANK</v>
      </c>
      <c r="CH77" s="142" t="str">
        <f>IF(ISNUMBER(CF77),
      IF(EXACT(
           ROUND(BV77,3),
           $CF77),
      "PASS","FAIL"),
    IF(AND(BV77="NA",CF77="n/a"),"PASS","FAIL")
)</f>
        <v>FAIL</v>
      </c>
      <c r="CI77" s="252" t="str">
        <f>IF(COUNTIF(CG77:CH78, "FAIL")=0,"PASS","FAIL")</f>
        <v>FAIL</v>
      </c>
      <c r="CJ77" s="157"/>
      <c r="CK77" s="216"/>
      <c r="CL77" s="249"/>
      <c r="CM77" s="135"/>
      <c r="CN77" s="135"/>
      <c r="CO77" s="135"/>
      <c r="CP77" s="135"/>
      <c r="CQ77" s="135"/>
      <c r="CR77" s="135"/>
      <c r="CS77" s="124"/>
      <c r="CT77" s="142" t="str">
        <f t="shared" si="11"/>
        <v>BLANK</v>
      </c>
      <c r="CU77" s="142" t="str">
        <f t="shared" si="7"/>
        <v>FAIL</v>
      </c>
      <c r="CV77" s="252" t="str">
        <f>IF(COUNTIF(CT77:CU78, "FAIL")=0,"PASS","FAIL")</f>
        <v>FAIL</v>
      </c>
      <c r="CW77" s="157"/>
      <c r="CX77" s="216" t="s">
        <v>1051</v>
      </c>
    </row>
    <row r="78" spans="1:102" ht="129.94999999999999" customHeight="1">
      <c r="A78" s="293"/>
      <c r="B78" s="198">
        <v>2</v>
      </c>
      <c r="C78" s="219"/>
      <c r="D78" s="309"/>
      <c r="E78" s="309"/>
      <c r="F78" s="90" t="s">
        <v>181</v>
      </c>
      <c r="G78" s="90" t="s">
        <v>415</v>
      </c>
      <c r="H78" s="130" t="s">
        <v>415</v>
      </c>
      <c r="I78" s="130" t="s">
        <v>349</v>
      </c>
      <c r="J78" s="130" t="s">
        <v>350</v>
      </c>
      <c r="K78" s="130" t="s">
        <v>353</v>
      </c>
      <c r="L78" s="130">
        <v>10</v>
      </c>
      <c r="M78" s="130" t="s">
        <v>48</v>
      </c>
      <c r="N78" s="130" t="s">
        <v>40</v>
      </c>
      <c r="O78" s="130" t="s">
        <v>41</v>
      </c>
      <c r="P78" s="131" t="s">
        <v>42</v>
      </c>
      <c r="Q78" s="130" t="s">
        <v>43</v>
      </c>
      <c r="R78" s="130" t="s">
        <v>41</v>
      </c>
      <c r="S78" s="130" t="s">
        <v>44</v>
      </c>
      <c r="T78" s="130">
        <v>443323593</v>
      </c>
      <c r="U78" s="130" t="s">
        <v>45</v>
      </c>
      <c r="V78" s="130" t="s">
        <v>53</v>
      </c>
      <c r="W78" s="130" t="s">
        <v>180</v>
      </c>
      <c r="X78" s="130" t="s">
        <v>62</v>
      </c>
      <c r="Y78" s="130">
        <v>20002</v>
      </c>
      <c r="Z78" s="130" t="s">
        <v>42</v>
      </c>
      <c r="AA78" s="130" t="s">
        <v>43</v>
      </c>
      <c r="AB78" s="130" t="s">
        <v>42</v>
      </c>
      <c r="AC78" s="130" t="s">
        <v>42</v>
      </c>
      <c r="AD78" s="130" t="s">
        <v>42</v>
      </c>
      <c r="AE78" s="130" t="s">
        <v>42</v>
      </c>
      <c r="AF78" s="130" t="s">
        <v>42</v>
      </c>
      <c r="AG78" s="130" t="s">
        <v>42</v>
      </c>
      <c r="AH78" s="130" t="s">
        <v>42</v>
      </c>
      <c r="AI78" s="130" t="s">
        <v>42</v>
      </c>
      <c r="AJ78" s="130" t="s">
        <v>42</v>
      </c>
      <c r="AK78" s="130" t="s">
        <v>352</v>
      </c>
      <c r="AL78" s="130" t="s">
        <v>42</v>
      </c>
      <c r="AM78" s="130" t="s">
        <v>58</v>
      </c>
      <c r="AN78" s="130" t="s">
        <v>42</v>
      </c>
      <c r="AO78" s="130" t="s">
        <v>189</v>
      </c>
      <c r="AP78" s="130"/>
      <c r="AQ78" s="130"/>
      <c r="AR78" s="183">
        <v>10000</v>
      </c>
      <c r="AS78" s="133">
        <v>2</v>
      </c>
      <c r="AT78" s="130"/>
      <c r="AU78" s="130"/>
      <c r="AV78" s="130"/>
      <c r="AW78" s="130"/>
      <c r="AX78" s="130" t="s">
        <v>43</v>
      </c>
      <c r="AY78" s="130" t="s">
        <v>72</v>
      </c>
      <c r="AZ78" s="130" t="s">
        <v>43</v>
      </c>
      <c r="BA78" s="130"/>
      <c r="BB78" s="130"/>
      <c r="BC78" s="130" t="s">
        <v>43</v>
      </c>
      <c r="BD78" s="130" t="s">
        <v>42</v>
      </c>
      <c r="BE78" s="130" t="s">
        <v>43</v>
      </c>
      <c r="BF78" s="130" t="s">
        <v>43</v>
      </c>
      <c r="BG78" s="130" t="s">
        <v>43</v>
      </c>
      <c r="BH78" s="76">
        <f ca="1">AR78/INDIRECT("'Formula for FPL-2016'!B"&amp;'24 Core'!AS78)</f>
        <v>0.62421972534332082</v>
      </c>
      <c r="BI78" s="91">
        <f ca="1">AR78/INDIRECT("'Formula for FPL-2015'!B"&amp;'24 Core'!AS78)</f>
        <v>0.62774639045825487</v>
      </c>
      <c r="BJ78" s="91">
        <f ca="1">AR78/INDIRECT("'Formula for FPL-2014'!B"&amp;'24 Core'!AS78)</f>
        <v>0.63572790845518123</v>
      </c>
      <c r="BK78" s="130">
        <v>63.57</v>
      </c>
      <c r="BL78" s="130"/>
      <c r="BM78" s="136"/>
      <c r="BN78" s="136"/>
      <c r="BO78" s="137"/>
      <c r="BP78" s="90" t="s">
        <v>172</v>
      </c>
      <c r="BQ78" s="80" t="s">
        <v>509</v>
      </c>
      <c r="BR78" s="80" t="s">
        <v>510</v>
      </c>
      <c r="BS78" s="80" t="s">
        <v>510</v>
      </c>
      <c r="BT78" s="186">
        <f t="shared" ref="BT78:BT93" si="19">AR78</f>
        <v>10000</v>
      </c>
      <c r="BU78" s="149">
        <f t="shared" ref="BU78:BU93" si="20">AS78</f>
        <v>2</v>
      </c>
      <c r="BV78" s="124">
        <v>0.62421972534332082</v>
      </c>
      <c r="BW78" s="251"/>
      <c r="BX78" s="135"/>
      <c r="BY78" s="135"/>
      <c r="BZ78" s="135"/>
      <c r="CA78" s="135"/>
      <c r="CB78" s="135"/>
      <c r="CC78" s="135"/>
      <c r="CD78" s="135"/>
      <c r="CE78" s="135"/>
      <c r="CF78" s="229"/>
      <c r="CG78" s="142" t="str">
        <f t="shared" ref="CG78:CG93" si="21">IF(CC78="medicaid",IF(AND(BQ78="Y",BR78="N",BS78="N"),"PASS","FAIL"),IF(CC78="aptc",IF(AND(BQ78="N",BR78="Y",BS78="N"),"PASS","FAIL"),IF(CC78="aptc+csr",IF(AND(BQ78="N",BR78="Y",BS78="Y"),"PASS","FAIL"),IF(CC78="n/a",IF(BQ78="NA","PASS","FAIL"),IF(CC78="unassisted",IF(AND(BQ78="N",BR78="N",BS78="N"),"PASS","FAIL"),"BLANK")))))</f>
        <v>BLANK</v>
      </c>
      <c r="CH78" s="142" t="str">
        <f>IF(ISNUMBER(CF78),
      IF(EXACT(
           ROUND(BV78,3),
           $CF78),
      "PASS","FAIL"),
    IF(AND(BV78="NA",CF78="n/a"),"PASS","FAIL")
)</f>
        <v>FAIL</v>
      </c>
      <c r="CI78" s="254"/>
      <c r="CJ78" s="157"/>
      <c r="CK78" s="216"/>
      <c r="CL78" s="251"/>
      <c r="CM78" s="135"/>
      <c r="CN78" s="135"/>
      <c r="CO78" s="135"/>
      <c r="CP78" s="135"/>
      <c r="CQ78" s="135"/>
      <c r="CR78" s="135"/>
      <c r="CS78" s="124"/>
      <c r="CT78" s="142" t="str">
        <f t="shared" si="11"/>
        <v>BLANK</v>
      </c>
      <c r="CU78" s="142" t="str">
        <f t="shared" si="7"/>
        <v>FAIL</v>
      </c>
      <c r="CV78" s="254"/>
      <c r="CW78" s="157"/>
      <c r="CX78" s="216"/>
    </row>
    <row r="79" spans="1:102" ht="127.5" customHeight="1">
      <c r="A79" s="307">
        <v>20</v>
      </c>
      <c r="B79" s="198">
        <v>1</v>
      </c>
      <c r="C79" s="218" t="s">
        <v>1042</v>
      </c>
      <c r="D79" s="308" t="s">
        <v>371</v>
      </c>
      <c r="E79" s="308" t="s">
        <v>370</v>
      </c>
      <c r="F79" s="89" t="s">
        <v>50</v>
      </c>
      <c r="G79" s="89" t="s">
        <v>416</v>
      </c>
      <c r="H79" s="50" t="s">
        <v>416</v>
      </c>
      <c r="I79" s="50"/>
      <c r="J79" s="50" t="s">
        <v>184</v>
      </c>
      <c r="K79" s="50" t="s">
        <v>365</v>
      </c>
      <c r="L79" s="50">
        <v>85</v>
      </c>
      <c r="M79" s="50" t="s">
        <v>39</v>
      </c>
      <c r="N79" s="50" t="s">
        <v>52</v>
      </c>
      <c r="O79" s="50" t="s">
        <v>41</v>
      </c>
      <c r="P79" s="131"/>
      <c r="Q79" s="50" t="s">
        <v>43</v>
      </c>
      <c r="R79" s="50" t="s">
        <v>41</v>
      </c>
      <c r="S79" s="50" t="s">
        <v>44</v>
      </c>
      <c r="T79" s="50">
        <v>443323594</v>
      </c>
      <c r="U79" s="50" t="s">
        <v>45</v>
      </c>
      <c r="V79" s="50" t="s">
        <v>53</v>
      </c>
      <c r="W79" s="50" t="s">
        <v>180</v>
      </c>
      <c r="X79" s="50" t="s">
        <v>62</v>
      </c>
      <c r="Y79" s="50">
        <v>20002</v>
      </c>
      <c r="Z79" s="50" t="s">
        <v>42</v>
      </c>
      <c r="AA79" s="50" t="s">
        <v>42</v>
      </c>
      <c r="AB79" s="50" t="s">
        <v>42</v>
      </c>
      <c r="AC79" s="50" t="s">
        <v>42</v>
      </c>
      <c r="AD79" s="50" t="s">
        <v>42</v>
      </c>
      <c r="AE79" s="50" t="s">
        <v>42</v>
      </c>
      <c r="AF79" s="50" t="s">
        <v>42</v>
      </c>
      <c r="AG79" s="50" t="s">
        <v>42</v>
      </c>
      <c r="AH79" s="50" t="s">
        <v>42</v>
      </c>
      <c r="AI79" s="50" t="s">
        <v>42</v>
      </c>
      <c r="AJ79" s="50" t="s">
        <v>42</v>
      </c>
      <c r="AK79" s="50" t="s">
        <v>42</v>
      </c>
      <c r="AL79" s="50" t="s">
        <v>42</v>
      </c>
      <c r="AM79" s="50" t="s">
        <v>46</v>
      </c>
      <c r="AN79" s="50" t="s">
        <v>41</v>
      </c>
      <c r="AO79" s="50" t="s">
        <v>42</v>
      </c>
      <c r="AP79" s="44" t="s">
        <v>364</v>
      </c>
      <c r="AQ79" s="44"/>
      <c r="AR79" s="182">
        <v>20000</v>
      </c>
      <c r="AS79" s="57">
        <v>2</v>
      </c>
      <c r="AT79" s="46">
        <v>41640</v>
      </c>
      <c r="AU79" s="44"/>
      <c r="AV79" s="50"/>
      <c r="AW79" s="50"/>
      <c r="AX79" s="50" t="s">
        <v>43</v>
      </c>
      <c r="AY79" s="50" t="s">
        <v>72</v>
      </c>
      <c r="AZ79" s="50" t="s">
        <v>43</v>
      </c>
      <c r="BA79" s="50"/>
      <c r="BB79" s="50"/>
      <c r="BC79" s="50" t="s">
        <v>43</v>
      </c>
      <c r="BD79" s="50" t="s">
        <v>42</v>
      </c>
      <c r="BE79" s="50" t="s">
        <v>43</v>
      </c>
      <c r="BF79" s="50" t="s">
        <v>43</v>
      </c>
      <c r="BG79" s="50" t="s">
        <v>43</v>
      </c>
      <c r="BH79" s="76">
        <f ca="1">AR79/INDIRECT("'Formula for FPL-2016'!B"&amp;'24 Core'!AS79)</f>
        <v>1.2484394506866416</v>
      </c>
      <c r="BI79" s="248">
        <f ca="1">AR79/INDIRECT("'Formula for FPL-2015'!B"&amp;'24 Core'!AS79)</f>
        <v>1.2554927809165097</v>
      </c>
      <c r="BJ79" s="76">
        <f ca="1">AR79/INDIRECT("'Formula for FPL-2014'!B"&amp;'24 Core'!AS79)</f>
        <v>1.2714558169103625</v>
      </c>
      <c r="BK79" s="47">
        <v>127.14</v>
      </c>
      <c r="BL79" s="50"/>
      <c r="BM79" s="105"/>
      <c r="BN79" s="105"/>
      <c r="BO79" s="106"/>
      <c r="BP79" s="55" t="s">
        <v>166</v>
      </c>
      <c r="BQ79" s="80" t="s">
        <v>510</v>
      </c>
      <c r="BR79" s="80" t="s">
        <v>510</v>
      </c>
      <c r="BS79" s="80" t="s">
        <v>510</v>
      </c>
      <c r="BT79" s="191">
        <f t="shared" si="19"/>
        <v>20000</v>
      </c>
      <c r="BU79" s="148">
        <f t="shared" si="20"/>
        <v>2</v>
      </c>
      <c r="BV79" s="126">
        <v>1.2554927809165097</v>
      </c>
      <c r="BW79" s="266"/>
      <c r="BX79" s="168"/>
      <c r="BY79" s="168"/>
      <c r="BZ79" s="168"/>
      <c r="CA79" s="168"/>
      <c r="CB79" s="200" t="s">
        <v>1009</v>
      </c>
      <c r="CC79" s="168"/>
      <c r="CD79" s="168"/>
      <c r="CE79" s="168"/>
      <c r="CF79" s="228"/>
      <c r="CG79" s="142" t="str">
        <f t="shared" si="21"/>
        <v>BLANK</v>
      </c>
      <c r="CH79" s="142" t="str">
        <f>IF(ISNUMBER(CF79),
      IF(EXACT(
           ROUND(BV79,3),
           $CF79),
      "PASS","FAIL"),
    IF(AND(BV79="NA",CF79="n/a"),"PASS","FAIL")
)</f>
        <v>FAIL</v>
      </c>
      <c r="CI79" s="268" t="str">
        <f>IF(COUNTIF(CG79:CH80, "FAIL")=0,"PASS","FAIL")</f>
        <v>FAIL</v>
      </c>
      <c r="CJ79" s="157"/>
      <c r="CK79" s="217"/>
      <c r="CL79" s="266"/>
      <c r="CM79" s="220"/>
      <c r="CN79" s="220"/>
      <c r="CO79" s="220"/>
      <c r="CP79" s="220"/>
      <c r="CQ79" s="220"/>
      <c r="CR79" s="241"/>
      <c r="CS79" s="125"/>
      <c r="CT79" s="142" t="str">
        <f t="shared" si="11"/>
        <v>BLANK</v>
      </c>
      <c r="CU79" s="142" t="str">
        <f t="shared" si="7"/>
        <v>FAIL</v>
      </c>
      <c r="CV79" s="268" t="str">
        <f>IF(COUNTIF(CT79:CU80, "FAIL")=0,"PASS","FAIL")</f>
        <v>FAIL</v>
      </c>
      <c r="CW79" s="157"/>
      <c r="CX79" s="217" t="s">
        <v>1056</v>
      </c>
    </row>
    <row r="80" spans="1:102" ht="51">
      <c r="A80" s="293"/>
      <c r="B80" s="198">
        <v>2</v>
      </c>
      <c r="C80" s="219"/>
      <c r="D80" s="308"/>
      <c r="E80" s="308"/>
      <c r="F80" s="89" t="s">
        <v>54</v>
      </c>
      <c r="G80" s="89" t="s">
        <v>417</v>
      </c>
      <c r="H80" s="50" t="s">
        <v>417</v>
      </c>
      <c r="I80" s="50"/>
      <c r="J80" s="50" t="s">
        <v>184</v>
      </c>
      <c r="K80" s="50" t="s">
        <v>365</v>
      </c>
      <c r="L80" s="50">
        <v>75</v>
      </c>
      <c r="M80" s="50" t="s">
        <v>48</v>
      </c>
      <c r="N80" s="50" t="s">
        <v>52</v>
      </c>
      <c r="O80" s="50" t="s">
        <v>41</v>
      </c>
      <c r="P80" s="131"/>
      <c r="Q80" s="50" t="s">
        <v>43</v>
      </c>
      <c r="R80" s="50" t="s">
        <v>41</v>
      </c>
      <c r="S80" s="50" t="s">
        <v>44</v>
      </c>
      <c r="T80" s="50">
        <v>443323595</v>
      </c>
      <c r="U80" s="50" t="s">
        <v>45</v>
      </c>
      <c r="V80" s="50" t="s">
        <v>53</v>
      </c>
      <c r="W80" s="50" t="s">
        <v>180</v>
      </c>
      <c r="X80" s="50" t="s">
        <v>62</v>
      </c>
      <c r="Y80" s="50">
        <v>20002</v>
      </c>
      <c r="Z80" s="50" t="s">
        <v>42</v>
      </c>
      <c r="AA80" s="50" t="s">
        <v>43</v>
      </c>
      <c r="AB80" s="50" t="s">
        <v>42</v>
      </c>
      <c r="AC80" s="50" t="s">
        <v>42</v>
      </c>
      <c r="AD80" s="50" t="s">
        <v>42</v>
      </c>
      <c r="AE80" s="50" t="s">
        <v>42</v>
      </c>
      <c r="AF80" s="50" t="s">
        <v>42</v>
      </c>
      <c r="AG80" s="50" t="s">
        <v>42</v>
      </c>
      <c r="AH80" s="50" t="s">
        <v>42</v>
      </c>
      <c r="AI80" s="50" t="s">
        <v>42</v>
      </c>
      <c r="AJ80" s="50" t="s">
        <v>42</v>
      </c>
      <c r="AK80" s="50" t="s">
        <v>366</v>
      </c>
      <c r="AL80" s="50" t="s">
        <v>42</v>
      </c>
      <c r="AM80" s="50" t="s">
        <v>58</v>
      </c>
      <c r="AN80" s="50" t="s">
        <v>42</v>
      </c>
      <c r="AO80" s="50" t="s">
        <v>50</v>
      </c>
      <c r="AP80" s="50"/>
      <c r="AQ80" s="115"/>
      <c r="AR80" s="182">
        <v>20000</v>
      </c>
      <c r="AS80" s="57">
        <v>2</v>
      </c>
      <c r="AT80" s="50"/>
      <c r="AU80" s="50"/>
      <c r="AV80" s="50"/>
      <c r="AW80" s="50"/>
      <c r="AX80" s="50" t="s">
        <v>43</v>
      </c>
      <c r="AY80" s="50" t="s">
        <v>72</v>
      </c>
      <c r="AZ80" s="50" t="s">
        <v>43</v>
      </c>
      <c r="BA80" s="50"/>
      <c r="BB80" s="50"/>
      <c r="BC80" s="50" t="s">
        <v>43</v>
      </c>
      <c r="BD80" s="50" t="s">
        <v>42</v>
      </c>
      <c r="BE80" s="50" t="s">
        <v>43</v>
      </c>
      <c r="BF80" s="50" t="s">
        <v>43</v>
      </c>
      <c r="BG80" s="50" t="s">
        <v>43</v>
      </c>
      <c r="BH80" s="76">
        <f ca="1">AR80/INDIRECT("'Formula for FPL-2016'!B"&amp;'24 Core'!AS80)</f>
        <v>1.2484394506866416</v>
      </c>
      <c r="BI80" s="248">
        <f ca="1">AR80/INDIRECT("'Formula for FPL-2015'!B"&amp;'24 Core'!AS80)</f>
        <v>1.2554927809165097</v>
      </c>
      <c r="BJ80" s="76">
        <f ca="1">AR80/INDIRECT("'Formula for FPL-2014'!B"&amp;'24 Core'!AS80)</f>
        <v>1.2714558169103625</v>
      </c>
      <c r="BK80" s="47">
        <v>127.14</v>
      </c>
      <c r="BL80" s="50"/>
      <c r="BM80" s="105"/>
      <c r="BN80" s="105"/>
      <c r="BO80" s="106"/>
      <c r="BP80" s="55" t="s">
        <v>166</v>
      </c>
      <c r="BQ80" s="80" t="s">
        <v>510</v>
      </c>
      <c r="BR80" s="80" t="s">
        <v>510</v>
      </c>
      <c r="BS80" s="80" t="s">
        <v>510</v>
      </c>
      <c r="BT80" s="191">
        <f t="shared" si="19"/>
        <v>20000</v>
      </c>
      <c r="BU80" s="148">
        <f t="shared" si="20"/>
        <v>2</v>
      </c>
      <c r="BV80" s="126">
        <v>1.2554927809165097</v>
      </c>
      <c r="BW80" s="267"/>
      <c r="BX80" s="168"/>
      <c r="BY80" s="168"/>
      <c r="BZ80" s="168"/>
      <c r="CA80" s="168"/>
      <c r="CB80" s="200"/>
      <c r="CC80" s="168"/>
      <c r="CD80" s="168"/>
      <c r="CE80" s="168"/>
      <c r="CF80" s="228"/>
      <c r="CG80" s="142" t="str">
        <f t="shared" si="21"/>
        <v>BLANK</v>
      </c>
      <c r="CH80" s="142" t="str">
        <f>IF(ISNUMBER(CF80),
      IF(EXACT(
           ROUND(BV80,3),
           $CF80),
      "PASS","FAIL"),
    IF(AND(BV80="NA",CF80="n/a"),"PASS","FAIL")
)</f>
        <v>FAIL</v>
      </c>
      <c r="CI80" s="269"/>
      <c r="CJ80" s="157"/>
      <c r="CK80" s="217"/>
      <c r="CL80" s="267"/>
      <c r="CM80" s="220"/>
      <c r="CN80" s="220"/>
      <c r="CO80" s="220"/>
      <c r="CP80" s="220"/>
      <c r="CQ80" s="220"/>
      <c r="CR80" s="241"/>
      <c r="CS80" s="125"/>
      <c r="CT80" s="142" t="str">
        <f t="shared" si="11"/>
        <v>BLANK</v>
      </c>
      <c r="CU80" s="142" t="str">
        <f t="shared" si="7"/>
        <v>FAIL</v>
      </c>
      <c r="CV80" s="269"/>
      <c r="CW80" s="157"/>
      <c r="CX80" s="217"/>
    </row>
    <row r="81" spans="1:102" ht="150.75" customHeight="1">
      <c r="A81" s="92">
        <v>21</v>
      </c>
      <c r="B81" s="198">
        <v>1</v>
      </c>
      <c r="C81" s="146" t="s">
        <v>1043</v>
      </c>
      <c r="D81" s="93" t="s">
        <v>376</v>
      </c>
      <c r="E81" s="90" t="s">
        <v>377</v>
      </c>
      <c r="F81" s="90" t="s">
        <v>260</v>
      </c>
      <c r="G81" s="90" t="s">
        <v>437</v>
      </c>
      <c r="H81" s="130" t="s">
        <v>438</v>
      </c>
      <c r="I81" s="130"/>
      <c r="J81" s="130" t="s">
        <v>178</v>
      </c>
      <c r="K81" s="130" t="s">
        <v>378</v>
      </c>
      <c r="L81" s="130">
        <v>30</v>
      </c>
      <c r="M81" s="130" t="s">
        <v>39</v>
      </c>
      <c r="N81" s="130" t="s">
        <v>40</v>
      </c>
      <c r="O81" s="130" t="s">
        <v>41</v>
      </c>
      <c r="P81" s="131"/>
      <c r="Q81" s="130" t="s">
        <v>43</v>
      </c>
      <c r="R81" s="130" t="s">
        <v>42</v>
      </c>
      <c r="S81" s="130" t="s">
        <v>44</v>
      </c>
      <c r="T81" s="130">
        <v>554447761</v>
      </c>
      <c r="U81" s="130" t="s">
        <v>45</v>
      </c>
      <c r="V81" s="130" t="s">
        <v>53</v>
      </c>
      <c r="W81" s="130" t="s">
        <v>180</v>
      </c>
      <c r="X81" s="130" t="s">
        <v>62</v>
      </c>
      <c r="Y81" s="130">
        <v>20002</v>
      </c>
      <c r="Z81" s="130" t="s">
        <v>42</v>
      </c>
      <c r="AA81" s="130" t="s">
        <v>42</v>
      </c>
      <c r="AB81" s="130" t="s">
        <v>42</v>
      </c>
      <c r="AC81" s="130" t="s">
        <v>42</v>
      </c>
      <c r="AD81" s="130" t="s">
        <v>42</v>
      </c>
      <c r="AE81" s="130" t="s">
        <v>42</v>
      </c>
      <c r="AF81" s="130" t="s">
        <v>42</v>
      </c>
      <c r="AG81" s="130" t="s">
        <v>42</v>
      </c>
      <c r="AH81" s="130" t="s">
        <v>42</v>
      </c>
      <c r="AI81" s="130" t="s">
        <v>42</v>
      </c>
      <c r="AJ81" s="130" t="s">
        <v>42</v>
      </c>
      <c r="AK81" s="130" t="s">
        <v>42</v>
      </c>
      <c r="AL81" s="130" t="s">
        <v>42</v>
      </c>
      <c r="AM81" s="130" t="s">
        <v>46</v>
      </c>
      <c r="AN81" s="130" t="s">
        <v>41</v>
      </c>
      <c r="AO81" s="130" t="s">
        <v>42</v>
      </c>
      <c r="AP81" s="132" t="s">
        <v>363</v>
      </c>
      <c r="AQ81" s="132"/>
      <c r="AR81" s="183">
        <v>10000</v>
      </c>
      <c r="AS81" s="133">
        <v>1</v>
      </c>
      <c r="AT81" s="134">
        <v>41640</v>
      </c>
      <c r="AU81" s="132"/>
      <c r="AV81" s="130"/>
      <c r="AW81" s="130"/>
      <c r="AX81" s="130" t="s">
        <v>43</v>
      </c>
      <c r="AY81" s="130" t="s">
        <v>72</v>
      </c>
      <c r="AZ81" s="130" t="s">
        <v>379</v>
      </c>
      <c r="BA81" s="130"/>
      <c r="BB81" s="130"/>
      <c r="BC81" s="130" t="s">
        <v>43</v>
      </c>
      <c r="BD81" s="130" t="s">
        <v>42</v>
      </c>
      <c r="BE81" s="130" t="s">
        <v>43</v>
      </c>
      <c r="BF81" s="130" t="s">
        <v>43</v>
      </c>
      <c r="BG81" s="130" t="s">
        <v>43</v>
      </c>
      <c r="BH81" s="76">
        <f ca="1">AR81/INDIRECT("'Formula for FPL-2016'!B"&amp;'24 Core'!AS81)</f>
        <v>0.84175084175084181</v>
      </c>
      <c r="BI81" s="248">
        <f ca="1">AR81/INDIRECT("'Formula for FPL-2015'!B"&amp;'24 Core'!AS81)</f>
        <v>0.84961767204757854</v>
      </c>
      <c r="BJ81" s="91">
        <f ca="1">AR81/INDIRECT("'Formula for FPL-2014'!B"&amp;'24 Core'!AS81)</f>
        <v>0.85689802913453295</v>
      </c>
      <c r="BK81" s="135">
        <v>85.86</v>
      </c>
      <c r="BL81" s="130"/>
      <c r="BM81" s="136"/>
      <c r="BN81" s="136"/>
      <c r="BO81" s="137"/>
      <c r="BP81" s="55" t="s">
        <v>166</v>
      </c>
      <c r="BQ81" s="80" t="s">
        <v>510</v>
      </c>
      <c r="BR81" s="80" t="s">
        <v>510</v>
      </c>
      <c r="BS81" s="80" t="s">
        <v>510</v>
      </c>
      <c r="BT81" s="186">
        <f t="shared" si="19"/>
        <v>10000</v>
      </c>
      <c r="BU81" s="149">
        <f t="shared" si="20"/>
        <v>1</v>
      </c>
      <c r="BV81" s="126">
        <v>0.84961767204757854</v>
      </c>
      <c r="BW81" s="92"/>
      <c r="BX81" s="169"/>
      <c r="BY81" s="169"/>
      <c r="BZ81" s="169"/>
      <c r="CA81" s="169"/>
      <c r="CB81" s="201" t="s">
        <v>1010</v>
      </c>
      <c r="CC81" s="201" t="s">
        <v>989</v>
      </c>
      <c r="CD81" s="214" t="s">
        <v>990</v>
      </c>
      <c r="CE81" s="214" t="s">
        <v>990</v>
      </c>
      <c r="CF81" s="214" t="s">
        <v>990</v>
      </c>
      <c r="CG81" s="142" t="str">
        <f t="shared" si="21"/>
        <v>PASS</v>
      </c>
      <c r="CH81" s="142" t="str">
        <f>IF(ISNUMBER(CF81),
      IF(EXACT(
           (ROUND(BV81,2)*100),
           $CF81),
      "PASS","FAIL"),
    IF(AND(BV81="NA",CF81="n/a"),"PASS","FAIL")
)</f>
        <v>FAIL</v>
      </c>
      <c r="CI81" s="153" t="str">
        <f>IF(COUNTIF(CG81:CH81, "FAIL")=0,"PASS","FAIL")</f>
        <v>FAIL</v>
      </c>
      <c r="CJ81" s="157"/>
      <c r="CK81" s="217" t="s">
        <v>1017</v>
      </c>
      <c r="CL81" s="92"/>
      <c r="CM81" s="223"/>
      <c r="CN81" s="223"/>
      <c r="CO81" s="223"/>
      <c r="CP81" s="223"/>
      <c r="CQ81" s="214"/>
      <c r="CR81" s="242"/>
      <c r="CS81" s="236"/>
      <c r="CT81" s="142" t="str">
        <f t="shared" si="11"/>
        <v>BLANK</v>
      </c>
      <c r="CU81" s="142" t="str">
        <f t="shared" si="7"/>
        <v>FAIL</v>
      </c>
      <c r="CV81" s="153" t="str">
        <f>IF(COUNTIF(CT81:CU81, "FAIL")=0,"PASS","FAIL")</f>
        <v>FAIL</v>
      </c>
      <c r="CW81" s="157"/>
      <c r="CX81" s="217" t="s">
        <v>1057</v>
      </c>
    </row>
    <row r="82" spans="1:102" ht="76.5" customHeight="1">
      <c r="A82" s="80">
        <v>22</v>
      </c>
      <c r="B82" s="198">
        <v>1</v>
      </c>
      <c r="C82" s="224" t="s">
        <v>1044</v>
      </c>
      <c r="D82" s="102" t="s">
        <v>570</v>
      </c>
      <c r="E82" s="102" t="s">
        <v>571</v>
      </c>
      <c r="F82" s="102" t="s">
        <v>524</v>
      </c>
      <c r="G82" s="102" t="s">
        <v>525</v>
      </c>
      <c r="H82" s="102" t="s">
        <v>526</v>
      </c>
      <c r="I82" s="102" t="s">
        <v>51</v>
      </c>
      <c r="J82" s="102" t="s">
        <v>178</v>
      </c>
      <c r="K82" s="102" t="s">
        <v>71</v>
      </c>
      <c r="L82" s="102">
        <v>50</v>
      </c>
      <c r="M82" s="102" t="s">
        <v>48</v>
      </c>
      <c r="N82" s="102" t="s">
        <v>40</v>
      </c>
      <c r="O82" s="102" t="s">
        <v>41</v>
      </c>
      <c r="P82" s="131" t="s">
        <v>42</v>
      </c>
      <c r="Q82" s="102" t="s">
        <v>43</v>
      </c>
      <c r="R82" s="102" t="s">
        <v>42</v>
      </c>
      <c r="S82" s="102" t="s">
        <v>44</v>
      </c>
      <c r="T82" s="102">
        <v>253453453</v>
      </c>
      <c r="U82" s="102" t="s">
        <v>45</v>
      </c>
      <c r="V82" s="102" t="s">
        <v>53</v>
      </c>
      <c r="W82" s="102" t="s">
        <v>180</v>
      </c>
      <c r="X82" s="102" t="s">
        <v>62</v>
      </c>
      <c r="Y82" s="102">
        <v>20002</v>
      </c>
      <c r="Z82" s="102" t="s">
        <v>42</v>
      </c>
      <c r="AA82" s="102" t="s">
        <v>43</v>
      </c>
      <c r="AB82" s="102" t="s">
        <v>42</v>
      </c>
      <c r="AC82" s="102" t="s">
        <v>42</v>
      </c>
      <c r="AD82" s="102" t="s">
        <v>42</v>
      </c>
      <c r="AE82" s="102" t="s">
        <v>42</v>
      </c>
      <c r="AF82" s="102" t="s">
        <v>42</v>
      </c>
      <c r="AG82" s="102" t="s">
        <v>42</v>
      </c>
      <c r="AH82" s="102" t="s">
        <v>42</v>
      </c>
      <c r="AI82" s="102" t="s">
        <v>42</v>
      </c>
      <c r="AJ82" s="102" t="s">
        <v>42</v>
      </c>
      <c r="AK82" s="102" t="s">
        <v>42</v>
      </c>
      <c r="AL82" s="102" t="s">
        <v>42</v>
      </c>
      <c r="AM82" s="102" t="s">
        <v>46</v>
      </c>
      <c r="AN82" s="102" t="s">
        <v>43</v>
      </c>
      <c r="AO82" s="102" t="s">
        <v>43</v>
      </c>
      <c r="AP82" s="44" t="s">
        <v>527</v>
      </c>
      <c r="AQ82" s="121"/>
      <c r="AR82" s="185">
        <f>1038.46*26</f>
        <v>26999.96</v>
      </c>
      <c r="AS82" s="109">
        <v>1</v>
      </c>
      <c r="AT82" s="105"/>
      <c r="AU82" s="105"/>
      <c r="AV82" s="102"/>
      <c r="AW82" s="102"/>
      <c r="AX82" s="102" t="s">
        <v>43</v>
      </c>
      <c r="AY82" s="102" t="s">
        <v>72</v>
      </c>
      <c r="AZ82" s="102" t="s">
        <v>43</v>
      </c>
      <c r="BA82" s="105"/>
      <c r="BB82" s="105"/>
      <c r="BC82" s="102" t="s">
        <v>43</v>
      </c>
      <c r="BD82" s="102" t="s">
        <v>42</v>
      </c>
      <c r="BE82" s="102" t="s">
        <v>43</v>
      </c>
      <c r="BF82" s="102" t="s">
        <v>43</v>
      </c>
      <c r="BG82" s="102" t="s">
        <v>43</v>
      </c>
      <c r="BH82" s="76" t="s">
        <v>874</v>
      </c>
      <c r="BI82" s="248">
        <f ca="1">AR82/INDIRECT("'Formula for FPL-2015'!B"&amp;'24 Core'!AS82)</f>
        <v>2.2939643160577741</v>
      </c>
      <c r="BJ82" s="76">
        <f ca="1">AR82/INDIRECT("'Formula for FPL-2014'!B"&amp;'24 Core'!AS82)</f>
        <v>2.3136212510711225</v>
      </c>
      <c r="BK82" s="47">
        <v>231.36</v>
      </c>
      <c r="BL82" s="106"/>
      <c r="BM82" s="102">
        <v>187</v>
      </c>
      <c r="BN82" s="104">
        <f>SUM(355.68)</f>
        <v>355.68</v>
      </c>
      <c r="BO82" s="104">
        <v>353.62</v>
      </c>
      <c r="BP82" s="55" t="s">
        <v>168</v>
      </c>
      <c r="BQ82" s="80" t="s">
        <v>510</v>
      </c>
      <c r="BR82" s="80" t="s">
        <v>509</v>
      </c>
      <c r="BS82" s="80" t="s">
        <v>509</v>
      </c>
      <c r="BT82" s="192">
        <f t="shared" si="19"/>
        <v>26999.96</v>
      </c>
      <c r="BU82" s="150">
        <f t="shared" si="20"/>
        <v>1</v>
      </c>
      <c r="BV82" s="126">
        <v>2.294</v>
      </c>
      <c r="BW82" s="127"/>
      <c r="BX82" s="170"/>
      <c r="BY82" s="170"/>
      <c r="BZ82" s="170"/>
      <c r="CA82" s="170"/>
      <c r="CB82" s="203" t="s">
        <v>1011</v>
      </c>
      <c r="CC82" s="170" t="s">
        <v>988</v>
      </c>
      <c r="CD82" s="170">
        <v>1</v>
      </c>
      <c r="CE82" s="170">
        <v>27000</v>
      </c>
      <c r="CF82" s="107">
        <v>2.2726999999999999</v>
      </c>
      <c r="CG82" s="142" t="str">
        <f t="shared" si="21"/>
        <v>PASS</v>
      </c>
      <c r="CH82" s="142" t="str">
        <f>IF(ISNUMBER(CF82),
      IF(EXACT(
           (ROUND(BV82,2)*100),
           $CF82),
      "PASS","FAIL"),
    IF(AND(BV82="NA",CF82="n/a"),"PASS","FAIL")
)</f>
        <v>FAIL</v>
      </c>
      <c r="CI82" s="154" t="str">
        <f>IF(COUNTIF(CG82:CH82, "FAIL")=0,"PASS","FAIL")</f>
        <v>FAIL</v>
      </c>
      <c r="CJ82" s="154"/>
      <c r="CK82" s="49" t="s">
        <v>1018</v>
      </c>
      <c r="CL82" s="127"/>
      <c r="CM82" s="222"/>
      <c r="CN82" s="222"/>
      <c r="CO82" s="222"/>
      <c r="CP82" s="222"/>
      <c r="CQ82" s="222"/>
      <c r="CR82" s="47"/>
      <c r="CS82" s="107"/>
      <c r="CT82" s="142" t="str">
        <f t="shared" si="11"/>
        <v>BLANK</v>
      </c>
      <c r="CU82" s="142" t="str">
        <f t="shared" si="7"/>
        <v>FAIL</v>
      </c>
      <c r="CV82" s="154" t="str">
        <f>IF(COUNTIF(CT82:CU82, "FAIL")=0,"PASS","FAIL")</f>
        <v>FAIL</v>
      </c>
      <c r="CW82" s="154"/>
      <c r="CX82" s="49" t="s">
        <v>1088</v>
      </c>
    </row>
    <row r="83" spans="1:102" ht="42.75" customHeight="1">
      <c r="A83" s="336">
        <v>23</v>
      </c>
      <c r="B83" s="198">
        <v>1</v>
      </c>
      <c r="C83" s="224" t="s">
        <v>1045</v>
      </c>
      <c r="D83" s="336" t="s">
        <v>572</v>
      </c>
      <c r="E83" s="336" t="s">
        <v>1058</v>
      </c>
      <c r="F83" s="130" t="s">
        <v>189</v>
      </c>
      <c r="G83" s="130" t="s">
        <v>528</v>
      </c>
      <c r="H83" s="130" t="s">
        <v>529</v>
      </c>
      <c r="I83" s="130" t="s">
        <v>51</v>
      </c>
      <c r="J83" s="130" t="s">
        <v>51</v>
      </c>
      <c r="K83" s="130" t="s">
        <v>70</v>
      </c>
      <c r="L83" s="130">
        <v>40</v>
      </c>
      <c r="M83" s="130" t="s">
        <v>39</v>
      </c>
      <c r="N83" s="130" t="s">
        <v>52</v>
      </c>
      <c r="O83" s="130" t="s">
        <v>41</v>
      </c>
      <c r="P83" s="131" t="s">
        <v>42</v>
      </c>
      <c r="Q83" s="130" t="s">
        <v>43</v>
      </c>
      <c r="R83" s="130" t="s">
        <v>41</v>
      </c>
      <c r="S83" s="130" t="s">
        <v>44</v>
      </c>
      <c r="T83" s="130">
        <v>253453453</v>
      </c>
      <c r="U83" s="130" t="s">
        <v>45</v>
      </c>
      <c r="V83" s="130" t="s">
        <v>53</v>
      </c>
      <c r="W83" s="130" t="s">
        <v>180</v>
      </c>
      <c r="X83" s="130" t="s">
        <v>62</v>
      </c>
      <c r="Y83" s="130">
        <v>20002</v>
      </c>
      <c r="Z83" s="130" t="s">
        <v>42</v>
      </c>
      <c r="AA83" s="130" t="s">
        <v>42</v>
      </c>
      <c r="AB83" s="130" t="s">
        <v>42</v>
      </c>
      <c r="AC83" s="130" t="s">
        <v>42</v>
      </c>
      <c r="AD83" s="130" t="s">
        <v>42</v>
      </c>
      <c r="AE83" s="130" t="s">
        <v>42</v>
      </c>
      <c r="AF83" s="130" t="s">
        <v>42</v>
      </c>
      <c r="AG83" s="130" t="s">
        <v>42</v>
      </c>
      <c r="AH83" s="130" t="s">
        <v>42</v>
      </c>
      <c r="AI83" s="130" t="s">
        <v>42</v>
      </c>
      <c r="AJ83" s="130" t="s">
        <v>42</v>
      </c>
      <c r="AK83" s="130" t="s">
        <v>69</v>
      </c>
      <c r="AL83" s="130" t="s">
        <v>41</v>
      </c>
      <c r="AM83" s="130" t="s">
        <v>46</v>
      </c>
      <c r="AN83" s="130" t="s">
        <v>41</v>
      </c>
      <c r="AO83" s="130" t="s">
        <v>42</v>
      </c>
      <c r="AP83" s="130" t="s">
        <v>530</v>
      </c>
      <c r="AQ83" s="130" t="s">
        <v>587</v>
      </c>
      <c r="AR83" s="186">
        <f>18000+38728.56</f>
        <v>56728.56</v>
      </c>
      <c r="AS83" s="130">
        <v>3</v>
      </c>
      <c r="AT83" s="130"/>
      <c r="AU83" s="130"/>
      <c r="AV83" s="130"/>
      <c r="AW83" s="130"/>
      <c r="AX83" s="130" t="s">
        <v>43</v>
      </c>
      <c r="AY83" s="130" t="s">
        <v>72</v>
      </c>
      <c r="AZ83" s="130" t="s">
        <v>43</v>
      </c>
      <c r="BA83" s="130"/>
      <c r="BB83" s="130"/>
      <c r="BC83" s="130" t="s">
        <v>43</v>
      </c>
      <c r="BD83" s="130" t="s">
        <v>42</v>
      </c>
      <c r="BE83" s="130" t="s">
        <v>43</v>
      </c>
      <c r="BF83" s="130" t="s">
        <v>43</v>
      </c>
      <c r="BG83" s="130" t="s">
        <v>43</v>
      </c>
      <c r="BH83" s="76" t="s">
        <v>874</v>
      </c>
      <c r="BI83" s="126">
        <f ca="1">AR83/INDIRECT("'Formula for FPL-2015'!B"&amp;'24 Core'!AS83)</f>
        <v>2.8237212543554007</v>
      </c>
      <c r="BJ83" s="124">
        <f ca="1">AR83/INDIRECT("'Formula for FPL-2014'!B"&amp;'24 Core'!AS83)</f>
        <v>2.8665265285497723</v>
      </c>
      <c r="BK83" s="130">
        <v>286.64999999999998</v>
      </c>
      <c r="BL83" s="130"/>
      <c r="BM83" s="130">
        <v>103</v>
      </c>
      <c r="BN83" s="130">
        <v>536.08000000000004</v>
      </c>
      <c r="BO83" s="130">
        <v>532.77</v>
      </c>
      <c r="BP83" s="55" t="s">
        <v>167</v>
      </c>
      <c r="BQ83" s="80" t="s">
        <v>510</v>
      </c>
      <c r="BR83" s="80" t="s">
        <v>509</v>
      </c>
      <c r="BS83" s="80" t="s">
        <v>510</v>
      </c>
      <c r="BT83" s="186">
        <f t="shared" si="19"/>
        <v>56728.56</v>
      </c>
      <c r="BU83" s="149">
        <f t="shared" si="20"/>
        <v>3</v>
      </c>
      <c r="BV83" s="126">
        <v>2.8237000000000001</v>
      </c>
      <c r="BW83" s="249"/>
      <c r="BX83" s="169"/>
      <c r="BY83" s="169"/>
      <c r="BZ83" s="169"/>
      <c r="CA83" s="169"/>
      <c r="CB83" s="201" t="s">
        <v>1012</v>
      </c>
      <c r="CC83" s="169"/>
      <c r="CD83" s="169"/>
      <c r="CE83" s="169"/>
      <c r="CF83" s="124"/>
      <c r="CG83" s="142" t="str">
        <f t="shared" si="21"/>
        <v>BLANK</v>
      </c>
      <c r="CH83" s="142" t="str">
        <f>IF(ISNUMBER(CF83),
      IF(EXACT(
           (ROUND(BV83,2)*100),
           $CF83),
      "PASS","FAIL"),
    IF(AND(BV83="NA",CF83="n/a"),"PASS","FAIL")
)</f>
        <v>FAIL</v>
      </c>
      <c r="CI83" s="252" t="str">
        <f>IF(COUNTIF(CG83:CH85, "FAIL")=0,"PASS","FAIL")</f>
        <v>FAIL</v>
      </c>
      <c r="CJ83" s="268"/>
      <c r="CK83" s="49"/>
      <c r="CL83" s="249"/>
      <c r="CM83" s="223"/>
      <c r="CN83" s="223"/>
      <c r="CO83" s="223"/>
      <c r="CP83" s="223"/>
      <c r="CQ83" s="223"/>
      <c r="CR83" s="135"/>
      <c r="CS83" s="124"/>
      <c r="CT83" s="142" t="str">
        <f t="shared" si="11"/>
        <v>BLANK</v>
      </c>
      <c r="CU83" s="142" t="str">
        <f t="shared" si="7"/>
        <v>FAIL</v>
      </c>
      <c r="CV83" s="252" t="str">
        <f>IF(COUNTIF(CT83:CU85, "FAIL")=0,"PASS","FAIL")</f>
        <v>FAIL</v>
      </c>
      <c r="CW83" s="268"/>
      <c r="CX83" s="49" t="s">
        <v>1089</v>
      </c>
    </row>
    <row r="84" spans="1:102" ht="39" customHeight="1">
      <c r="A84" s="337"/>
      <c r="B84" s="198">
        <v>2</v>
      </c>
      <c r="C84" s="225"/>
      <c r="D84" s="337"/>
      <c r="E84" s="337"/>
      <c r="F84" s="130" t="s">
        <v>183</v>
      </c>
      <c r="G84" s="130" t="s">
        <v>531</v>
      </c>
      <c r="H84" s="130" t="s">
        <v>532</v>
      </c>
      <c r="I84" s="130" t="s">
        <v>51</v>
      </c>
      <c r="J84" s="130" t="s">
        <v>178</v>
      </c>
      <c r="K84" s="130" t="s">
        <v>70</v>
      </c>
      <c r="L84" s="130">
        <v>45</v>
      </c>
      <c r="M84" s="130" t="s">
        <v>48</v>
      </c>
      <c r="N84" s="130" t="s">
        <v>52</v>
      </c>
      <c r="O84" s="130" t="s">
        <v>41</v>
      </c>
      <c r="P84" s="131" t="s">
        <v>42</v>
      </c>
      <c r="Q84" s="130" t="s">
        <v>43</v>
      </c>
      <c r="R84" s="130" t="s">
        <v>41</v>
      </c>
      <c r="S84" s="130" t="s">
        <v>44</v>
      </c>
      <c r="T84" s="130">
        <v>232454534</v>
      </c>
      <c r="U84" s="130" t="s">
        <v>45</v>
      </c>
      <c r="V84" s="130" t="s">
        <v>53</v>
      </c>
      <c r="W84" s="130" t="s">
        <v>180</v>
      </c>
      <c r="X84" s="130" t="s">
        <v>62</v>
      </c>
      <c r="Y84" s="130">
        <v>20002</v>
      </c>
      <c r="Z84" s="130" t="s">
        <v>42</v>
      </c>
      <c r="AA84" s="130" t="s">
        <v>43</v>
      </c>
      <c r="AB84" s="130" t="s">
        <v>42</v>
      </c>
      <c r="AC84" s="130" t="s">
        <v>42</v>
      </c>
      <c r="AD84" s="130" t="s">
        <v>42</v>
      </c>
      <c r="AE84" s="130" t="s">
        <v>42</v>
      </c>
      <c r="AF84" s="130" t="s">
        <v>42</v>
      </c>
      <c r="AG84" s="130" t="s">
        <v>42</v>
      </c>
      <c r="AH84" s="130" t="s">
        <v>42</v>
      </c>
      <c r="AI84" s="130" t="s">
        <v>42</v>
      </c>
      <c r="AJ84" s="130" t="s">
        <v>42</v>
      </c>
      <c r="AK84" s="130" t="s">
        <v>69</v>
      </c>
      <c r="AL84" s="130" t="s">
        <v>41</v>
      </c>
      <c r="AM84" s="130" t="s">
        <v>46</v>
      </c>
      <c r="AN84" s="130" t="s">
        <v>41</v>
      </c>
      <c r="AO84" s="130" t="s">
        <v>42</v>
      </c>
      <c r="AP84" s="130" t="s">
        <v>533</v>
      </c>
      <c r="AQ84" s="130" t="s">
        <v>598</v>
      </c>
      <c r="AR84" s="186">
        <f t="shared" ref="AR84:AR85" si="22">18000+38728.56</f>
        <v>56728.56</v>
      </c>
      <c r="AS84" s="130">
        <v>3</v>
      </c>
      <c r="AT84" s="130"/>
      <c r="AU84" s="130"/>
      <c r="AV84" s="130"/>
      <c r="AW84" s="130"/>
      <c r="AX84" s="130" t="s">
        <v>43</v>
      </c>
      <c r="AY84" s="130" t="s">
        <v>72</v>
      </c>
      <c r="AZ84" s="130" t="s">
        <v>43</v>
      </c>
      <c r="BA84" s="130"/>
      <c r="BB84" s="130"/>
      <c r="BC84" s="130" t="s">
        <v>43</v>
      </c>
      <c r="BD84" s="130" t="s">
        <v>42</v>
      </c>
      <c r="BE84" s="130" t="s">
        <v>43</v>
      </c>
      <c r="BF84" s="130" t="s">
        <v>43</v>
      </c>
      <c r="BG84" s="130" t="s">
        <v>43</v>
      </c>
      <c r="BH84" s="76" t="s">
        <v>874</v>
      </c>
      <c r="BI84" s="126">
        <f ca="1">AR84/INDIRECT("'Formula for FPL-2015'!B"&amp;'24 Core'!AS84)</f>
        <v>2.8237212543554007</v>
      </c>
      <c r="BJ84" s="124">
        <f ca="1">AR84/INDIRECT("'Formula for FPL-2014'!B"&amp;'24 Core'!AS84)</f>
        <v>2.8665265285497723</v>
      </c>
      <c r="BK84" s="130">
        <v>286.64999999999998</v>
      </c>
      <c r="BL84" s="130"/>
      <c r="BM84" s="130">
        <v>103</v>
      </c>
      <c r="BN84" s="130">
        <v>536.08000000000004</v>
      </c>
      <c r="BO84" s="130">
        <v>532.77</v>
      </c>
      <c r="BP84" s="55" t="s">
        <v>167</v>
      </c>
      <c r="BQ84" s="80" t="s">
        <v>510</v>
      </c>
      <c r="BR84" s="80" t="s">
        <v>509</v>
      </c>
      <c r="BS84" s="80" t="s">
        <v>510</v>
      </c>
      <c r="BT84" s="186">
        <f t="shared" si="19"/>
        <v>56728.56</v>
      </c>
      <c r="BU84" s="149">
        <f t="shared" si="20"/>
        <v>3</v>
      </c>
      <c r="BV84" s="126">
        <v>2.8237000000000001</v>
      </c>
      <c r="BW84" s="250"/>
      <c r="BX84" s="169"/>
      <c r="BY84" s="169"/>
      <c r="BZ84" s="169"/>
      <c r="CA84" s="169"/>
      <c r="CB84" s="201"/>
      <c r="CC84" s="169"/>
      <c r="CD84" s="169"/>
      <c r="CE84" s="169"/>
      <c r="CF84" s="124"/>
      <c r="CG84" s="142" t="str">
        <f t="shared" si="21"/>
        <v>BLANK</v>
      </c>
      <c r="CH84" s="142" t="str">
        <f>IF(ISNUMBER(CF84),
      IF(EXACT(
           (ROUND(BV84,2)*100),
           $CF84),
      "PASS","FAIL"),
    IF(AND(BV84="NA",CF84="n/a"),"PASS","FAIL")
)</f>
        <v>FAIL</v>
      </c>
      <c r="CI84" s="253"/>
      <c r="CJ84" s="270"/>
      <c r="CK84" s="49"/>
      <c r="CL84" s="250"/>
      <c r="CM84" s="223"/>
      <c r="CN84" s="223"/>
      <c r="CO84" s="223"/>
      <c r="CP84" s="223"/>
      <c r="CQ84" s="223"/>
      <c r="CR84" s="135"/>
      <c r="CS84" s="124"/>
      <c r="CT84" s="142" t="str">
        <f t="shared" si="11"/>
        <v>BLANK</v>
      </c>
      <c r="CU84" s="142" t="str">
        <f t="shared" si="7"/>
        <v>FAIL</v>
      </c>
      <c r="CV84" s="253"/>
      <c r="CW84" s="270"/>
      <c r="CX84" s="49" t="s">
        <v>1090</v>
      </c>
    </row>
    <row r="85" spans="1:102" ht="30.75" customHeight="1">
      <c r="A85" s="338"/>
      <c r="B85" s="198">
        <v>3</v>
      </c>
      <c r="C85" s="225"/>
      <c r="D85" s="338"/>
      <c r="E85" s="338"/>
      <c r="F85" s="130" t="s">
        <v>534</v>
      </c>
      <c r="G85" s="130" t="s">
        <v>535</v>
      </c>
      <c r="H85" s="130" t="s">
        <v>529</v>
      </c>
      <c r="I85" s="130" t="s">
        <v>536</v>
      </c>
      <c r="J85" s="130" t="s">
        <v>536</v>
      </c>
      <c r="K85" s="130" t="s">
        <v>537</v>
      </c>
      <c r="L85" s="130">
        <v>16</v>
      </c>
      <c r="M85" s="130" t="s">
        <v>48</v>
      </c>
      <c r="N85" s="130" t="s">
        <v>40</v>
      </c>
      <c r="O85" s="130" t="s">
        <v>41</v>
      </c>
      <c r="P85" s="131" t="s">
        <v>42</v>
      </c>
      <c r="Q85" s="130" t="s">
        <v>43</v>
      </c>
      <c r="R85" s="130" t="s">
        <v>41</v>
      </c>
      <c r="S85" s="130" t="s">
        <v>44</v>
      </c>
      <c r="T85" s="130">
        <v>456098710</v>
      </c>
      <c r="U85" s="130" t="s">
        <v>45</v>
      </c>
      <c r="V85" s="130" t="s">
        <v>53</v>
      </c>
      <c r="W85" s="130" t="s">
        <v>180</v>
      </c>
      <c r="X85" s="130" t="s">
        <v>62</v>
      </c>
      <c r="Y85" s="130">
        <v>20002</v>
      </c>
      <c r="Z85" s="130" t="s">
        <v>42</v>
      </c>
      <c r="AA85" s="130" t="s">
        <v>43</v>
      </c>
      <c r="AB85" s="130" t="s">
        <v>42</v>
      </c>
      <c r="AC85" s="130" t="s">
        <v>42</v>
      </c>
      <c r="AD85" s="130" t="s">
        <v>42</v>
      </c>
      <c r="AE85" s="130" t="s">
        <v>42</v>
      </c>
      <c r="AF85" s="130" t="s">
        <v>42</v>
      </c>
      <c r="AG85" s="130" t="s">
        <v>42</v>
      </c>
      <c r="AH85" s="130" t="s">
        <v>42</v>
      </c>
      <c r="AI85" s="130" t="s">
        <v>42</v>
      </c>
      <c r="AJ85" s="130" t="s">
        <v>42</v>
      </c>
      <c r="AK85" s="130" t="s">
        <v>42</v>
      </c>
      <c r="AL85" s="130" t="s">
        <v>42</v>
      </c>
      <c r="AM85" s="130" t="s">
        <v>58</v>
      </c>
      <c r="AN85" s="130" t="s">
        <v>43</v>
      </c>
      <c r="AO85" s="130" t="s">
        <v>189</v>
      </c>
      <c r="AP85" s="130" t="s">
        <v>538</v>
      </c>
      <c r="AQ85" s="130" t="s">
        <v>599</v>
      </c>
      <c r="AR85" s="186">
        <f t="shared" si="22"/>
        <v>56728.56</v>
      </c>
      <c r="AS85" s="130">
        <v>3</v>
      </c>
      <c r="AT85" s="130"/>
      <c r="AU85" s="130"/>
      <c r="AV85" s="130"/>
      <c r="AW85" s="130"/>
      <c r="AX85" s="130" t="s">
        <v>43</v>
      </c>
      <c r="AY85" s="130" t="s">
        <v>72</v>
      </c>
      <c r="AZ85" s="130" t="s">
        <v>43</v>
      </c>
      <c r="BA85" s="130"/>
      <c r="BB85" s="130"/>
      <c r="BC85" s="130" t="s">
        <v>43</v>
      </c>
      <c r="BD85" s="130" t="s">
        <v>42</v>
      </c>
      <c r="BE85" s="130" t="s">
        <v>43</v>
      </c>
      <c r="BF85" s="130" t="s">
        <v>43</v>
      </c>
      <c r="BG85" s="130" t="s">
        <v>43</v>
      </c>
      <c r="BH85" s="76" t="s">
        <v>874</v>
      </c>
      <c r="BI85" s="124">
        <f ca="1">AR85/INDIRECT("'Formula for FPL-2015'!B"&amp;'24 Core'!AS85)</f>
        <v>2.8237212543554007</v>
      </c>
      <c r="BJ85" s="124">
        <f ca="1">AR85/INDIRECT("'Formula for FPL-2014'!B"&amp;'24 Core'!AS85)</f>
        <v>2.8665265285497723</v>
      </c>
      <c r="BK85" s="130">
        <v>286.64999999999998</v>
      </c>
      <c r="BL85" s="130"/>
      <c r="BM85" s="130" t="s">
        <v>566</v>
      </c>
      <c r="BN85" s="130" t="s">
        <v>566</v>
      </c>
      <c r="BO85" s="130" t="s">
        <v>566</v>
      </c>
      <c r="BP85" s="130" t="s">
        <v>565</v>
      </c>
      <c r="BQ85" s="80" t="s">
        <v>509</v>
      </c>
      <c r="BR85" s="80" t="s">
        <v>510</v>
      </c>
      <c r="BS85" s="80" t="s">
        <v>510</v>
      </c>
      <c r="BT85" s="186">
        <f t="shared" si="19"/>
        <v>56728.56</v>
      </c>
      <c r="BU85" s="149">
        <f t="shared" si="20"/>
        <v>3</v>
      </c>
      <c r="BV85" s="124">
        <v>2.8237000000000001</v>
      </c>
      <c r="BW85" s="251"/>
      <c r="BX85" s="169"/>
      <c r="BY85" s="169"/>
      <c r="BZ85" s="169"/>
      <c r="CA85" s="169"/>
      <c r="CB85" s="201"/>
      <c r="CC85" s="169"/>
      <c r="CD85" s="169"/>
      <c r="CE85" s="169"/>
      <c r="CF85" s="124"/>
      <c r="CG85" s="142" t="str">
        <f t="shared" si="21"/>
        <v>BLANK</v>
      </c>
      <c r="CH85" s="142" t="str">
        <f>IF(ISNUMBER(CF85),
      IF(EXACT(
           (ROUND(BV85,2)*100),
           $CF85),
      "PASS","FAIL"),
    IF(AND(BV85="NA",CF85="n/a"),"PASS","FAIL")
)</f>
        <v>FAIL</v>
      </c>
      <c r="CI85" s="254"/>
      <c r="CJ85" s="271"/>
      <c r="CK85" s="49"/>
      <c r="CL85" s="251"/>
      <c r="CM85" s="223"/>
      <c r="CN85" s="223"/>
      <c r="CO85" s="223"/>
      <c r="CP85" s="223"/>
      <c r="CQ85" s="223"/>
      <c r="CR85" s="135"/>
      <c r="CS85" s="124"/>
      <c r="CT85" s="142" t="str">
        <f t="shared" si="11"/>
        <v>BLANK</v>
      </c>
      <c r="CU85" s="142" t="str">
        <f t="shared" si="7"/>
        <v>FAIL</v>
      </c>
      <c r="CV85" s="254"/>
      <c r="CW85" s="271"/>
      <c r="CX85" s="49" t="s">
        <v>1091</v>
      </c>
    </row>
    <row r="86" spans="1:102" ht="57.75" customHeight="1">
      <c r="A86" s="339">
        <v>24</v>
      </c>
      <c r="B86" s="198">
        <v>1</v>
      </c>
      <c r="C86" s="224" t="s">
        <v>1046</v>
      </c>
      <c r="D86" s="330" t="s">
        <v>574</v>
      </c>
      <c r="E86" s="330" t="s">
        <v>575</v>
      </c>
      <c r="F86" s="102" t="s">
        <v>54</v>
      </c>
      <c r="G86" s="102" t="s">
        <v>539</v>
      </c>
      <c r="H86" s="102" t="s">
        <v>532</v>
      </c>
      <c r="I86" s="102" t="s">
        <v>51</v>
      </c>
      <c r="J86" s="102" t="s">
        <v>178</v>
      </c>
      <c r="K86" s="102" t="s">
        <v>540</v>
      </c>
      <c r="L86" s="102">
        <v>60</v>
      </c>
      <c r="M86" s="102" t="s">
        <v>48</v>
      </c>
      <c r="N86" s="102" t="s">
        <v>52</v>
      </c>
      <c r="O86" s="102" t="s">
        <v>41</v>
      </c>
      <c r="P86" s="131" t="s">
        <v>43</v>
      </c>
      <c r="Q86" s="102" t="s">
        <v>43</v>
      </c>
      <c r="R86" s="102" t="s">
        <v>41</v>
      </c>
      <c r="S86" s="102" t="s">
        <v>44</v>
      </c>
      <c r="T86" s="102">
        <v>367865533</v>
      </c>
      <c r="U86" s="102" t="s">
        <v>45</v>
      </c>
      <c r="V86" s="102" t="s">
        <v>53</v>
      </c>
      <c r="W86" s="102" t="s">
        <v>180</v>
      </c>
      <c r="X86" s="102" t="s">
        <v>62</v>
      </c>
      <c r="Y86" s="102">
        <v>20002</v>
      </c>
      <c r="Z86" s="102" t="s">
        <v>42</v>
      </c>
      <c r="AA86" s="102" t="s">
        <v>43</v>
      </c>
      <c r="AB86" s="102" t="s">
        <v>42</v>
      </c>
      <c r="AC86" s="102" t="s">
        <v>42</v>
      </c>
      <c r="AD86" s="102" t="s">
        <v>42</v>
      </c>
      <c r="AE86" s="102" t="s">
        <v>42</v>
      </c>
      <c r="AF86" s="102" t="s">
        <v>42</v>
      </c>
      <c r="AG86" s="102" t="s">
        <v>42</v>
      </c>
      <c r="AH86" s="102" t="s">
        <v>42</v>
      </c>
      <c r="AI86" s="102" t="s">
        <v>42</v>
      </c>
      <c r="AJ86" s="102" t="s">
        <v>42</v>
      </c>
      <c r="AK86" s="102" t="s">
        <v>541</v>
      </c>
      <c r="AL86" s="102" t="s">
        <v>41</v>
      </c>
      <c r="AM86" s="102" t="s">
        <v>46</v>
      </c>
      <c r="AN86" s="102" t="s">
        <v>41</v>
      </c>
      <c r="AO86" s="102" t="s">
        <v>42</v>
      </c>
      <c r="AP86" s="102" t="s">
        <v>542</v>
      </c>
      <c r="AQ86" s="49" t="s">
        <v>1072</v>
      </c>
      <c r="AR86" s="187">
        <f>979+(500*52)+(1500*12)</f>
        <v>44979</v>
      </c>
      <c r="AS86" s="128">
        <v>2</v>
      </c>
      <c r="AT86" s="105"/>
      <c r="AU86" s="105"/>
      <c r="AV86" s="102"/>
      <c r="AW86" s="102"/>
      <c r="AX86" s="102" t="s">
        <v>43</v>
      </c>
      <c r="AY86" s="102" t="s">
        <v>43</v>
      </c>
      <c r="AZ86" s="102" t="s">
        <v>43</v>
      </c>
      <c r="BA86" s="105"/>
      <c r="BB86" s="105"/>
      <c r="BC86" s="102" t="s">
        <v>43</v>
      </c>
      <c r="BD86" s="102" t="s">
        <v>42</v>
      </c>
      <c r="BE86" s="102" t="s">
        <v>43</v>
      </c>
      <c r="BF86" s="102" t="s">
        <v>43</v>
      </c>
      <c r="BG86" s="102" t="s">
        <v>43</v>
      </c>
      <c r="BH86" s="76" t="s">
        <v>874</v>
      </c>
      <c r="BI86" s="248">
        <f ca="1">AR86/INDIRECT("'Formula for FPL-2015'!B"&amp;'24 Core'!AS86)</f>
        <v>2.8235404896421845</v>
      </c>
      <c r="BJ86" s="76">
        <f ca="1">AR86/INDIRECT("'Formula for FPL-2014'!B"&amp;'24 Core'!AS86)</f>
        <v>2.8594405594405594</v>
      </c>
      <c r="BK86" s="47">
        <v>285.94</v>
      </c>
      <c r="BL86" s="106"/>
      <c r="BM86" s="102">
        <v>166.37</v>
      </c>
      <c r="BN86" s="104">
        <v>521.71</v>
      </c>
      <c r="BO86" s="104">
        <v>518.67999999999995</v>
      </c>
      <c r="BP86" s="55" t="s">
        <v>167</v>
      </c>
      <c r="BQ86" s="80" t="s">
        <v>510</v>
      </c>
      <c r="BR86" s="80" t="s">
        <v>509</v>
      </c>
      <c r="BS86" s="80" t="s">
        <v>510</v>
      </c>
      <c r="BT86" s="192">
        <f t="shared" si="19"/>
        <v>44979</v>
      </c>
      <c r="BU86" s="150">
        <f t="shared" si="20"/>
        <v>2</v>
      </c>
      <c r="BV86" s="126">
        <v>2.8235000000000001</v>
      </c>
      <c r="BW86" s="255"/>
      <c r="BX86" s="49"/>
      <c r="BY86" s="108"/>
      <c r="BZ86" s="108"/>
      <c r="CA86" s="108"/>
      <c r="CB86" s="49" t="s">
        <v>1013</v>
      </c>
      <c r="CC86" s="108"/>
      <c r="CD86" s="108"/>
      <c r="CE86" s="108"/>
      <c r="CF86" s="231"/>
      <c r="CG86" s="142" t="str">
        <f t="shared" si="21"/>
        <v>BLANK</v>
      </c>
      <c r="CH86" s="142" t="str">
        <f>IF(ISNUMBER(CF86),
      IF(EXACT(
           ROUND(BV86,3),
           $CF86),
      "PASS","FAIL"),
    IF(AND(BV86="NA",CF86="n/a"),"PASS","FAIL")
)</f>
        <v>FAIL</v>
      </c>
      <c r="CI86" s="258" t="str">
        <f>IF(COUNTIF(CG86:CH87, "FAIL")=0,"PASS","FAIL")</f>
        <v>FAIL</v>
      </c>
      <c r="CJ86" s="154"/>
      <c r="CK86" s="49"/>
      <c r="CL86" s="255"/>
      <c r="CM86" s="49"/>
      <c r="CN86" s="49"/>
      <c r="CO86" s="108"/>
      <c r="CP86" s="108"/>
      <c r="CQ86" s="108"/>
      <c r="CR86" s="243"/>
      <c r="CS86" s="213"/>
      <c r="CT86" s="142" t="str">
        <f t="shared" si="11"/>
        <v>BLANK</v>
      </c>
      <c r="CU86" s="142" t="str">
        <f t="shared" si="7"/>
        <v>FAIL</v>
      </c>
      <c r="CV86" s="258" t="str">
        <f>IF(COUNTIF(CT86:CU87, "FAIL")=0,"PASS","FAIL")</f>
        <v>FAIL</v>
      </c>
      <c r="CW86" s="154"/>
      <c r="CX86" s="49" t="s">
        <v>1094</v>
      </c>
    </row>
    <row r="87" spans="1:102" ht="42" customHeight="1">
      <c r="A87" s="340"/>
      <c r="B87" s="198">
        <v>2</v>
      </c>
      <c r="C87" s="225"/>
      <c r="D87" s="330"/>
      <c r="E87" s="330"/>
      <c r="F87" s="102" t="s">
        <v>50</v>
      </c>
      <c r="G87" s="102" t="s">
        <v>531</v>
      </c>
      <c r="H87" s="102" t="s">
        <v>532</v>
      </c>
      <c r="I87" s="102" t="s">
        <v>51</v>
      </c>
      <c r="J87" s="102" t="s">
        <v>543</v>
      </c>
      <c r="K87" s="102" t="s">
        <v>544</v>
      </c>
      <c r="L87" s="102">
        <v>67</v>
      </c>
      <c r="M87" s="102" t="s">
        <v>39</v>
      </c>
      <c r="N87" s="102" t="s">
        <v>52</v>
      </c>
      <c r="O87" s="102" t="s">
        <v>41</v>
      </c>
      <c r="P87" s="131" t="s">
        <v>43</v>
      </c>
      <c r="Q87" s="102" t="s">
        <v>43</v>
      </c>
      <c r="R87" s="102" t="s">
        <v>41</v>
      </c>
      <c r="S87" s="102" t="s">
        <v>44</v>
      </c>
      <c r="T87" s="102">
        <v>343534816</v>
      </c>
      <c r="U87" s="102" t="s">
        <v>45</v>
      </c>
      <c r="V87" s="102" t="s">
        <v>53</v>
      </c>
      <c r="W87" s="102" t="s">
        <v>180</v>
      </c>
      <c r="X87" s="102" t="s">
        <v>62</v>
      </c>
      <c r="Y87" s="102">
        <v>20002</v>
      </c>
      <c r="Z87" s="102" t="s">
        <v>42</v>
      </c>
      <c r="AA87" s="102" t="s">
        <v>43</v>
      </c>
      <c r="AB87" s="102" t="s">
        <v>42</v>
      </c>
      <c r="AC87" s="102" t="s">
        <v>42</v>
      </c>
      <c r="AD87" s="102" t="s">
        <v>42</v>
      </c>
      <c r="AE87" s="102" t="s">
        <v>42</v>
      </c>
      <c r="AF87" s="102" t="s">
        <v>42</v>
      </c>
      <c r="AG87" s="102" t="s">
        <v>42</v>
      </c>
      <c r="AH87" s="102" t="s">
        <v>42</v>
      </c>
      <c r="AI87" s="102" t="s">
        <v>42</v>
      </c>
      <c r="AJ87" s="102" t="s">
        <v>42</v>
      </c>
      <c r="AK87" s="102" t="s">
        <v>42</v>
      </c>
      <c r="AL87" s="102" t="s">
        <v>41</v>
      </c>
      <c r="AM87" s="102" t="s">
        <v>46</v>
      </c>
      <c r="AN87" s="102" t="s">
        <v>41</v>
      </c>
      <c r="AO87" s="102" t="s">
        <v>42</v>
      </c>
      <c r="AP87" s="44" t="s">
        <v>545</v>
      </c>
      <c r="AQ87" s="121" t="s">
        <v>810</v>
      </c>
      <c r="AR87" s="188">
        <f>979+(500*52)+(1500*12)</f>
        <v>44979</v>
      </c>
      <c r="AS87" s="122">
        <v>2</v>
      </c>
      <c r="AT87" s="105"/>
      <c r="AU87" s="105"/>
      <c r="AV87" s="102"/>
      <c r="AW87" s="102"/>
      <c r="AX87" s="102" t="s">
        <v>43</v>
      </c>
      <c r="AY87" s="102" t="s">
        <v>43</v>
      </c>
      <c r="AZ87" s="102" t="s">
        <v>43</v>
      </c>
      <c r="BA87" s="105"/>
      <c r="BB87" s="105"/>
      <c r="BC87" s="123" t="s">
        <v>41</v>
      </c>
      <c r="BD87" s="102" t="s">
        <v>42</v>
      </c>
      <c r="BE87" s="102" t="s">
        <v>43</v>
      </c>
      <c r="BF87" s="102" t="s">
        <v>43</v>
      </c>
      <c r="BG87" s="102" t="s">
        <v>43</v>
      </c>
      <c r="BH87" s="76" t="s">
        <v>874</v>
      </c>
      <c r="BI87" s="76">
        <f ca="1">AR87/INDIRECT("'Formula for FPL-2015'!B"&amp;'24 Core'!AS87)</f>
        <v>2.8235404896421845</v>
      </c>
      <c r="BJ87" s="76" t="s">
        <v>566</v>
      </c>
      <c r="BK87" s="47" t="s">
        <v>566</v>
      </c>
      <c r="BL87" s="106"/>
      <c r="BM87" s="102" t="s">
        <v>566</v>
      </c>
      <c r="BN87" s="102" t="s">
        <v>566</v>
      </c>
      <c r="BO87" s="102" t="s">
        <v>566</v>
      </c>
      <c r="BP87" s="55" t="s">
        <v>166</v>
      </c>
      <c r="BQ87" s="80" t="s">
        <v>510</v>
      </c>
      <c r="BR87" s="80" t="s">
        <v>510</v>
      </c>
      <c r="BS87" s="80" t="s">
        <v>510</v>
      </c>
      <c r="BT87" s="192">
        <f t="shared" si="19"/>
        <v>44979</v>
      </c>
      <c r="BU87" s="151">
        <f t="shared" si="20"/>
        <v>2</v>
      </c>
      <c r="BV87" s="126">
        <v>2.8235000000000001</v>
      </c>
      <c r="BW87" s="257"/>
      <c r="BX87" s="49"/>
      <c r="BY87" s="108"/>
      <c r="BZ87" s="108"/>
      <c r="CA87" s="108"/>
      <c r="CB87" s="49"/>
      <c r="CC87" s="108"/>
      <c r="CD87" s="108"/>
      <c r="CE87" s="108"/>
      <c r="CF87" s="231"/>
      <c r="CG87" s="142" t="str">
        <f t="shared" si="21"/>
        <v>BLANK</v>
      </c>
      <c r="CH87" s="142" t="str">
        <f>IF(ISNUMBER(CF87),
      IF(EXACT(
           ROUND(BV87,3),
           $CF87),
      "PASS","FAIL"),
    IF(AND(BV87="NA",CF87="n/a"),"PASS","FAIL")
)</f>
        <v>FAIL</v>
      </c>
      <c r="CI87" s="260"/>
      <c r="CJ87" s="154"/>
      <c r="CK87" s="49"/>
      <c r="CL87" s="257"/>
      <c r="CM87" s="49"/>
      <c r="CN87" s="49"/>
      <c r="CO87" s="108"/>
      <c r="CP87" s="108"/>
      <c r="CQ87" s="108"/>
      <c r="CR87" s="243"/>
      <c r="CS87" s="213"/>
      <c r="CT87" s="142" t="str">
        <f t="shared" si="11"/>
        <v>BLANK</v>
      </c>
      <c r="CU87" s="142" t="str">
        <f t="shared" ref="CU87:CU93" si="23">IF(ISNUMBER(CS87),
      IF(EXACT(
           ROUND(BV87,2),
           ROUND($CS87,2)),
      "PASS","FAIL"),
    IF(AND(BV87="NA",CS87="n/a"),"PASS","FAIL")
)</f>
        <v>FAIL</v>
      </c>
      <c r="CV87" s="260"/>
      <c r="CW87" s="154"/>
      <c r="CX87" s="49" t="s">
        <v>1073</v>
      </c>
    </row>
    <row r="88" spans="1:102" ht="38.25" customHeight="1">
      <c r="A88" s="336">
        <v>25</v>
      </c>
      <c r="B88" s="198">
        <v>1</v>
      </c>
      <c r="C88" s="224" t="s">
        <v>1045</v>
      </c>
      <c r="D88" s="336" t="s">
        <v>573</v>
      </c>
      <c r="E88" s="336" t="s">
        <v>1070</v>
      </c>
      <c r="F88" s="130" t="s">
        <v>189</v>
      </c>
      <c r="G88" s="130" t="s">
        <v>190</v>
      </c>
      <c r="H88" s="130" t="s">
        <v>546</v>
      </c>
      <c r="I88" s="130" t="s">
        <v>51</v>
      </c>
      <c r="J88" s="130" t="s">
        <v>51</v>
      </c>
      <c r="K88" s="130" t="s">
        <v>70</v>
      </c>
      <c r="L88" s="130">
        <v>45</v>
      </c>
      <c r="M88" s="130" t="s">
        <v>39</v>
      </c>
      <c r="N88" s="130" t="s">
        <v>40</v>
      </c>
      <c r="O88" s="130" t="s">
        <v>41</v>
      </c>
      <c r="P88" s="131" t="s">
        <v>43</v>
      </c>
      <c r="Q88" s="130" t="s">
        <v>43</v>
      </c>
      <c r="R88" s="130" t="s">
        <v>41</v>
      </c>
      <c r="S88" s="130" t="s">
        <v>44</v>
      </c>
      <c r="T88" s="130">
        <v>343563453</v>
      </c>
      <c r="U88" s="130" t="s">
        <v>45</v>
      </c>
      <c r="V88" s="130" t="s">
        <v>53</v>
      </c>
      <c r="W88" s="130" t="s">
        <v>180</v>
      </c>
      <c r="X88" s="130" t="s">
        <v>62</v>
      </c>
      <c r="Y88" s="130">
        <v>20002</v>
      </c>
      <c r="Z88" s="130" t="s">
        <v>42</v>
      </c>
      <c r="AA88" s="130" t="s">
        <v>43</v>
      </c>
      <c r="AB88" s="130" t="s">
        <v>42</v>
      </c>
      <c r="AC88" s="130" t="s">
        <v>42</v>
      </c>
      <c r="AD88" s="130" t="s">
        <v>42</v>
      </c>
      <c r="AE88" s="130" t="s">
        <v>42</v>
      </c>
      <c r="AF88" s="130" t="s">
        <v>42</v>
      </c>
      <c r="AG88" s="130" t="s">
        <v>42</v>
      </c>
      <c r="AH88" s="130" t="s">
        <v>42</v>
      </c>
      <c r="AI88" s="130" t="s">
        <v>42</v>
      </c>
      <c r="AJ88" s="130" t="s">
        <v>42</v>
      </c>
      <c r="AK88" s="130" t="s">
        <v>547</v>
      </c>
      <c r="AL88" s="130" t="s">
        <v>41</v>
      </c>
      <c r="AM88" s="130" t="s">
        <v>46</v>
      </c>
      <c r="AN88" s="130" t="s">
        <v>41</v>
      </c>
      <c r="AO88" s="130" t="s">
        <v>42</v>
      </c>
      <c r="AP88" s="130" t="s">
        <v>548</v>
      </c>
      <c r="AQ88" s="130" t="s">
        <v>600</v>
      </c>
      <c r="AR88" s="186">
        <f>20000 + (1248.03*26) + 12000.24</f>
        <v>64449.02</v>
      </c>
      <c r="AS88" s="130">
        <v>3</v>
      </c>
      <c r="AT88" s="130"/>
      <c r="AU88" s="130"/>
      <c r="AV88" s="130"/>
      <c r="AW88" s="130"/>
      <c r="AX88" s="130" t="s">
        <v>43</v>
      </c>
      <c r="AY88" s="130" t="s">
        <v>43</v>
      </c>
      <c r="AZ88" s="130" t="s">
        <v>43</v>
      </c>
      <c r="BA88" s="130"/>
      <c r="BB88" s="130"/>
      <c r="BC88" s="130" t="s">
        <v>43</v>
      </c>
      <c r="BD88" s="130" t="s">
        <v>42</v>
      </c>
      <c r="BE88" s="130" t="s">
        <v>43</v>
      </c>
      <c r="BF88" s="130" t="s">
        <v>43</v>
      </c>
      <c r="BG88" s="130" t="s">
        <v>43</v>
      </c>
      <c r="BH88" s="76" t="s">
        <v>874</v>
      </c>
      <c r="BI88" s="124">
        <f ca="1">AR88/INDIRECT("'Formula for FPL-2015'!B"&amp;'24 Core'!AS88)</f>
        <v>3.208014932802389</v>
      </c>
      <c r="BJ88" s="124">
        <f ca="1">AR88/INDIRECT("'Formula for FPL-2014'!B"&amp;'24 Core'!AS88)</f>
        <v>3.2566457806973217</v>
      </c>
      <c r="BK88" s="130">
        <v>325.66000000000003</v>
      </c>
      <c r="BL88" s="130"/>
      <c r="BM88" s="130">
        <v>319.7</v>
      </c>
      <c r="BN88" s="130">
        <v>829.22</v>
      </c>
      <c r="BO88" s="130">
        <v>825.11</v>
      </c>
      <c r="BP88" s="130" t="s">
        <v>167</v>
      </c>
      <c r="BQ88" s="80" t="s">
        <v>510</v>
      </c>
      <c r="BR88" s="80" t="s">
        <v>509</v>
      </c>
      <c r="BS88" s="80" t="s">
        <v>510</v>
      </c>
      <c r="BT88" s="186">
        <f t="shared" si="19"/>
        <v>64449.02</v>
      </c>
      <c r="BU88" s="149">
        <f t="shared" si="20"/>
        <v>3</v>
      </c>
      <c r="BV88" s="124">
        <v>3.2080000000000002</v>
      </c>
      <c r="BW88" s="249"/>
      <c r="BX88" s="169"/>
      <c r="BY88" s="169"/>
      <c r="BZ88" s="169"/>
      <c r="CA88" s="169"/>
      <c r="CB88" s="201" t="s">
        <v>1014</v>
      </c>
      <c r="CC88" s="169"/>
      <c r="CD88" s="169"/>
      <c r="CE88" s="169"/>
      <c r="CF88" s="124"/>
      <c r="CG88" s="142" t="str">
        <f t="shared" si="21"/>
        <v>BLANK</v>
      </c>
      <c r="CH88" s="142" t="str">
        <f t="shared" ref="CH88:CH93" si="24">IF(ISNUMBER(CF88),
      IF(EXACT(
           (ROUND(BV88,2)*100),
           $CF88),
      "PASS","FAIL"),
    IF(AND(BV88="NA",CF88="n/a"),"PASS","FAIL")
)</f>
        <v>FAIL</v>
      </c>
      <c r="CI88" s="252" t="str">
        <f>IF(COUNTIF(CG88:CH90, "FAIL")=0,"PASS","FAIL")</f>
        <v>FAIL</v>
      </c>
      <c r="CJ88" s="157"/>
      <c r="CK88" s="49"/>
      <c r="CL88" s="249"/>
      <c r="CM88" s="223"/>
      <c r="CN88" s="223"/>
      <c r="CO88" s="223"/>
      <c r="CP88" s="223"/>
      <c r="CQ88" s="223"/>
      <c r="CR88" s="135"/>
      <c r="CS88" s="124"/>
      <c r="CT88" s="142" t="str">
        <f t="shared" si="11"/>
        <v>BLANK</v>
      </c>
      <c r="CU88" s="142" t="str">
        <f t="shared" si="23"/>
        <v>FAIL</v>
      </c>
      <c r="CV88" s="252" t="str">
        <f>IF(COUNTIF(CT88:CU90, "FAIL")=0,"PASS","FAIL")</f>
        <v>FAIL</v>
      </c>
      <c r="CW88" s="157"/>
      <c r="CX88" s="49" t="s">
        <v>1059</v>
      </c>
    </row>
    <row r="89" spans="1:102" ht="38.25" customHeight="1">
      <c r="A89" s="337"/>
      <c r="B89" s="198">
        <v>2</v>
      </c>
      <c r="C89" s="225"/>
      <c r="D89" s="337"/>
      <c r="E89" s="337"/>
      <c r="F89" s="130" t="s">
        <v>183</v>
      </c>
      <c r="G89" s="130" t="s">
        <v>549</v>
      </c>
      <c r="H89" s="130" t="s">
        <v>546</v>
      </c>
      <c r="I89" s="130" t="s">
        <v>51</v>
      </c>
      <c r="J89" s="130" t="s">
        <v>51</v>
      </c>
      <c r="K89" s="130" t="s">
        <v>550</v>
      </c>
      <c r="L89" s="130">
        <v>50</v>
      </c>
      <c r="M89" s="130" t="s">
        <v>48</v>
      </c>
      <c r="N89" s="130" t="s">
        <v>40</v>
      </c>
      <c r="O89" s="130" t="s">
        <v>41</v>
      </c>
      <c r="P89" s="131" t="s">
        <v>43</v>
      </c>
      <c r="Q89" s="130" t="s">
        <v>43</v>
      </c>
      <c r="R89" s="130" t="s">
        <v>41</v>
      </c>
      <c r="S89" s="130" t="s">
        <v>44</v>
      </c>
      <c r="T89" s="130">
        <v>376856767</v>
      </c>
      <c r="U89" s="130" t="s">
        <v>45</v>
      </c>
      <c r="V89" s="130" t="s">
        <v>53</v>
      </c>
      <c r="W89" s="130" t="s">
        <v>180</v>
      </c>
      <c r="X89" s="130" t="s">
        <v>62</v>
      </c>
      <c r="Y89" s="130">
        <v>20002</v>
      </c>
      <c r="Z89" s="130" t="s">
        <v>42</v>
      </c>
      <c r="AA89" s="130" t="s">
        <v>43</v>
      </c>
      <c r="AB89" s="130" t="s">
        <v>42</v>
      </c>
      <c r="AC89" s="130" t="s">
        <v>42</v>
      </c>
      <c r="AD89" s="130" t="s">
        <v>42</v>
      </c>
      <c r="AE89" s="130" t="s">
        <v>42</v>
      </c>
      <c r="AF89" s="130" t="s">
        <v>42</v>
      </c>
      <c r="AG89" s="130" t="s">
        <v>42</v>
      </c>
      <c r="AH89" s="130" t="s">
        <v>42</v>
      </c>
      <c r="AI89" s="130" t="s">
        <v>42</v>
      </c>
      <c r="AJ89" s="130" t="s">
        <v>42</v>
      </c>
      <c r="AK89" s="130" t="s">
        <v>551</v>
      </c>
      <c r="AL89" s="130" t="s">
        <v>41</v>
      </c>
      <c r="AM89" s="130" t="s">
        <v>46</v>
      </c>
      <c r="AN89" s="130" t="s">
        <v>41</v>
      </c>
      <c r="AO89" s="130" t="s">
        <v>42</v>
      </c>
      <c r="AP89" s="130" t="s">
        <v>552</v>
      </c>
      <c r="AQ89" s="130" t="s">
        <v>601</v>
      </c>
      <c r="AR89" s="186">
        <f t="shared" ref="AR89:AR90" si="25">20000 + (1248.03*26) + 12000.24</f>
        <v>64449.02</v>
      </c>
      <c r="AS89" s="130">
        <v>3</v>
      </c>
      <c r="AT89" s="130"/>
      <c r="AU89" s="130"/>
      <c r="AV89" s="130"/>
      <c r="AW89" s="130"/>
      <c r="AX89" s="130" t="s">
        <v>43</v>
      </c>
      <c r="AY89" s="130" t="s">
        <v>43</v>
      </c>
      <c r="AZ89" s="130" t="s">
        <v>43</v>
      </c>
      <c r="BA89" s="130"/>
      <c r="BB89" s="130"/>
      <c r="BC89" s="130" t="s">
        <v>43</v>
      </c>
      <c r="BD89" s="130" t="s">
        <v>42</v>
      </c>
      <c r="BE89" s="130" t="s">
        <v>43</v>
      </c>
      <c r="BF89" s="130" t="s">
        <v>43</v>
      </c>
      <c r="BG89" s="130" t="s">
        <v>43</v>
      </c>
      <c r="BH89" s="76" t="s">
        <v>874</v>
      </c>
      <c r="BI89" s="124">
        <f ca="1">AR89/INDIRECT("'Formula for FPL-2015'!B"&amp;'24 Core'!AS89)</f>
        <v>3.208014932802389</v>
      </c>
      <c r="BJ89" s="124">
        <f ca="1">AR89/INDIRECT("'Formula for FPL-2014'!B"&amp;'24 Core'!AS89)</f>
        <v>3.2566457806973217</v>
      </c>
      <c r="BK89" s="130">
        <v>325.66000000000003</v>
      </c>
      <c r="BL89" s="130"/>
      <c r="BM89" s="130">
        <v>319.7</v>
      </c>
      <c r="BN89" s="130">
        <v>829.22</v>
      </c>
      <c r="BO89" s="130">
        <v>825.11</v>
      </c>
      <c r="BP89" s="130" t="s">
        <v>167</v>
      </c>
      <c r="BQ89" s="80" t="s">
        <v>510</v>
      </c>
      <c r="BR89" s="80" t="s">
        <v>509</v>
      </c>
      <c r="BS89" s="80" t="s">
        <v>510</v>
      </c>
      <c r="BT89" s="186">
        <f t="shared" si="19"/>
        <v>64449.02</v>
      </c>
      <c r="BU89" s="149">
        <f t="shared" si="20"/>
        <v>3</v>
      </c>
      <c r="BV89" s="124">
        <v>3.2080000000000002</v>
      </c>
      <c r="BW89" s="250"/>
      <c r="BX89" s="169"/>
      <c r="BY89" s="169"/>
      <c r="BZ89" s="169"/>
      <c r="CA89" s="169"/>
      <c r="CB89" s="201"/>
      <c r="CC89" s="169"/>
      <c r="CD89" s="169"/>
      <c r="CE89" s="169"/>
      <c r="CF89" s="124"/>
      <c r="CG89" s="142" t="str">
        <f t="shared" si="21"/>
        <v>BLANK</v>
      </c>
      <c r="CH89" s="142" t="str">
        <f t="shared" si="24"/>
        <v>FAIL</v>
      </c>
      <c r="CI89" s="253"/>
      <c r="CJ89" s="157"/>
      <c r="CK89" s="49"/>
      <c r="CL89" s="250"/>
      <c r="CM89" s="223"/>
      <c r="CN89" s="223"/>
      <c r="CO89" s="223"/>
      <c r="CP89" s="223"/>
      <c r="CQ89" s="223"/>
      <c r="CR89" s="135"/>
      <c r="CS89" s="124"/>
      <c r="CT89" s="142" t="str">
        <f t="shared" si="11"/>
        <v>BLANK</v>
      </c>
      <c r="CU89" s="142" t="str">
        <f t="shared" si="23"/>
        <v>FAIL</v>
      </c>
      <c r="CV89" s="253"/>
      <c r="CW89" s="157"/>
      <c r="CX89" s="49" t="s">
        <v>1059</v>
      </c>
    </row>
    <row r="90" spans="1:102" ht="38.25" customHeight="1">
      <c r="A90" s="338"/>
      <c r="B90" s="198">
        <v>3</v>
      </c>
      <c r="C90" s="225"/>
      <c r="D90" s="338"/>
      <c r="E90" s="338"/>
      <c r="F90" s="130" t="s">
        <v>534</v>
      </c>
      <c r="G90" s="130" t="s">
        <v>553</v>
      </c>
      <c r="H90" s="130" t="s">
        <v>546</v>
      </c>
      <c r="I90" s="130" t="s">
        <v>554</v>
      </c>
      <c r="J90" s="130" t="s">
        <v>554</v>
      </c>
      <c r="K90" s="130">
        <v>22</v>
      </c>
      <c r="L90" s="130">
        <v>22</v>
      </c>
      <c r="M90" s="130" t="s">
        <v>39</v>
      </c>
      <c r="N90" s="130" t="s">
        <v>40</v>
      </c>
      <c r="O90" s="130" t="s">
        <v>41</v>
      </c>
      <c r="P90" s="131" t="s">
        <v>43</v>
      </c>
      <c r="Q90" s="130" t="s">
        <v>43</v>
      </c>
      <c r="R90" s="130" t="s">
        <v>41</v>
      </c>
      <c r="S90" s="130" t="s">
        <v>44</v>
      </c>
      <c r="T90" s="130">
        <v>365756876</v>
      </c>
      <c r="U90" s="130" t="s">
        <v>45</v>
      </c>
      <c r="V90" s="130" t="s">
        <v>53</v>
      </c>
      <c r="W90" s="130" t="s">
        <v>180</v>
      </c>
      <c r="X90" s="130" t="s">
        <v>62</v>
      </c>
      <c r="Y90" s="130">
        <v>20002</v>
      </c>
      <c r="Z90" s="130" t="s">
        <v>42</v>
      </c>
      <c r="AA90" s="130" t="s">
        <v>43</v>
      </c>
      <c r="AB90" s="130" t="s">
        <v>42</v>
      </c>
      <c r="AC90" s="130" t="s">
        <v>42</v>
      </c>
      <c r="AD90" s="130" t="s">
        <v>42</v>
      </c>
      <c r="AE90" s="130" t="s">
        <v>42</v>
      </c>
      <c r="AF90" s="130" t="s">
        <v>42</v>
      </c>
      <c r="AG90" s="130" t="s">
        <v>42</v>
      </c>
      <c r="AH90" s="130" t="s">
        <v>42</v>
      </c>
      <c r="AI90" s="130" t="s">
        <v>42</v>
      </c>
      <c r="AJ90" s="130" t="s">
        <v>42</v>
      </c>
      <c r="AK90" s="130" t="s">
        <v>42</v>
      </c>
      <c r="AL90" s="130" t="s">
        <v>43</v>
      </c>
      <c r="AM90" s="130" t="s">
        <v>58</v>
      </c>
      <c r="AN90" s="130" t="s">
        <v>42</v>
      </c>
      <c r="AO90" s="130" t="s">
        <v>189</v>
      </c>
      <c r="AP90" s="130" t="s">
        <v>555</v>
      </c>
      <c r="AQ90" s="130" t="s">
        <v>588</v>
      </c>
      <c r="AR90" s="186">
        <f t="shared" si="25"/>
        <v>64449.02</v>
      </c>
      <c r="AS90" s="130">
        <v>3</v>
      </c>
      <c r="AT90" s="130"/>
      <c r="AU90" s="130"/>
      <c r="AV90" s="130"/>
      <c r="AW90" s="130"/>
      <c r="AX90" s="130" t="s">
        <v>43</v>
      </c>
      <c r="AY90" s="130" t="s">
        <v>43</v>
      </c>
      <c r="AZ90" s="130" t="s">
        <v>43</v>
      </c>
      <c r="BA90" s="130"/>
      <c r="BB90" s="130"/>
      <c r="BC90" s="130" t="s">
        <v>43</v>
      </c>
      <c r="BD90" s="130" t="s">
        <v>42</v>
      </c>
      <c r="BE90" s="130" t="s">
        <v>43</v>
      </c>
      <c r="BF90" s="130" t="s">
        <v>43</v>
      </c>
      <c r="BG90" s="130" t="s">
        <v>43</v>
      </c>
      <c r="BH90" s="76" t="s">
        <v>874</v>
      </c>
      <c r="BI90" s="124">
        <f ca="1">AR90/INDIRECT("'Formula for FPL-2015'!B"&amp;'24 Core'!AS90)</f>
        <v>3.208014932802389</v>
      </c>
      <c r="BJ90" s="124">
        <f ca="1">AR90/INDIRECT("'Formula for FPL-2014'!B"&amp;'24 Core'!AS90)</f>
        <v>3.2566457806973217</v>
      </c>
      <c r="BK90" s="130">
        <v>325.66000000000003</v>
      </c>
      <c r="BL90" s="130"/>
      <c r="BM90" s="130">
        <v>319.7</v>
      </c>
      <c r="BN90" s="130">
        <v>829.22</v>
      </c>
      <c r="BO90" s="130">
        <v>825.11</v>
      </c>
      <c r="BP90" s="130" t="s">
        <v>167</v>
      </c>
      <c r="BQ90" s="80" t="s">
        <v>510</v>
      </c>
      <c r="BR90" s="80" t="s">
        <v>509</v>
      </c>
      <c r="BS90" s="80" t="s">
        <v>510</v>
      </c>
      <c r="BT90" s="186">
        <f t="shared" si="19"/>
        <v>64449.02</v>
      </c>
      <c r="BU90" s="149">
        <f t="shared" si="20"/>
        <v>3</v>
      </c>
      <c r="BV90" s="124">
        <v>3.2080000000000002</v>
      </c>
      <c r="BW90" s="251"/>
      <c r="BX90" s="169"/>
      <c r="BY90" s="169"/>
      <c r="BZ90" s="169"/>
      <c r="CA90" s="169"/>
      <c r="CB90" s="201"/>
      <c r="CC90" s="169"/>
      <c r="CD90" s="169"/>
      <c r="CE90" s="169"/>
      <c r="CF90" s="124"/>
      <c r="CG90" s="142" t="str">
        <f t="shared" si="21"/>
        <v>BLANK</v>
      </c>
      <c r="CH90" s="142" t="str">
        <f t="shared" si="24"/>
        <v>FAIL</v>
      </c>
      <c r="CI90" s="254"/>
      <c r="CJ90" s="157"/>
      <c r="CK90" s="49"/>
      <c r="CL90" s="251"/>
      <c r="CM90" s="223"/>
      <c r="CN90" s="223"/>
      <c r="CO90" s="223"/>
      <c r="CP90" s="223"/>
      <c r="CQ90" s="223"/>
      <c r="CR90" s="135"/>
      <c r="CS90" s="124"/>
      <c r="CT90" s="142" t="str">
        <f t="shared" si="11"/>
        <v>BLANK</v>
      </c>
      <c r="CU90" s="142" t="str">
        <f t="shared" si="23"/>
        <v>FAIL</v>
      </c>
      <c r="CV90" s="254"/>
      <c r="CW90" s="157"/>
      <c r="CX90" s="49" t="s">
        <v>1059</v>
      </c>
    </row>
    <row r="91" spans="1:102" ht="82.5" customHeight="1">
      <c r="A91" s="339">
        <v>26</v>
      </c>
      <c r="B91" s="198">
        <v>1</v>
      </c>
      <c r="C91" s="224" t="s">
        <v>1047</v>
      </c>
      <c r="D91" s="330" t="s">
        <v>576</v>
      </c>
      <c r="E91" s="330" t="s">
        <v>1071</v>
      </c>
      <c r="F91" s="102" t="s">
        <v>50</v>
      </c>
      <c r="G91" s="102" t="s">
        <v>556</v>
      </c>
      <c r="H91" s="102" t="s">
        <v>557</v>
      </c>
      <c r="I91" s="102" t="s">
        <v>51</v>
      </c>
      <c r="J91" s="102" t="s">
        <v>51</v>
      </c>
      <c r="K91" s="102" t="s">
        <v>71</v>
      </c>
      <c r="L91" s="102">
        <v>55</v>
      </c>
      <c r="M91" s="102" t="s">
        <v>39</v>
      </c>
      <c r="N91" s="102" t="s">
        <v>52</v>
      </c>
      <c r="O91" s="102" t="s">
        <v>41</v>
      </c>
      <c r="P91" s="131" t="s">
        <v>42</v>
      </c>
      <c r="Q91" s="102" t="s">
        <v>43</v>
      </c>
      <c r="R91" s="102" t="s">
        <v>42</v>
      </c>
      <c r="S91" s="102" t="s">
        <v>44</v>
      </c>
      <c r="T91" s="102">
        <v>222777735</v>
      </c>
      <c r="U91" s="102" t="s">
        <v>45</v>
      </c>
      <c r="V91" s="102" t="s">
        <v>53</v>
      </c>
      <c r="W91" s="102" t="s">
        <v>180</v>
      </c>
      <c r="X91" s="102" t="s">
        <v>62</v>
      </c>
      <c r="Y91" s="102">
        <v>20002</v>
      </c>
      <c r="Z91" s="102" t="s">
        <v>42</v>
      </c>
      <c r="AA91" s="102" t="s">
        <v>43</v>
      </c>
      <c r="AB91" s="102" t="s">
        <v>42</v>
      </c>
      <c r="AC91" s="102" t="s">
        <v>42</v>
      </c>
      <c r="AD91" s="102" t="s">
        <v>42</v>
      </c>
      <c r="AE91" s="102" t="s">
        <v>42</v>
      </c>
      <c r="AF91" s="102" t="s">
        <v>42</v>
      </c>
      <c r="AG91" s="102" t="s">
        <v>42</v>
      </c>
      <c r="AH91" s="102" t="s">
        <v>42</v>
      </c>
      <c r="AI91" s="102" t="s">
        <v>42</v>
      </c>
      <c r="AJ91" s="102" t="s">
        <v>42</v>
      </c>
      <c r="AK91" s="102" t="s">
        <v>547</v>
      </c>
      <c r="AL91" s="102" t="s">
        <v>41</v>
      </c>
      <c r="AM91" s="102" t="s">
        <v>46</v>
      </c>
      <c r="AN91" s="102" t="s">
        <v>41</v>
      </c>
      <c r="AO91" s="102" t="s">
        <v>42</v>
      </c>
      <c r="AP91" s="44" t="s">
        <v>558</v>
      </c>
      <c r="AQ91" s="98" t="s">
        <v>809</v>
      </c>
      <c r="AR91" s="188">
        <f>40000.02 + 31714.8</f>
        <v>71714.819999999992</v>
      </c>
      <c r="AS91" s="122">
        <v>3</v>
      </c>
      <c r="AT91" s="105"/>
      <c r="AU91" s="105"/>
      <c r="AV91" s="102"/>
      <c r="AW91" s="102"/>
      <c r="AX91" s="102" t="s">
        <v>43</v>
      </c>
      <c r="AY91" s="102" t="s">
        <v>43</v>
      </c>
      <c r="AZ91" s="102" t="s">
        <v>43</v>
      </c>
      <c r="BA91" s="105"/>
      <c r="BB91" s="105"/>
      <c r="BC91" s="102" t="s">
        <v>43</v>
      </c>
      <c r="BD91" s="102" t="s">
        <v>43</v>
      </c>
      <c r="BE91" s="102" t="s">
        <v>43</v>
      </c>
      <c r="BF91" s="102" t="s">
        <v>43</v>
      </c>
      <c r="BG91" s="102" t="s">
        <v>43</v>
      </c>
      <c r="BH91" s="76" t="s">
        <v>874</v>
      </c>
      <c r="BI91" s="248">
        <f ca="1">AR91/INDIRECT("'Formula for FPL-2015'!B"&amp;'24 Core'!AS91)</f>
        <v>3.569677451468392</v>
      </c>
      <c r="BJ91" s="76">
        <f ca="1">AR91/INDIRECT("'Formula for FPL-2014'!B"&amp;'24 Core'!AS91)</f>
        <v>3.6237908034360786</v>
      </c>
      <c r="BK91" s="126">
        <v>3.6720000000000002</v>
      </c>
      <c r="BL91" s="106"/>
      <c r="BM91" s="102">
        <v>314</v>
      </c>
      <c r="BN91" s="104">
        <v>886.83</v>
      </c>
      <c r="BO91" s="104">
        <v>881.69</v>
      </c>
      <c r="BP91" s="55" t="s">
        <v>167</v>
      </c>
      <c r="BQ91" s="80" t="s">
        <v>510</v>
      </c>
      <c r="BR91" s="80" t="s">
        <v>509</v>
      </c>
      <c r="BS91" s="80" t="s">
        <v>510</v>
      </c>
      <c r="BT91" s="192">
        <f t="shared" si="19"/>
        <v>71714.819999999992</v>
      </c>
      <c r="BU91" s="150">
        <f t="shared" si="20"/>
        <v>3</v>
      </c>
      <c r="BV91" s="126">
        <v>3.5697000000000001</v>
      </c>
      <c r="BW91" s="255"/>
      <c r="BX91" s="49"/>
      <c r="BY91" s="108"/>
      <c r="BZ91" s="108"/>
      <c r="CA91" s="108"/>
      <c r="CB91" s="49" t="s">
        <v>1015</v>
      </c>
      <c r="CC91" s="108"/>
      <c r="CD91" s="108"/>
      <c r="CE91" s="108"/>
      <c r="CF91" s="213"/>
      <c r="CG91" s="142" t="str">
        <f t="shared" si="21"/>
        <v>BLANK</v>
      </c>
      <c r="CH91" s="142" t="str">
        <f t="shared" si="24"/>
        <v>FAIL</v>
      </c>
      <c r="CI91" s="258" t="str">
        <f>IF(COUNTIF(CG91:CH93, "FAIL")=0,"PASS","FAIL")</f>
        <v>FAIL</v>
      </c>
      <c r="CJ91" s="258"/>
      <c r="CK91" s="49"/>
      <c r="CL91" s="255"/>
      <c r="CM91" s="49"/>
      <c r="CN91" s="49"/>
      <c r="CO91" s="108"/>
      <c r="CP91" s="108"/>
      <c r="CQ91" s="108"/>
      <c r="CR91" s="243"/>
      <c r="CS91" s="213"/>
      <c r="CT91" s="142" t="str">
        <f t="shared" si="11"/>
        <v>BLANK</v>
      </c>
      <c r="CU91" s="142" t="str">
        <f t="shared" si="23"/>
        <v>FAIL</v>
      </c>
      <c r="CV91" s="258" t="str">
        <f>IF(COUNTIF(CT91:CU93, "FAIL")=0,"PASS","FAIL")</f>
        <v>FAIL</v>
      </c>
      <c r="CW91" s="258"/>
      <c r="CX91" s="49" t="s">
        <v>1060</v>
      </c>
    </row>
    <row r="92" spans="1:102" ht="51.75" customHeight="1">
      <c r="A92" s="341"/>
      <c r="B92" s="198">
        <v>2</v>
      </c>
      <c r="C92" s="225"/>
      <c r="D92" s="330"/>
      <c r="E92" s="330"/>
      <c r="F92" s="102" t="s">
        <v>54</v>
      </c>
      <c r="G92" s="102" t="s">
        <v>559</v>
      </c>
      <c r="H92" s="102" t="s">
        <v>557</v>
      </c>
      <c r="I92" s="102" t="s">
        <v>51</v>
      </c>
      <c r="J92" s="102" t="s">
        <v>51</v>
      </c>
      <c r="K92" s="102" t="s">
        <v>560</v>
      </c>
      <c r="L92" s="102">
        <v>45</v>
      </c>
      <c r="M92" s="102" t="s">
        <v>48</v>
      </c>
      <c r="N92" s="102" t="s">
        <v>52</v>
      </c>
      <c r="O92" s="102" t="s">
        <v>41</v>
      </c>
      <c r="P92" s="131" t="s">
        <v>42</v>
      </c>
      <c r="Q92" s="102" t="s">
        <v>43</v>
      </c>
      <c r="R92" s="102" t="s">
        <v>43</v>
      </c>
      <c r="S92" s="102" t="s">
        <v>44</v>
      </c>
      <c r="T92" s="102">
        <v>222777736</v>
      </c>
      <c r="U92" s="102" t="s">
        <v>45</v>
      </c>
      <c r="V92" s="102" t="s">
        <v>53</v>
      </c>
      <c r="W92" s="102" t="s">
        <v>180</v>
      </c>
      <c r="X92" s="102" t="s">
        <v>62</v>
      </c>
      <c r="Y92" s="102">
        <v>20002</v>
      </c>
      <c r="Z92" s="102" t="s">
        <v>42</v>
      </c>
      <c r="AA92" s="102" t="s">
        <v>43</v>
      </c>
      <c r="AB92" s="102" t="s">
        <v>42</v>
      </c>
      <c r="AC92" s="46" t="s">
        <v>42</v>
      </c>
      <c r="AD92" s="102" t="s">
        <v>42</v>
      </c>
      <c r="AE92" s="102" t="s">
        <v>42</v>
      </c>
      <c r="AF92" s="102" t="s">
        <v>42</v>
      </c>
      <c r="AG92" s="102" t="s">
        <v>42</v>
      </c>
      <c r="AH92" s="102" t="s">
        <v>42</v>
      </c>
      <c r="AI92" s="102" t="s">
        <v>42</v>
      </c>
      <c r="AJ92" s="102" t="s">
        <v>42</v>
      </c>
      <c r="AK92" s="102" t="s">
        <v>551</v>
      </c>
      <c r="AL92" s="102" t="s">
        <v>41</v>
      </c>
      <c r="AM92" s="102" t="s">
        <v>46</v>
      </c>
      <c r="AN92" s="102" t="s">
        <v>41</v>
      </c>
      <c r="AO92" s="102" t="s">
        <v>42</v>
      </c>
      <c r="AP92" s="102" t="s">
        <v>561</v>
      </c>
      <c r="AQ92" s="98" t="s">
        <v>808</v>
      </c>
      <c r="AR92" s="188">
        <f t="shared" ref="AR92:AR93" si="26">40000.02 + 31714.8</f>
        <v>71714.819999999992</v>
      </c>
      <c r="AS92" s="122">
        <v>3</v>
      </c>
      <c r="AT92" s="105"/>
      <c r="AU92" s="105"/>
      <c r="AV92" s="102"/>
      <c r="AW92" s="102"/>
      <c r="AX92" s="102" t="s">
        <v>43</v>
      </c>
      <c r="AY92" s="102" t="s">
        <v>43</v>
      </c>
      <c r="AZ92" s="102" t="s">
        <v>43</v>
      </c>
      <c r="BA92" s="105"/>
      <c r="BB92" s="105"/>
      <c r="BC92" s="102" t="s">
        <v>43</v>
      </c>
      <c r="BD92" s="102" t="s">
        <v>43</v>
      </c>
      <c r="BE92" s="102" t="s">
        <v>43</v>
      </c>
      <c r="BF92" s="102" t="s">
        <v>43</v>
      </c>
      <c r="BG92" s="102" t="s">
        <v>43</v>
      </c>
      <c r="BH92" s="76" t="s">
        <v>874</v>
      </c>
      <c r="BI92" s="248">
        <f ca="1">AR92/INDIRECT("'Formula for FPL-2015'!B"&amp;'24 Core'!AS92)</f>
        <v>3.569677451468392</v>
      </c>
      <c r="BJ92" s="76">
        <f ca="1">AR92/INDIRECT("'Formula for FPL-2014'!B"&amp;'24 Core'!AS92)</f>
        <v>3.6237908034360786</v>
      </c>
      <c r="BK92" s="55">
        <v>367.2</v>
      </c>
      <c r="BL92" s="106"/>
      <c r="BM92" s="102">
        <v>314</v>
      </c>
      <c r="BN92" s="104">
        <v>886.83</v>
      </c>
      <c r="BO92" s="104">
        <v>881.69</v>
      </c>
      <c r="BP92" s="55" t="s">
        <v>167</v>
      </c>
      <c r="BQ92" s="80" t="s">
        <v>510</v>
      </c>
      <c r="BR92" s="80" t="s">
        <v>509</v>
      </c>
      <c r="BS92" s="80" t="s">
        <v>510</v>
      </c>
      <c r="BT92" s="192">
        <f t="shared" si="19"/>
        <v>71714.819999999992</v>
      </c>
      <c r="BU92" s="150">
        <f t="shared" si="20"/>
        <v>3</v>
      </c>
      <c r="BV92" s="126">
        <v>3.5697000000000001</v>
      </c>
      <c r="BW92" s="256"/>
      <c r="BX92" s="49"/>
      <c r="BY92" s="108"/>
      <c r="BZ92" s="108"/>
      <c r="CA92" s="108"/>
      <c r="CB92" s="49"/>
      <c r="CC92" s="108"/>
      <c r="CD92" s="108"/>
      <c r="CE92" s="108"/>
      <c r="CF92" s="213"/>
      <c r="CG92" s="142" t="str">
        <f t="shared" si="21"/>
        <v>BLANK</v>
      </c>
      <c r="CH92" s="142" t="str">
        <f t="shared" si="24"/>
        <v>FAIL</v>
      </c>
      <c r="CI92" s="259"/>
      <c r="CJ92" s="261"/>
      <c r="CK92" s="49"/>
      <c r="CL92" s="256"/>
      <c r="CM92" s="49"/>
      <c r="CN92" s="49"/>
      <c r="CO92" s="108"/>
      <c r="CP92" s="108"/>
      <c r="CQ92" s="108"/>
      <c r="CR92" s="243"/>
      <c r="CS92" s="213"/>
      <c r="CT92" s="142" t="str">
        <f t="shared" si="11"/>
        <v>BLANK</v>
      </c>
      <c r="CU92" s="142" t="str">
        <f t="shared" si="23"/>
        <v>FAIL</v>
      </c>
      <c r="CV92" s="259"/>
      <c r="CW92" s="261"/>
      <c r="CX92" s="49" t="s">
        <v>1092</v>
      </c>
    </row>
    <row r="93" spans="1:102" ht="54.75" customHeight="1">
      <c r="A93" s="340"/>
      <c r="B93" s="198">
        <v>3</v>
      </c>
      <c r="C93" s="225"/>
      <c r="D93" s="330"/>
      <c r="E93" s="330"/>
      <c r="F93" s="102" t="s">
        <v>562</v>
      </c>
      <c r="G93" s="102" t="s">
        <v>563</v>
      </c>
      <c r="H93" s="102" t="s">
        <v>557</v>
      </c>
      <c r="I93" s="102" t="s">
        <v>179</v>
      </c>
      <c r="J93" s="102" t="s">
        <v>564</v>
      </c>
      <c r="K93" s="102">
        <v>15</v>
      </c>
      <c r="L93" s="102">
        <v>15</v>
      </c>
      <c r="M93" s="102" t="s">
        <v>48</v>
      </c>
      <c r="N93" s="102" t="s">
        <v>40</v>
      </c>
      <c r="O93" s="102" t="s">
        <v>41</v>
      </c>
      <c r="P93" s="131" t="s">
        <v>42</v>
      </c>
      <c r="Q93" s="102" t="s">
        <v>43</v>
      </c>
      <c r="R93" s="102" t="s">
        <v>43</v>
      </c>
      <c r="S93" s="102" t="s">
        <v>44</v>
      </c>
      <c r="T93" s="102">
        <v>222777737</v>
      </c>
      <c r="U93" s="102" t="s">
        <v>45</v>
      </c>
      <c r="V93" s="102" t="s">
        <v>53</v>
      </c>
      <c r="W93" s="102" t="s">
        <v>180</v>
      </c>
      <c r="X93" s="102" t="s">
        <v>62</v>
      </c>
      <c r="Y93" s="102">
        <v>20002</v>
      </c>
      <c r="Z93" s="102" t="s">
        <v>42</v>
      </c>
      <c r="AA93" s="102" t="s">
        <v>43</v>
      </c>
      <c r="AB93" s="102" t="s">
        <v>42</v>
      </c>
      <c r="AC93" s="102" t="s">
        <v>42</v>
      </c>
      <c r="AD93" s="102" t="s">
        <v>42</v>
      </c>
      <c r="AE93" s="102" t="s">
        <v>42</v>
      </c>
      <c r="AF93" s="102" t="s">
        <v>42</v>
      </c>
      <c r="AG93" s="102" t="s">
        <v>42</v>
      </c>
      <c r="AH93" s="102" t="s">
        <v>42</v>
      </c>
      <c r="AI93" s="102" t="s">
        <v>42</v>
      </c>
      <c r="AJ93" s="102" t="s">
        <v>42</v>
      </c>
      <c r="AK93" s="102" t="s">
        <v>42</v>
      </c>
      <c r="AL93" s="102" t="s">
        <v>43</v>
      </c>
      <c r="AM93" s="102" t="s">
        <v>58</v>
      </c>
      <c r="AN93" s="102" t="s">
        <v>42</v>
      </c>
      <c r="AO93" s="102" t="s">
        <v>189</v>
      </c>
      <c r="AP93" s="102" t="s">
        <v>538</v>
      </c>
      <c r="AQ93" s="98" t="s">
        <v>807</v>
      </c>
      <c r="AR93" s="188">
        <f t="shared" si="26"/>
        <v>71714.819999999992</v>
      </c>
      <c r="AS93" s="122">
        <v>3</v>
      </c>
      <c r="AT93" s="105"/>
      <c r="AU93" s="105"/>
      <c r="AV93" s="102"/>
      <c r="AW93" s="102"/>
      <c r="AX93" s="102" t="s">
        <v>43</v>
      </c>
      <c r="AY93" s="102" t="s">
        <v>43</v>
      </c>
      <c r="AZ93" s="102" t="s">
        <v>43</v>
      </c>
      <c r="BA93" s="105"/>
      <c r="BB93" s="105"/>
      <c r="BC93" s="102" t="s">
        <v>43</v>
      </c>
      <c r="BD93" s="102" t="s">
        <v>43</v>
      </c>
      <c r="BE93" s="102" t="s">
        <v>43</v>
      </c>
      <c r="BF93" s="102" t="s">
        <v>43</v>
      </c>
      <c r="BG93" s="102" t="s">
        <v>43</v>
      </c>
      <c r="BH93" s="76" t="s">
        <v>874</v>
      </c>
      <c r="BI93" s="248">
        <f ca="1">AR93/INDIRECT("'Formula for FPL-2015'!B"&amp;'24 Core'!AS93)</f>
        <v>3.569677451468392</v>
      </c>
      <c r="BJ93" s="76">
        <f ca="1">AR93/INDIRECT("'Formula for FPL-2014'!B"&amp;'24 Core'!AS93)</f>
        <v>3.6237908034360786</v>
      </c>
      <c r="BK93" s="55">
        <v>367.2</v>
      </c>
      <c r="BL93" s="106"/>
      <c r="BM93" s="102">
        <v>314</v>
      </c>
      <c r="BN93" s="104">
        <v>886.83</v>
      </c>
      <c r="BO93" s="104">
        <v>881.69</v>
      </c>
      <c r="BP93" s="55" t="s">
        <v>167</v>
      </c>
      <c r="BQ93" s="80" t="s">
        <v>510</v>
      </c>
      <c r="BR93" s="80" t="s">
        <v>509</v>
      </c>
      <c r="BS93" s="80" t="s">
        <v>510</v>
      </c>
      <c r="BT93" s="192">
        <f t="shared" si="19"/>
        <v>71714.819999999992</v>
      </c>
      <c r="BU93" s="150">
        <f t="shared" si="20"/>
        <v>3</v>
      </c>
      <c r="BV93" s="126">
        <v>3.5697000000000001</v>
      </c>
      <c r="BW93" s="257"/>
      <c r="BX93" s="49"/>
      <c r="BY93" s="108"/>
      <c r="BZ93" s="108"/>
      <c r="CA93" s="108"/>
      <c r="CB93" s="49"/>
      <c r="CC93" s="108"/>
      <c r="CD93" s="108"/>
      <c r="CE93" s="108"/>
      <c r="CF93" s="213"/>
      <c r="CG93" s="142" t="str">
        <f t="shared" si="21"/>
        <v>BLANK</v>
      </c>
      <c r="CH93" s="142" t="str">
        <f t="shared" si="24"/>
        <v>FAIL</v>
      </c>
      <c r="CI93" s="260"/>
      <c r="CJ93" s="262"/>
      <c r="CK93" s="49"/>
      <c r="CL93" s="257"/>
      <c r="CM93" s="49"/>
      <c r="CN93" s="49"/>
      <c r="CO93" s="108"/>
      <c r="CP93" s="108"/>
      <c r="CQ93" s="108"/>
      <c r="CR93" s="243"/>
      <c r="CS93" s="213"/>
      <c r="CT93" s="142" t="str">
        <f t="shared" si="11"/>
        <v>BLANK</v>
      </c>
      <c r="CU93" s="142" t="str">
        <f t="shared" si="23"/>
        <v>FAIL</v>
      </c>
      <c r="CV93" s="260"/>
      <c r="CW93" s="262"/>
      <c r="CX93" s="49" t="s">
        <v>1093</v>
      </c>
    </row>
  </sheetData>
  <autoFilter ref="A13:DB93"/>
  <mergeCells count="201">
    <mergeCell ref="E22:E24"/>
    <mergeCell ref="E25:E27"/>
    <mergeCell ref="E74:E76"/>
    <mergeCell ref="E77:E78"/>
    <mergeCell ref="D74:D76"/>
    <mergeCell ref="D77:D78"/>
    <mergeCell ref="E64:E71"/>
    <mergeCell ref="D58:D63"/>
    <mergeCell ref="D64:D71"/>
    <mergeCell ref="D72:D73"/>
    <mergeCell ref="D34:D36"/>
    <mergeCell ref="D37:D40"/>
    <mergeCell ref="D41:D44"/>
    <mergeCell ref="E37:E40"/>
    <mergeCell ref="E41:E44"/>
    <mergeCell ref="E72:E73"/>
    <mergeCell ref="E58:E63"/>
    <mergeCell ref="E53:E57"/>
    <mergeCell ref="E49:E52"/>
    <mergeCell ref="D49:D52"/>
    <mergeCell ref="D53:D57"/>
    <mergeCell ref="A11:E12"/>
    <mergeCell ref="A83:A85"/>
    <mergeCell ref="A86:A87"/>
    <mergeCell ref="A88:A90"/>
    <mergeCell ref="A91:A93"/>
    <mergeCell ref="BW83:BW85"/>
    <mergeCell ref="BW86:BW87"/>
    <mergeCell ref="BW88:BW90"/>
    <mergeCell ref="BW91:BW93"/>
    <mergeCell ref="D83:D85"/>
    <mergeCell ref="E83:E85"/>
    <mergeCell ref="D86:D87"/>
    <mergeCell ref="E86:E87"/>
    <mergeCell ref="D88:D90"/>
    <mergeCell ref="E88:E90"/>
    <mergeCell ref="D91:D93"/>
    <mergeCell ref="E91:E93"/>
    <mergeCell ref="E28:E30"/>
    <mergeCell ref="E31:E33"/>
    <mergeCell ref="E34:E36"/>
    <mergeCell ref="D28:D30"/>
    <mergeCell ref="D31:D33"/>
    <mergeCell ref="D14:D15"/>
    <mergeCell ref="E20:E21"/>
    <mergeCell ref="E79:E80"/>
    <mergeCell ref="D79:D80"/>
    <mergeCell ref="D45:D48"/>
    <mergeCell ref="E45:E48"/>
    <mergeCell ref="A14:A15"/>
    <mergeCell ref="AP12:AU12"/>
    <mergeCell ref="F11:BE11"/>
    <mergeCell ref="AV12:AW12"/>
    <mergeCell ref="BE12:BG12"/>
    <mergeCell ref="AX12:BB12"/>
    <mergeCell ref="F12:Z12"/>
    <mergeCell ref="AA12:AD12"/>
    <mergeCell ref="AE12:AJ12"/>
    <mergeCell ref="AK12:AL12"/>
    <mergeCell ref="AM12:AO12"/>
    <mergeCell ref="E14:E15"/>
    <mergeCell ref="D16:D17"/>
    <mergeCell ref="D20:D21"/>
    <mergeCell ref="D22:D24"/>
    <mergeCell ref="D25:D27"/>
    <mergeCell ref="A16:A17"/>
    <mergeCell ref="E16:E17"/>
    <mergeCell ref="E18:E19"/>
    <mergeCell ref="D18:D19"/>
    <mergeCell ref="A18:A19"/>
    <mergeCell ref="A58:A63"/>
    <mergeCell ref="A45:A48"/>
    <mergeCell ref="A79:A80"/>
    <mergeCell ref="A77:A78"/>
    <mergeCell ref="A74:A76"/>
    <mergeCell ref="A72:A73"/>
    <mergeCell ref="A64:A71"/>
    <mergeCell ref="A31:A33"/>
    <mergeCell ref="A28:A30"/>
    <mergeCell ref="A25:A27"/>
    <mergeCell ref="A22:A24"/>
    <mergeCell ref="A20:A21"/>
    <mergeCell ref="A41:A44"/>
    <mergeCell ref="A37:A40"/>
    <mergeCell ref="A34:A36"/>
    <mergeCell ref="A53:A57"/>
    <mergeCell ref="A49:A52"/>
    <mergeCell ref="BW28:BW30"/>
    <mergeCell ref="BW16:BW17"/>
    <mergeCell ref="CG11:CK12"/>
    <mergeCell ref="BW14:BW15"/>
    <mergeCell ref="BW18:BW19"/>
    <mergeCell ref="BW20:BW21"/>
    <mergeCell ref="BW22:BW24"/>
    <mergeCell ref="BW25:BW27"/>
    <mergeCell ref="BH11:BV12"/>
    <mergeCell ref="BW11:BW13"/>
    <mergeCell ref="CI25:CI27"/>
    <mergeCell ref="CI28:CI30"/>
    <mergeCell ref="BP1:BV1"/>
    <mergeCell ref="CG10:CH10"/>
    <mergeCell ref="CI14:CI15"/>
    <mergeCell ref="CI16:CI17"/>
    <mergeCell ref="CI18:CI19"/>
    <mergeCell ref="CI20:CI21"/>
    <mergeCell ref="BX11:BX13"/>
    <mergeCell ref="BY11:CF12"/>
    <mergeCell ref="CI22:CI24"/>
    <mergeCell ref="CI31:CI33"/>
    <mergeCell ref="CI34:CI36"/>
    <mergeCell ref="CI37:CI40"/>
    <mergeCell ref="CI41:CI44"/>
    <mergeCell ref="CJ43:CJ44"/>
    <mergeCell ref="CI45:CI48"/>
    <mergeCell ref="CI86:CI87"/>
    <mergeCell ref="CI88:CI90"/>
    <mergeCell ref="CI91:CI93"/>
    <mergeCell ref="CJ91:CJ93"/>
    <mergeCell ref="CI49:CI52"/>
    <mergeCell ref="CJ49:CJ52"/>
    <mergeCell ref="CI53:CI57"/>
    <mergeCell ref="CI58:CI63"/>
    <mergeCell ref="CI64:CI71"/>
    <mergeCell ref="CI72:CI73"/>
    <mergeCell ref="CI74:CI76"/>
    <mergeCell ref="CI77:CI78"/>
    <mergeCell ref="CI79:CI80"/>
    <mergeCell ref="CI83:CI85"/>
    <mergeCell ref="CJ83:CJ85"/>
    <mergeCell ref="CJ45:CJ48"/>
    <mergeCell ref="BW31:BW33"/>
    <mergeCell ref="BW34:BW36"/>
    <mergeCell ref="BW64:BW71"/>
    <mergeCell ref="BW72:BW73"/>
    <mergeCell ref="BW74:BW76"/>
    <mergeCell ref="BW77:BW78"/>
    <mergeCell ref="BW79:BW80"/>
    <mergeCell ref="BW37:BW40"/>
    <mergeCell ref="BW41:BW44"/>
    <mergeCell ref="BW58:BW63"/>
    <mergeCell ref="BW53:BW57"/>
    <mergeCell ref="BW49:BW52"/>
    <mergeCell ref="BW45:BW48"/>
    <mergeCell ref="CT10:CU10"/>
    <mergeCell ref="CL11:CL13"/>
    <mergeCell ref="CM11:CM13"/>
    <mergeCell ref="CN11:CS12"/>
    <mergeCell ref="CT11:CX12"/>
    <mergeCell ref="CL14:CL15"/>
    <mergeCell ref="CV14:CV15"/>
    <mergeCell ref="CL16:CL17"/>
    <mergeCell ref="CV16:CV17"/>
    <mergeCell ref="CV18:CV19"/>
    <mergeCell ref="CL20:CL21"/>
    <mergeCell ref="CV20:CV21"/>
    <mergeCell ref="CL22:CL24"/>
    <mergeCell ref="CV22:CV24"/>
    <mergeCell ref="CL25:CL27"/>
    <mergeCell ref="CV25:CV27"/>
    <mergeCell ref="CL28:CL30"/>
    <mergeCell ref="CV28:CV30"/>
    <mergeCell ref="CL18:CL19"/>
    <mergeCell ref="CV31:CV33"/>
    <mergeCell ref="CL34:CL36"/>
    <mergeCell ref="CV34:CV36"/>
    <mergeCell ref="CL37:CL40"/>
    <mergeCell ref="CV37:CV40"/>
    <mergeCell ref="CL41:CL44"/>
    <mergeCell ref="CV41:CV44"/>
    <mergeCell ref="CW43:CW44"/>
    <mergeCell ref="CL45:CL48"/>
    <mergeCell ref="CV45:CV48"/>
    <mergeCell ref="CW45:CW48"/>
    <mergeCell ref="CL31:CL33"/>
    <mergeCell ref="CV49:CV52"/>
    <mergeCell ref="CW49:CW52"/>
    <mergeCell ref="CL53:CL57"/>
    <mergeCell ref="CV53:CV57"/>
    <mergeCell ref="CL58:CL63"/>
    <mergeCell ref="CV58:CV63"/>
    <mergeCell ref="CL64:CL71"/>
    <mergeCell ref="CV64:CV71"/>
    <mergeCell ref="CL72:CL73"/>
    <mergeCell ref="CV72:CV73"/>
    <mergeCell ref="CL49:CL52"/>
    <mergeCell ref="CL88:CL90"/>
    <mergeCell ref="CV88:CV90"/>
    <mergeCell ref="CL91:CL93"/>
    <mergeCell ref="CV91:CV93"/>
    <mergeCell ref="CW91:CW93"/>
    <mergeCell ref="CV74:CV76"/>
    <mergeCell ref="CL77:CL78"/>
    <mergeCell ref="CV77:CV78"/>
    <mergeCell ref="CL79:CL80"/>
    <mergeCell ref="CV79:CV80"/>
    <mergeCell ref="CL83:CL85"/>
    <mergeCell ref="CV83:CV85"/>
    <mergeCell ref="CW83:CW85"/>
    <mergeCell ref="CL86:CL87"/>
    <mergeCell ref="CV86:CV87"/>
    <mergeCell ref="CL74:CL76"/>
  </mergeCells>
  <conditionalFormatting sqref="CI14:CJ43 CI45:CJ45 CI44 CI49:CJ49 CI46:CI48 CI50:CI52 CI53:CJ83 CI86:CJ91 CI84:CI85 CI92:CI93">
    <cfRule type="containsText" dxfId="7" priority="5" operator="containsText" text="FAIL">
      <formula>NOT(ISERROR(SEARCH("FAIL",CI14)))</formula>
    </cfRule>
    <cfRule type="containsText" dxfId="6" priority="6" operator="containsText" text="PASS">
      <formula>NOT(ISERROR(SEARCH("PASS",CI14)))</formula>
    </cfRule>
  </conditionalFormatting>
  <conditionalFormatting sqref="CG14:CH93">
    <cfRule type="containsText" dxfId="5" priority="7" operator="containsText" text="FAIL">
      <formula>NOT(ISERROR(SEARCH("FAIL",CG14)))</formula>
    </cfRule>
    <cfRule type="containsText" dxfId="4" priority="8" operator="containsText" text="PASS">
      <formula>NOT(ISERROR(SEARCH("PASS",CG14)))</formula>
    </cfRule>
  </conditionalFormatting>
  <conditionalFormatting sqref="CT14:CU93">
    <cfRule type="containsText" dxfId="3" priority="3" operator="containsText" text="FAIL">
      <formula>NOT(ISERROR(SEARCH("FAIL",CT14)))</formula>
    </cfRule>
    <cfRule type="containsText" dxfId="2" priority="4" operator="containsText" text="PASS">
      <formula>NOT(ISERROR(SEARCH("PASS",CT14)))</formula>
    </cfRule>
  </conditionalFormatting>
  <conditionalFormatting sqref="CV14:CW43 CV45:CW45 CV44 CV49:CW49 CV46:CV48 CV50:CV52 CV53:CW83 CV86:CW91 CV84:CV85 CV92:CV93">
    <cfRule type="containsText" dxfId="1" priority="1" operator="containsText" text="FAIL">
      <formula>NOT(ISERROR(SEARCH("FAIL",CV14)))</formula>
    </cfRule>
    <cfRule type="containsText" dxfId="0" priority="2" operator="containsText" text="PASS">
      <formula>NOT(ISERROR(SEARCH("PASS",CV14)))</formula>
    </cfRule>
  </conditionalFormatting>
  <dataValidations disablePrompts="1" count="1">
    <dataValidation type="list" allowBlank="1" showInputMessage="1" showErrorMessage="1" sqref="BG2:BG10">
      <formula1>ExpRes</formula1>
    </dataValidation>
  </dataValidations>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D6" sqref="D6"/>
    </sheetView>
  </sheetViews>
  <sheetFormatPr defaultRowHeight="15"/>
  <cols>
    <col min="1" max="1" width="23.28515625" customWidth="1"/>
    <col min="2" max="2" width="20.5703125" customWidth="1"/>
  </cols>
  <sheetData>
    <row r="1" spans="1:2" ht="26.25" thickBot="1">
      <c r="A1" s="171" t="s">
        <v>869</v>
      </c>
      <c r="B1" s="172" t="s">
        <v>870</v>
      </c>
    </row>
    <row r="2" spans="1:2" ht="16.5" thickTop="1" thickBot="1">
      <c r="A2" s="173">
        <v>1</v>
      </c>
      <c r="B2" s="174">
        <v>11880</v>
      </c>
    </row>
    <row r="3" spans="1:2" ht="15.75" thickBot="1">
      <c r="A3" s="173">
        <v>2</v>
      </c>
      <c r="B3" s="175">
        <v>16020</v>
      </c>
    </row>
    <row r="4" spans="1:2" ht="15.75" thickBot="1">
      <c r="A4" s="173">
        <v>3</v>
      </c>
      <c r="B4" s="175">
        <v>20160</v>
      </c>
    </row>
    <row r="5" spans="1:2" ht="15.75" thickBot="1">
      <c r="A5" s="173">
        <v>4</v>
      </c>
      <c r="B5" s="175">
        <v>24300</v>
      </c>
    </row>
    <row r="6" spans="1:2" ht="15.75" thickBot="1">
      <c r="A6" s="173">
        <v>5</v>
      </c>
      <c r="B6" s="175">
        <v>28440</v>
      </c>
    </row>
    <row r="7" spans="1:2" ht="15.75" thickBot="1">
      <c r="A7" s="173">
        <v>6</v>
      </c>
      <c r="B7" s="175">
        <v>32580</v>
      </c>
    </row>
    <row r="8" spans="1:2" ht="15.75" thickBot="1">
      <c r="A8" s="173">
        <v>7</v>
      </c>
      <c r="B8" s="175">
        <v>36730</v>
      </c>
    </row>
    <row r="9" spans="1:2" ht="15.75" thickBot="1">
      <c r="A9" s="173">
        <v>8</v>
      </c>
      <c r="B9" s="175">
        <v>40890</v>
      </c>
    </row>
    <row r="10" spans="1:2" ht="15.75" thickBot="1">
      <c r="A10" s="173">
        <v>9</v>
      </c>
      <c r="B10" s="177">
        <f>B9+4160</f>
        <v>45050</v>
      </c>
    </row>
    <row r="11" spans="1:2" ht="15.75" thickBot="1">
      <c r="A11" s="173">
        <v>10</v>
      </c>
      <c r="B11" s="177">
        <f>B10+4160</f>
        <v>49210</v>
      </c>
    </row>
    <row r="12" spans="1:2">
      <c r="A12" s="176"/>
      <c r="B12" s="177"/>
    </row>
    <row r="13" spans="1:2">
      <c r="A13" s="176"/>
      <c r="B13" s="177"/>
    </row>
    <row r="14" spans="1:2">
      <c r="A14" t="s">
        <v>871</v>
      </c>
    </row>
    <row r="16" spans="1:2">
      <c r="A16" t="s">
        <v>868</v>
      </c>
    </row>
    <row r="17" spans="1:1">
      <c r="A17" s="178" t="s">
        <v>872</v>
      </c>
    </row>
  </sheetData>
  <hyperlinks>
    <hyperlink ref="A17" r:id="rId1"/>
  </hyperlinks>
  <pageMargins left="0.7" right="0.7" top="0.75" bottom="0.75" header="0.3" footer="0.3"/>
  <pageSetup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26"/>
  <sheetViews>
    <sheetView workbookViewId="0">
      <selection activeCell="B1" sqref="B1:B1048576"/>
    </sheetView>
  </sheetViews>
  <sheetFormatPr defaultColWidth="8.85546875" defaultRowHeight="15"/>
  <cols>
    <col min="1" max="1" width="27.28515625" style="97" customWidth="1"/>
    <col min="2" max="2" width="46.42578125" style="97" customWidth="1"/>
    <col min="3" max="3" width="37.28515625" style="97" customWidth="1"/>
    <col min="4" max="16384" width="8.85546875" style="95"/>
  </cols>
  <sheetData>
    <row r="1" spans="1:3">
      <c r="A1" s="94" t="s">
        <v>515</v>
      </c>
      <c r="B1" s="94" t="s">
        <v>0</v>
      </c>
      <c r="C1" s="94" t="s">
        <v>514</v>
      </c>
    </row>
    <row r="2" spans="1:3" ht="135">
      <c r="A2" s="96" t="s">
        <v>240</v>
      </c>
      <c r="B2" s="96" t="s">
        <v>516</v>
      </c>
      <c r="C2" s="96" t="s">
        <v>513</v>
      </c>
    </row>
    <row r="3" spans="1:3" ht="240">
      <c r="A3" s="96" t="s">
        <v>218</v>
      </c>
      <c r="B3" s="96" t="s">
        <v>517</v>
      </c>
      <c r="C3" s="96" t="s">
        <v>518</v>
      </c>
    </row>
    <row r="4" spans="1:3">
      <c r="A4" s="96"/>
      <c r="B4" s="96"/>
      <c r="C4" s="96"/>
    </row>
    <row r="5" spans="1:3">
      <c r="A5" s="96"/>
      <c r="B5" s="96"/>
      <c r="C5" s="96"/>
    </row>
    <row r="6" spans="1:3">
      <c r="A6" s="96"/>
      <c r="B6" s="96"/>
      <c r="C6" s="96"/>
    </row>
    <row r="7" spans="1:3">
      <c r="A7" s="96"/>
      <c r="B7" s="96"/>
      <c r="C7" s="96"/>
    </row>
    <row r="8" spans="1:3">
      <c r="A8" s="96"/>
      <c r="B8" s="96"/>
      <c r="C8" s="96"/>
    </row>
    <row r="9" spans="1:3">
      <c r="A9" s="96"/>
      <c r="B9" s="96"/>
      <c r="C9" s="96"/>
    </row>
    <row r="10" spans="1:3">
      <c r="A10" s="96"/>
      <c r="B10" s="96"/>
      <c r="C10" s="96"/>
    </row>
    <row r="11" spans="1:3">
      <c r="A11" s="96"/>
      <c r="B11" s="96"/>
      <c r="C11" s="96"/>
    </row>
    <row r="12" spans="1:3">
      <c r="A12" s="96"/>
      <c r="B12" s="96"/>
      <c r="C12" s="96"/>
    </row>
    <row r="13" spans="1:3">
      <c r="A13" s="96"/>
      <c r="B13" s="96"/>
      <c r="C13" s="96"/>
    </row>
    <row r="14" spans="1:3">
      <c r="A14" s="96"/>
      <c r="B14" s="96"/>
      <c r="C14" s="96"/>
    </row>
    <row r="15" spans="1:3">
      <c r="A15" s="96"/>
      <c r="B15" s="96"/>
      <c r="C15" s="96"/>
    </row>
    <row r="16" spans="1:3">
      <c r="A16" s="96"/>
      <c r="B16" s="96"/>
      <c r="C16" s="96"/>
    </row>
    <row r="17" spans="1:3">
      <c r="A17" s="96"/>
      <c r="B17" s="96"/>
      <c r="C17" s="96"/>
    </row>
    <row r="18" spans="1:3">
      <c r="A18" s="96"/>
      <c r="B18" s="96"/>
      <c r="C18" s="96"/>
    </row>
    <row r="19" spans="1:3">
      <c r="A19" s="96"/>
      <c r="B19" s="96"/>
      <c r="C19" s="96"/>
    </row>
    <row r="20" spans="1:3">
      <c r="A20" s="96"/>
      <c r="B20" s="96"/>
      <c r="C20" s="96"/>
    </row>
    <row r="21" spans="1:3">
      <c r="A21" s="96"/>
      <c r="B21" s="96"/>
      <c r="C21" s="96"/>
    </row>
    <row r="22" spans="1:3">
      <c r="A22" s="96"/>
      <c r="B22" s="96"/>
      <c r="C22" s="96"/>
    </row>
    <row r="23" spans="1:3">
      <c r="A23" s="96"/>
      <c r="B23" s="96"/>
      <c r="C23" s="96"/>
    </row>
    <row r="24" spans="1:3">
      <c r="A24" s="96"/>
      <c r="B24" s="96"/>
      <c r="C24" s="96"/>
    </row>
    <row r="25" spans="1:3">
      <c r="A25" s="96"/>
      <c r="B25" s="96"/>
      <c r="C25" s="96"/>
    </row>
    <row r="26" spans="1:3">
      <c r="A26" s="96"/>
      <c r="B26" s="96"/>
      <c r="C26" s="9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8"/>
  <sheetViews>
    <sheetView workbookViewId="0">
      <selection activeCell="A7" sqref="A1:A7"/>
    </sheetView>
  </sheetViews>
  <sheetFormatPr defaultRowHeight="15"/>
  <cols>
    <col min="1" max="1" width="13.42578125" style="119" customWidth="1"/>
    <col min="2" max="2" width="16.140625" style="119" customWidth="1"/>
    <col min="3" max="3" width="11.28515625" style="119" customWidth="1"/>
    <col min="4" max="4" width="29.42578125" style="5" customWidth="1"/>
    <col min="5" max="5" width="21.28515625" style="5" customWidth="1"/>
    <col min="6" max="6" width="20.42578125" style="5" customWidth="1"/>
    <col min="7" max="16384" width="9.140625" style="5"/>
  </cols>
  <sheetData>
    <row r="1" spans="1:7">
      <c r="A1" s="118" t="s">
        <v>9</v>
      </c>
      <c r="B1" s="118" t="s">
        <v>581</v>
      </c>
      <c r="C1" s="118" t="s">
        <v>579</v>
      </c>
      <c r="D1" s="116" t="s">
        <v>584</v>
      </c>
      <c r="E1" s="116" t="s">
        <v>582</v>
      </c>
      <c r="F1" s="116" t="s">
        <v>583</v>
      </c>
      <c r="G1" s="116"/>
    </row>
    <row r="2" spans="1:7">
      <c r="A2" s="101" t="s">
        <v>580</v>
      </c>
      <c r="B2" s="101"/>
      <c r="C2" s="101"/>
      <c r="D2" s="117"/>
      <c r="E2" s="117"/>
      <c r="F2" s="117"/>
      <c r="G2" s="117"/>
    </row>
    <row r="3" spans="1:7">
      <c r="A3" s="101" t="s">
        <v>585</v>
      </c>
      <c r="B3" s="101"/>
      <c r="C3" s="101"/>
      <c r="D3" s="117"/>
      <c r="E3" s="117"/>
      <c r="F3" s="117"/>
      <c r="G3" s="117"/>
    </row>
    <row r="4" spans="1:7">
      <c r="A4" s="101" t="s">
        <v>3</v>
      </c>
      <c r="B4" s="101"/>
      <c r="C4" s="101"/>
      <c r="D4" s="117"/>
      <c r="E4" s="117"/>
      <c r="F4" s="117"/>
      <c r="G4" s="117"/>
    </row>
    <row r="5" spans="1:7">
      <c r="A5" s="101" t="s">
        <v>18</v>
      </c>
      <c r="B5" s="101"/>
      <c r="C5" s="101"/>
      <c r="D5" s="117"/>
      <c r="E5" s="117"/>
      <c r="F5" s="117"/>
      <c r="G5" s="117"/>
    </row>
    <row r="6" spans="1:7">
      <c r="A6" s="101" t="s">
        <v>19</v>
      </c>
      <c r="B6" s="101"/>
      <c r="C6" s="101"/>
      <c r="D6" s="117"/>
      <c r="E6" s="117"/>
      <c r="F6" s="117"/>
      <c r="G6" s="117"/>
    </row>
    <row r="7" spans="1:7">
      <c r="A7" s="101" t="s">
        <v>586</v>
      </c>
      <c r="B7" s="101"/>
      <c r="C7" s="101"/>
      <c r="D7" s="117"/>
      <c r="E7" s="117"/>
      <c r="F7" s="117"/>
      <c r="G7" s="117"/>
    </row>
    <row r="8" spans="1:7">
      <c r="A8" s="101"/>
      <c r="B8" s="101"/>
      <c r="C8" s="101"/>
      <c r="D8" s="117"/>
      <c r="E8" s="117"/>
      <c r="F8" s="117"/>
      <c r="G8" s="11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8"/>
  <sheetViews>
    <sheetView workbookViewId="0">
      <selection sqref="A1:A80"/>
    </sheetView>
  </sheetViews>
  <sheetFormatPr defaultRowHeight="15"/>
  <sheetData>
    <row r="1" spans="1:1">
      <c r="A1" t="e">
        <f>VLOOKUP($D1&amp;"-"&amp;$DD24,DCAS160205!$A$2:$E$112,2,FALSE)</f>
        <v>#N/A</v>
      </c>
    </row>
    <row r="5" spans="1:1">
      <c r="A5" t="e">
        <f>VLOOKUP($D5&amp;"-"&amp;$DD24,DCAS160205!$A$2:$E$112,2,FALSE)</f>
        <v>#N/A</v>
      </c>
    </row>
    <row r="7" spans="1:1">
      <c r="A7" t="e">
        <f>VLOOKUP($D7&amp;"-"&amp;$DD24,DCAS160205!$A$2:$E$112,2,FALSE)</f>
        <v>#N/A</v>
      </c>
    </row>
    <row r="9" spans="1:1">
      <c r="A9" t="e">
        <f>VLOOKUP($D9&amp;"-"&amp;$DD24,DCAS160205!$A$2:$E$112,2,FALSE)</f>
        <v>#N/A</v>
      </c>
    </row>
    <row r="12" spans="1:1">
      <c r="A12" t="e">
        <f>VLOOKUP($D12&amp;"-"&amp;$DD24,DCAS160205!$A$2:$E$112,2,FALSE)</f>
        <v>#N/A</v>
      </c>
    </row>
    <row r="15" spans="1:1">
      <c r="A15" t="e">
        <f>VLOOKUP($D15&amp;"-"&amp;$DD24,DCAS160205!$A$2:$E$112,2,FALSE)</f>
        <v>#N/A</v>
      </c>
    </row>
    <row r="18" spans="1:1">
      <c r="A18" t="e">
        <f>VLOOKUP($D18&amp;"-"&amp;$DD24,DCAS160205!$A$2:$E$112,2,FALSE)</f>
        <v>#N/A</v>
      </c>
    </row>
    <row r="21" spans="1:1">
      <c r="A21" t="e">
        <f>VLOOKUP($D21&amp;"-"&amp;$DD24,DCAS160205!$A$2:$E$112,2,FALSE)</f>
        <v>#N/A</v>
      </c>
    </row>
    <row r="24" spans="1:1">
      <c r="A24" t="e">
        <f>VLOOKUP($D24&amp;"-"&amp;$DD24,DCAS160205!$A$2:$E$112,2,FALSE)</f>
        <v>#N/A</v>
      </c>
    </row>
    <row r="28" spans="1:1">
      <c r="A28" t="e">
        <f>VLOOKUP($D28&amp;"-"&amp;$DD28,DCAS160205!$A$2:$E$112,2,FALSE)</f>
        <v>#N/A</v>
      </c>
    </row>
    <row r="32" spans="1:1">
      <c r="A32" t="e">
        <f>VLOOKUP($D32&amp;"-"&amp;$DD32,DCAS160205!$A$2:$E$112,2,FALSE)</f>
        <v>#N/A</v>
      </c>
    </row>
    <row r="36" spans="1:1">
      <c r="A36" t="e">
        <f>VLOOKUP($D36&amp;"-"&amp;$DD36,DCAS160205!$A$2:$E$112,2,FALSE)</f>
        <v>#N/A</v>
      </c>
    </row>
    <row r="40" spans="1:1">
      <c r="A40" t="e">
        <f>VLOOKUP($D40&amp;"-"&amp;$DD36,DCAS160205!$A$2:$E$112,2,FALSE)</f>
        <v>#N/A</v>
      </c>
    </row>
    <row r="45" spans="1:1">
      <c r="A45" t="e">
        <f>VLOOKUP($D45&amp;"-"&amp;$DD36,DCAS160205!$A$2:$E$112,2,FALSE)</f>
        <v>#N/A</v>
      </c>
    </row>
    <row r="51" spans="1:1">
      <c r="A51" t="e">
        <f>VLOOKUP($D51&amp;"-"&amp;$DD36,DCAS160205!$A$2:$E$112,2,FALSE)</f>
        <v>#N/A</v>
      </c>
    </row>
    <row r="59" spans="1:1">
      <c r="A59" t="e">
        <f>VLOOKUP($D59&amp;"-"&amp;$DD36,DCAS160205!$A$2:$E$112,2,FALSE)</f>
        <v>#N/A</v>
      </c>
    </row>
    <row r="61" spans="1:1">
      <c r="A61" t="e">
        <f>VLOOKUP($D61&amp;"-"&amp;$DD36,DCAS160205!$A$2:$E$112,2,FALSE)</f>
        <v>#N/A</v>
      </c>
    </row>
    <row r="64" spans="1:1">
      <c r="A64" t="e">
        <f>VLOOKUP($D64&amp;"-"&amp;$DD36,DCAS160205!$A$2:$E$112,2,FALSE)</f>
        <v>#N/A</v>
      </c>
    </row>
    <row r="66" spans="1:1">
      <c r="A66" t="e">
        <f>VLOOKUP($D66&amp;"-"&amp;$DD36,DCAS160205!$A$2:$E$112,2,FALSE)</f>
        <v>#N/A</v>
      </c>
    </row>
    <row r="68" spans="1:1">
      <c r="A68" t="e">
        <f>VLOOKUP($D68&amp;"-"&amp;$DD36,DCAS160205!$A$2:$E$112,2,FALSE)</f>
        <v>#N/A</v>
      </c>
    </row>
    <row r="69" spans="1:1">
      <c r="A69" t="e">
        <f>VLOOKUP($D69&amp;"-"&amp;$DD37,DCAS160205!$A$2:$E$112,2,FALSE)</f>
        <v>#N/A</v>
      </c>
    </row>
    <row r="70" spans="1:1">
      <c r="A70" t="e">
        <f>VLOOKUP($D70&amp;"-"&amp;$DD37,DCAS160205!$A$2:$E$112,2,FALSE)</f>
        <v>#N/A</v>
      </c>
    </row>
    <row r="73" spans="1:1">
      <c r="A73" t="e">
        <f>VLOOKUP($D73&amp;"-"&amp;$DD37,DCAS160205!$A$2:$E$112,2,FALSE)</f>
        <v>#N/A</v>
      </c>
    </row>
    <row r="75" spans="1:1">
      <c r="A75" t="e">
        <f>VLOOKUP($D75&amp;"-"&amp;$DD37,DCAS160205!$A$2:$E$112,2,FALSE)</f>
        <v>#N/A</v>
      </c>
    </row>
    <row r="78" spans="1:1">
      <c r="A78" t="e">
        <f>VLOOKUP($D78&amp;"-"&amp;$DD37,DCAS160205!$A$2:$E$112,2,FALSE)</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workbookViewId="0">
      <selection activeCell="A2" sqref="A2"/>
    </sheetView>
  </sheetViews>
  <sheetFormatPr defaultRowHeight="15"/>
  <cols>
    <col min="1" max="1" width="41" customWidth="1"/>
    <col min="2" max="2" width="9.140625" customWidth="1"/>
    <col min="7" max="7" width="45.5703125" customWidth="1"/>
  </cols>
  <sheetData>
    <row r="1" spans="1:5">
      <c r="A1" t="s">
        <v>880</v>
      </c>
      <c r="B1" t="s">
        <v>590</v>
      </c>
      <c r="C1" t="s">
        <v>881</v>
      </c>
      <c r="D1" t="s">
        <v>3</v>
      </c>
      <c r="E1" t="s">
        <v>882</v>
      </c>
    </row>
    <row r="2" spans="1:5">
      <c r="A2" t="s">
        <v>883</v>
      </c>
      <c r="B2" t="s">
        <v>884</v>
      </c>
      <c r="C2" t="s">
        <v>885</v>
      </c>
      <c r="D2">
        <v>50713</v>
      </c>
      <c r="E2">
        <v>318</v>
      </c>
    </row>
    <row r="3" spans="1:5">
      <c r="A3" t="s">
        <v>886</v>
      </c>
      <c r="B3" t="s">
        <v>884</v>
      </c>
      <c r="C3" t="s">
        <v>887</v>
      </c>
      <c r="D3">
        <v>40567</v>
      </c>
      <c r="E3">
        <v>254</v>
      </c>
    </row>
    <row r="4" spans="1:5">
      <c r="A4" t="s">
        <v>888</v>
      </c>
      <c r="B4" t="s">
        <v>889</v>
      </c>
      <c r="C4" t="s">
        <v>887</v>
      </c>
      <c r="D4">
        <v>40567</v>
      </c>
      <c r="E4">
        <v>254</v>
      </c>
    </row>
    <row r="5" spans="1:5">
      <c r="A5" t="s">
        <v>890</v>
      </c>
      <c r="B5" t="s">
        <v>889</v>
      </c>
      <c r="C5" t="s">
        <v>885</v>
      </c>
      <c r="D5">
        <v>50713</v>
      </c>
      <c r="E5">
        <v>318</v>
      </c>
    </row>
    <row r="7" spans="1:5">
      <c r="A7" t="s">
        <v>902</v>
      </c>
      <c r="B7" t="s">
        <v>884</v>
      </c>
      <c r="C7" t="s">
        <v>891</v>
      </c>
      <c r="D7">
        <v>50708</v>
      </c>
      <c r="E7">
        <v>318</v>
      </c>
    </row>
    <row r="8" spans="1:5">
      <c r="A8" t="s">
        <v>903</v>
      </c>
      <c r="B8" t="s">
        <v>889</v>
      </c>
      <c r="C8" t="s">
        <v>892</v>
      </c>
      <c r="D8">
        <v>25333</v>
      </c>
      <c r="E8">
        <v>126</v>
      </c>
    </row>
    <row r="9" spans="1:5">
      <c r="A9" t="s">
        <v>904</v>
      </c>
      <c r="B9" t="s">
        <v>889</v>
      </c>
      <c r="C9" t="s">
        <v>891</v>
      </c>
      <c r="D9">
        <v>50708</v>
      </c>
      <c r="E9">
        <v>318</v>
      </c>
    </row>
    <row r="10" spans="1:5">
      <c r="A10" t="s">
        <v>905</v>
      </c>
      <c r="B10" t="s">
        <v>889</v>
      </c>
      <c r="C10" t="s">
        <v>892</v>
      </c>
      <c r="D10">
        <v>25333</v>
      </c>
      <c r="E10">
        <v>126</v>
      </c>
    </row>
    <row r="11" spans="1:5">
      <c r="A11" t="s">
        <v>906</v>
      </c>
      <c r="B11" t="s">
        <v>889</v>
      </c>
      <c r="C11" t="s">
        <v>893</v>
      </c>
      <c r="D11">
        <v>76041</v>
      </c>
      <c r="E11">
        <v>267</v>
      </c>
    </row>
    <row r="13" spans="1:5">
      <c r="A13" t="s">
        <v>907</v>
      </c>
      <c r="B13" t="s">
        <v>884</v>
      </c>
      <c r="C13">
        <v>1</v>
      </c>
      <c r="D13">
        <v>10000</v>
      </c>
      <c r="E13">
        <v>84</v>
      </c>
    </row>
    <row r="15" spans="1:5">
      <c r="A15" t="s">
        <v>908</v>
      </c>
      <c r="B15" t="s">
        <v>884</v>
      </c>
      <c r="C15" t="s">
        <v>894</v>
      </c>
      <c r="D15">
        <v>20000</v>
      </c>
      <c r="E15">
        <v>125</v>
      </c>
    </row>
    <row r="16" spans="1:5">
      <c r="A16" t="s">
        <v>911</v>
      </c>
      <c r="B16" t="s">
        <v>884</v>
      </c>
      <c r="C16" t="s">
        <v>894</v>
      </c>
      <c r="D16">
        <v>20000</v>
      </c>
      <c r="E16">
        <v>125</v>
      </c>
    </row>
    <row r="18" spans="1:5">
      <c r="A18" t="s">
        <v>909</v>
      </c>
      <c r="B18" t="s">
        <v>884</v>
      </c>
      <c r="C18" t="s">
        <v>895</v>
      </c>
      <c r="D18">
        <v>76068</v>
      </c>
      <c r="E18">
        <v>378</v>
      </c>
    </row>
    <row r="19" spans="1:5">
      <c r="A19" t="s">
        <v>912</v>
      </c>
      <c r="B19" t="s">
        <v>884</v>
      </c>
      <c r="C19" t="s">
        <v>896</v>
      </c>
      <c r="D19">
        <v>51068</v>
      </c>
      <c r="E19">
        <v>254</v>
      </c>
    </row>
    <row r="20" spans="1:5">
      <c r="A20" t="s">
        <v>913</v>
      </c>
      <c r="B20" t="s">
        <v>884</v>
      </c>
      <c r="C20" t="s">
        <v>893</v>
      </c>
      <c r="D20">
        <v>76068</v>
      </c>
      <c r="E20">
        <v>313</v>
      </c>
    </row>
    <row r="21" spans="1:5">
      <c r="A21" t="s">
        <v>914</v>
      </c>
      <c r="B21" t="s">
        <v>889</v>
      </c>
      <c r="C21" t="s">
        <v>893</v>
      </c>
      <c r="D21">
        <v>76068</v>
      </c>
      <c r="E21">
        <v>313</v>
      </c>
    </row>
    <row r="23" spans="1:5">
      <c r="A23" t="s">
        <v>910</v>
      </c>
      <c r="B23" t="s">
        <v>884</v>
      </c>
      <c r="C23" t="s">
        <v>895</v>
      </c>
      <c r="D23">
        <v>86200</v>
      </c>
      <c r="E23">
        <v>429</v>
      </c>
    </row>
    <row r="24" spans="1:5">
      <c r="A24" t="s">
        <v>915</v>
      </c>
      <c r="B24" t="s">
        <v>884</v>
      </c>
      <c r="C24" t="s">
        <v>896</v>
      </c>
      <c r="D24">
        <v>86200</v>
      </c>
      <c r="E24">
        <v>429</v>
      </c>
    </row>
    <row r="25" spans="1:5">
      <c r="A25" t="s">
        <v>916</v>
      </c>
      <c r="B25" t="s">
        <v>884</v>
      </c>
      <c r="C25" t="s">
        <v>893</v>
      </c>
      <c r="D25">
        <v>86200</v>
      </c>
      <c r="E25">
        <v>355</v>
      </c>
    </row>
    <row r="26" spans="1:5">
      <c r="A26" t="s">
        <v>917</v>
      </c>
      <c r="B26" t="s">
        <v>884</v>
      </c>
      <c r="C26" t="s">
        <v>893</v>
      </c>
      <c r="D26">
        <v>86200</v>
      </c>
      <c r="E26">
        <v>355</v>
      </c>
    </row>
    <row r="28" spans="1:5">
      <c r="A28" t="s">
        <v>920</v>
      </c>
      <c r="B28" t="s">
        <v>889</v>
      </c>
      <c r="C28" t="s">
        <v>893</v>
      </c>
      <c r="D28">
        <v>57546</v>
      </c>
      <c r="E28">
        <v>176</v>
      </c>
    </row>
    <row r="29" spans="1:5">
      <c r="A29" t="s">
        <v>960</v>
      </c>
      <c r="B29" t="s">
        <v>889</v>
      </c>
      <c r="C29" t="s">
        <v>893</v>
      </c>
      <c r="D29">
        <v>57546</v>
      </c>
      <c r="E29">
        <v>176</v>
      </c>
    </row>
    <row r="30" spans="1:5">
      <c r="A30" t="s">
        <v>961</v>
      </c>
      <c r="B30" t="s">
        <v>889</v>
      </c>
      <c r="C30" t="s">
        <v>893</v>
      </c>
      <c r="D30">
        <v>57546</v>
      </c>
      <c r="E30">
        <v>176</v>
      </c>
    </row>
    <row r="31" spans="1:5">
      <c r="A31" t="s">
        <v>962</v>
      </c>
      <c r="B31" t="s">
        <v>889</v>
      </c>
      <c r="C31" t="s">
        <v>893</v>
      </c>
      <c r="D31">
        <v>57546</v>
      </c>
      <c r="E31">
        <v>176</v>
      </c>
    </row>
    <row r="32" spans="1:5">
      <c r="A32" t="s">
        <v>963</v>
      </c>
      <c r="B32" t="s">
        <v>889</v>
      </c>
      <c r="C32">
        <v>5</v>
      </c>
      <c r="D32">
        <v>0</v>
      </c>
      <c r="E32">
        <v>0</v>
      </c>
    </row>
    <row r="33" spans="1:5">
      <c r="A33" t="s">
        <v>964</v>
      </c>
      <c r="B33" t="s">
        <v>889</v>
      </c>
      <c r="C33">
        <v>6</v>
      </c>
      <c r="D33">
        <v>6100</v>
      </c>
      <c r="E33">
        <v>51</v>
      </c>
    </row>
    <row r="35" spans="1:5">
      <c r="A35" t="s">
        <v>921</v>
      </c>
      <c r="B35" t="s">
        <v>884</v>
      </c>
      <c r="C35" t="s">
        <v>893</v>
      </c>
      <c r="D35">
        <v>55732</v>
      </c>
      <c r="E35">
        <v>277</v>
      </c>
    </row>
    <row r="36" spans="1:5">
      <c r="A36" t="s">
        <v>958</v>
      </c>
      <c r="B36" t="s">
        <v>884</v>
      </c>
      <c r="C36" t="s">
        <v>893</v>
      </c>
      <c r="D36">
        <v>55732</v>
      </c>
      <c r="E36">
        <v>277</v>
      </c>
    </row>
    <row r="37" spans="1:5">
      <c r="A37" t="s">
        <v>959</v>
      </c>
      <c r="B37" t="s">
        <v>884</v>
      </c>
      <c r="C37" t="s">
        <v>893</v>
      </c>
      <c r="D37">
        <v>55732</v>
      </c>
      <c r="E37">
        <v>277</v>
      </c>
    </row>
    <row r="39" spans="1:5">
      <c r="A39" t="s">
        <v>922</v>
      </c>
      <c r="B39" t="s">
        <v>889</v>
      </c>
      <c r="C39" t="s">
        <v>893</v>
      </c>
      <c r="D39">
        <v>40540</v>
      </c>
      <c r="E39">
        <v>201</v>
      </c>
    </row>
    <row r="40" spans="1:5">
      <c r="A40" t="s">
        <v>956</v>
      </c>
      <c r="B40" t="s">
        <v>889</v>
      </c>
      <c r="C40" t="s">
        <v>893</v>
      </c>
      <c r="D40">
        <v>40540</v>
      </c>
      <c r="E40">
        <v>201</v>
      </c>
    </row>
    <row r="41" spans="1:5">
      <c r="A41" t="s">
        <v>957</v>
      </c>
      <c r="B41" t="s">
        <v>884</v>
      </c>
      <c r="C41" t="s">
        <v>893</v>
      </c>
      <c r="D41">
        <v>40540</v>
      </c>
      <c r="E41">
        <v>201</v>
      </c>
    </row>
    <row r="43" spans="1:5">
      <c r="A43" t="s">
        <v>923</v>
      </c>
      <c r="B43" t="s">
        <v>884</v>
      </c>
      <c r="C43" t="s">
        <v>897</v>
      </c>
      <c r="D43">
        <v>81939</v>
      </c>
      <c r="E43">
        <v>223</v>
      </c>
    </row>
    <row r="44" spans="1:5">
      <c r="A44" t="s">
        <v>949</v>
      </c>
      <c r="B44" t="s">
        <v>884</v>
      </c>
      <c r="C44" t="s">
        <v>895</v>
      </c>
      <c r="D44">
        <v>81939</v>
      </c>
      <c r="E44">
        <v>407</v>
      </c>
    </row>
    <row r="45" spans="1:5">
      <c r="A45" t="s">
        <v>950</v>
      </c>
      <c r="B45" t="s">
        <v>884</v>
      </c>
      <c r="C45" t="s">
        <v>895</v>
      </c>
      <c r="D45">
        <v>81939</v>
      </c>
      <c r="E45">
        <v>223</v>
      </c>
    </row>
    <row r="46" spans="1:5">
      <c r="A46" t="s">
        <v>951</v>
      </c>
      <c r="B46" t="s">
        <v>889</v>
      </c>
      <c r="C46" t="s">
        <v>897</v>
      </c>
      <c r="D46">
        <v>81939</v>
      </c>
      <c r="E46">
        <v>223</v>
      </c>
    </row>
    <row r="47" spans="1:5">
      <c r="A47" t="s">
        <v>952</v>
      </c>
      <c r="B47" t="s">
        <v>889</v>
      </c>
      <c r="C47">
        <v>5</v>
      </c>
      <c r="D47">
        <v>0</v>
      </c>
      <c r="E47">
        <v>0</v>
      </c>
    </row>
    <row r="48" spans="1:5">
      <c r="A48" t="s">
        <v>953</v>
      </c>
      <c r="B48" t="s">
        <v>889</v>
      </c>
      <c r="C48">
        <v>6</v>
      </c>
      <c r="D48">
        <v>0</v>
      </c>
      <c r="E48">
        <v>0</v>
      </c>
    </row>
    <row r="49" spans="1:5">
      <c r="A49" t="s">
        <v>954</v>
      </c>
      <c r="B49" t="s">
        <v>884</v>
      </c>
      <c r="C49" t="s">
        <v>898</v>
      </c>
      <c r="D49">
        <v>0</v>
      </c>
      <c r="E49">
        <v>0</v>
      </c>
    </row>
    <row r="50" spans="1:5">
      <c r="A50" t="s">
        <v>955</v>
      </c>
      <c r="B50" t="s">
        <v>889</v>
      </c>
      <c r="C50" t="s">
        <v>898</v>
      </c>
      <c r="D50">
        <v>0</v>
      </c>
      <c r="E50">
        <v>0</v>
      </c>
    </row>
    <row r="52" spans="1:5">
      <c r="A52" t="s">
        <v>924</v>
      </c>
      <c r="B52" t="s">
        <v>884</v>
      </c>
      <c r="C52" t="s">
        <v>893</v>
      </c>
      <c r="D52">
        <v>50662</v>
      </c>
      <c r="E52">
        <v>252</v>
      </c>
    </row>
    <row r="53" spans="1:5">
      <c r="A53" t="s">
        <v>947</v>
      </c>
      <c r="B53" t="s">
        <v>889</v>
      </c>
      <c r="C53" t="s">
        <v>893</v>
      </c>
      <c r="D53">
        <v>50662</v>
      </c>
      <c r="E53">
        <v>252</v>
      </c>
    </row>
    <row r="54" spans="1:5">
      <c r="A54" t="s">
        <v>948</v>
      </c>
      <c r="B54" t="s">
        <v>889</v>
      </c>
      <c r="C54" t="s">
        <v>893</v>
      </c>
      <c r="D54">
        <v>50662</v>
      </c>
      <c r="E54">
        <v>252</v>
      </c>
    </row>
    <row r="56" spans="1:5">
      <c r="A56" t="s">
        <v>977</v>
      </c>
      <c r="B56" t="s">
        <v>42</v>
      </c>
      <c r="C56" t="s">
        <v>42</v>
      </c>
      <c r="D56" t="s">
        <v>42</v>
      </c>
      <c r="E56" t="s">
        <v>42</v>
      </c>
    </row>
    <row r="57" spans="1:5">
      <c r="A57" t="s">
        <v>978</v>
      </c>
      <c r="B57" t="s">
        <v>889</v>
      </c>
      <c r="C57" t="s">
        <v>894</v>
      </c>
      <c r="D57">
        <v>10141</v>
      </c>
      <c r="E57">
        <v>63</v>
      </c>
    </row>
    <row r="59" spans="1:5">
      <c r="A59" t="s">
        <v>925</v>
      </c>
      <c r="B59" t="s">
        <v>884</v>
      </c>
      <c r="C59">
        <v>1</v>
      </c>
      <c r="D59">
        <v>50787</v>
      </c>
      <c r="E59">
        <v>431</v>
      </c>
    </row>
    <row r="60" spans="1:5">
      <c r="A60" t="s">
        <v>944</v>
      </c>
      <c r="B60" t="s">
        <v>42</v>
      </c>
      <c r="C60" t="s">
        <v>42</v>
      </c>
      <c r="D60" t="s">
        <v>42</v>
      </c>
      <c r="E60" t="s">
        <v>42</v>
      </c>
    </row>
    <row r="61" spans="1:5">
      <c r="A61" t="s">
        <v>945</v>
      </c>
      <c r="B61" t="s">
        <v>889</v>
      </c>
      <c r="C61" t="s">
        <v>899</v>
      </c>
      <c r="D61">
        <v>15000</v>
      </c>
      <c r="E61">
        <v>74</v>
      </c>
    </row>
    <row r="62" spans="1:5">
      <c r="A62" t="s">
        <v>946</v>
      </c>
      <c r="B62" t="s">
        <v>889</v>
      </c>
      <c r="C62" t="s">
        <v>899</v>
      </c>
      <c r="D62">
        <v>15000</v>
      </c>
      <c r="E62">
        <v>74</v>
      </c>
    </row>
    <row r="64" spans="1:5">
      <c r="A64" t="s">
        <v>926</v>
      </c>
      <c r="B64" t="s">
        <v>884</v>
      </c>
      <c r="C64" t="s">
        <v>895</v>
      </c>
      <c r="D64">
        <v>70931</v>
      </c>
      <c r="E64">
        <v>353</v>
      </c>
    </row>
    <row r="65" spans="1:5">
      <c r="A65" t="s">
        <v>942</v>
      </c>
      <c r="B65" t="s">
        <v>884</v>
      </c>
      <c r="C65" t="s">
        <v>895</v>
      </c>
      <c r="D65">
        <v>10000</v>
      </c>
      <c r="E65">
        <v>353</v>
      </c>
    </row>
    <row r="66" spans="1:5">
      <c r="A66" t="s">
        <v>943</v>
      </c>
      <c r="B66" t="s">
        <v>889</v>
      </c>
      <c r="C66" t="s">
        <v>887</v>
      </c>
      <c r="D66">
        <v>10000</v>
      </c>
      <c r="E66">
        <v>62</v>
      </c>
    </row>
    <row r="68" spans="1:5">
      <c r="A68" t="s">
        <v>927</v>
      </c>
      <c r="B68" t="s">
        <v>900</v>
      </c>
      <c r="C68" t="s">
        <v>895</v>
      </c>
      <c r="D68">
        <v>16900</v>
      </c>
      <c r="E68">
        <v>84</v>
      </c>
    </row>
    <row r="69" spans="1:5">
      <c r="A69" t="s">
        <v>940</v>
      </c>
      <c r="B69" t="s">
        <v>900</v>
      </c>
      <c r="C69" t="s">
        <v>895</v>
      </c>
      <c r="D69">
        <v>16900</v>
      </c>
      <c r="E69">
        <v>84</v>
      </c>
    </row>
    <row r="70" spans="1:5">
      <c r="A70" t="s">
        <v>941</v>
      </c>
      <c r="B70" t="s">
        <v>889</v>
      </c>
      <c r="C70" t="s">
        <v>895</v>
      </c>
      <c r="D70">
        <v>16900</v>
      </c>
      <c r="E70">
        <v>84</v>
      </c>
    </row>
    <row r="72" spans="1:5">
      <c r="A72" t="s">
        <v>928</v>
      </c>
      <c r="B72" t="s">
        <v>884</v>
      </c>
      <c r="C72" t="s">
        <v>894</v>
      </c>
      <c r="D72">
        <v>35496</v>
      </c>
      <c r="E72">
        <v>222</v>
      </c>
    </row>
    <row r="73" spans="1:5">
      <c r="A73" t="s">
        <v>939</v>
      </c>
      <c r="B73" t="s">
        <v>889</v>
      </c>
      <c r="C73" t="s">
        <v>894</v>
      </c>
      <c r="D73">
        <v>35496</v>
      </c>
      <c r="E73">
        <v>222</v>
      </c>
    </row>
    <row r="75" spans="1:5">
      <c r="A75" t="s">
        <v>929</v>
      </c>
      <c r="B75" t="s">
        <v>889</v>
      </c>
      <c r="C75">
        <v>1</v>
      </c>
      <c r="D75">
        <v>10154</v>
      </c>
      <c r="E75">
        <v>86</v>
      </c>
    </row>
    <row r="76" spans="1:5">
      <c r="A76" t="s">
        <v>938</v>
      </c>
      <c r="B76" t="s">
        <v>889</v>
      </c>
      <c r="C76">
        <v>2</v>
      </c>
      <c r="D76">
        <v>3046</v>
      </c>
      <c r="E76">
        <v>25</v>
      </c>
    </row>
    <row r="78" spans="1:5">
      <c r="A78" t="s">
        <v>919</v>
      </c>
      <c r="B78" t="s">
        <v>884</v>
      </c>
      <c r="C78" t="s">
        <v>894</v>
      </c>
      <c r="D78">
        <v>35495</v>
      </c>
      <c r="E78">
        <v>222</v>
      </c>
    </row>
    <row r="79" spans="1:5">
      <c r="A79" t="s">
        <v>937</v>
      </c>
      <c r="B79" t="s">
        <v>42</v>
      </c>
      <c r="C79" t="s">
        <v>42</v>
      </c>
      <c r="D79" t="s">
        <v>42</v>
      </c>
      <c r="E79" t="s">
        <v>42</v>
      </c>
    </row>
    <row r="81" spans="1:7">
      <c r="A81" t="s">
        <v>930</v>
      </c>
      <c r="B81" t="s">
        <v>42</v>
      </c>
      <c r="C81" t="s">
        <v>42</v>
      </c>
      <c r="D81" t="s">
        <v>42</v>
      </c>
      <c r="E81" t="s">
        <v>42</v>
      </c>
    </row>
    <row r="82" spans="1:7">
      <c r="A82" t="s">
        <v>936</v>
      </c>
      <c r="B82" t="s">
        <v>889</v>
      </c>
      <c r="C82" t="s">
        <v>894</v>
      </c>
      <c r="D82">
        <v>10000</v>
      </c>
      <c r="E82">
        <v>62</v>
      </c>
    </row>
    <row r="84" spans="1:7">
      <c r="A84" t="s">
        <v>931</v>
      </c>
      <c r="B84" t="s">
        <v>884</v>
      </c>
      <c r="C84" t="s">
        <v>895</v>
      </c>
      <c r="D84">
        <v>45552</v>
      </c>
      <c r="E84">
        <v>226</v>
      </c>
    </row>
    <row r="85" spans="1:7">
      <c r="A85" t="s">
        <v>934</v>
      </c>
      <c r="B85" t="s">
        <v>889</v>
      </c>
      <c r="C85" t="s">
        <v>895</v>
      </c>
      <c r="D85">
        <v>45552</v>
      </c>
      <c r="E85">
        <v>187</v>
      </c>
    </row>
    <row r="86" spans="1:7">
      <c r="A86" t="s">
        <v>935</v>
      </c>
      <c r="B86" t="s">
        <v>889</v>
      </c>
      <c r="C86" t="s">
        <v>895</v>
      </c>
      <c r="D86">
        <v>45552</v>
      </c>
      <c r="E86">
        <v>226</v>
      </c>
    </row>
    <row r="88" spans="1:7">
      <c r="A88" t="s">
        <v>932</v>
      </c>
      <c r="B88" t="s">
        <v>900</v>
      </c>
      <c r="C88" t="s">
        <v>893</v>
      </c>
      <c r="D88">
        <v>12000</v>
      </c>
      <c r="E88">
        <v>75</v>
      </c>
    </row>
    <row r="89" spans="1:7">
      <c r="A89" t="s">
        <v>933</v>
      </c>
      <c r="B89" t="s">
        <v>889</v>
      </c>
      <c r="C89" t="s">
        <v>893</v>
      </c>
      <c r="D89">
        <v>12000</v>
      </c>
      <c r="E89">
        <v>75</v>
      </c>
    </row>
    <row r="94" spans="1:7">
      <c r="G94" t="s">
        <v>901</v>
      </c>
    </row>
    <row r="97" spans="1:5">
      <c r="A97" t="s">
        <v>965</v>
      </c>
      <c r="B97" t="s">
        <v>884</v>
      </c>
      <c r="C97">
        <v>1</v>
      </c>
      <c r="D97">
        <v>27000</v>
      </c>
      <c r="E97">
        <v>229</v>
      </c>
    </row>
    <row r="99" spans="1:5">
      <c r="A99" t="s">
        <v>966</v>
      </c>
      <c r="B99" t="s">
        <v>884</v>
      </c>
      <c r="C99" t="s">
        <v>893</v>
      </c>
      <c r="D99">
        <v>62728</v>
      </c>
      <c r="E99">
        <v>312</v>
      </c>
    </row>
    <row r="100" spans="1:5">
      <c r="A100" t="s">
        <v>970</v>
      </c>
      <c r="B100" t="s">
        <v>884</v>
      </c>
      <c r="C100" t="s">
        <v>893</v>
      </c>
      <c r="D100">
        <v>62728</v>
      </c>
      <c r="E100">
        <v>312</v>
      </c>
    </row>
    <row r="101" spans="1:5">
      <c r="A101" t="s">
        <v>971</v>
      </c>
      <c r="B101" t="s">
        <v>889</v>
      </c>
      <c r="C101" t="s">
        <v>893</v>
      </c>
      <c r="D101">
        <v>62728</v>
      </c>
      <c r="E101">
        <v>312</v>
      </c>
    </row>
    <row r="103" spans="1:5">
      <c r="A103" t="s">
        <v>967</v>
      </c>
      <c r="B103" t="s">
        <v>884</v>
      </c>
      <c r="C103" t="s">
        <v>893</v>
      </c>
      <c r="D103">
        <v>44979</v>
      </c>
      <c r="E103">
        <v>282</v>
      </c>
    </row>
    <row r="104" spans="1:5">
      <c r="A104" t="s">
        <v>972</v>
      </c>
      <c r="B104" t="s">
        <v>884</v>
      </c>
      <c r="C104" t="s">
        <v>893</v>
      </c>
      <c r="D104">
        <v>44979</v>
      </c>
      <c r="E104">
        <v>282</v>
      </c>
    </row>
    <row r="106" spans="1:5">
      <c r="A106" t="s">
        <v>968</v>
      </c>
      <c r="B106" t="s">
        <v>884</v>
      </c>
      <c r="C106" t="s">
        <v>893</v>
      </c>
      <c r="D106">
        <v>64448</v>
      </c>
      <c r="E106">
        <v>312</v>
      </c>
    </row>
    <row r="107" spans="1:5">
      <c r="A107" t="s">
        <v>973</v>
      </c>
      <c r="B107" t="s">
        <v>884</v>
      </c>
      <c r="C107" t="s">
        <v>893</v>
      </c>
      <c r="D107">
        <v>64448</v>
      </c>
      <c r="E107">
        <v>312</v>
      </c>
    </row>
    <row r="108" spans="1:5">
      <c r="A108" t="s">
        <v>974</v>
      </c>
      <c r="B108" t="s">
        <v>884</v>
      </c>
      <c r="C108" t="s">
        <v>893</v>
      </c>
      <c r="D108">
        <v>64448</v>
      </c>
      <c r="E108">
        <v>312</v>
      </c>
    </row>
    <row r="110" spans="1:5">
      <c r="A110" t="s">
        <v>969</v>
      </c>
      <c r="B110" t="s">
        <v>884</v>
      </c>
      <c r="C110" t="s">
        <v>893</v>
      </c>
      <c r="D110">
        <v>77714</v>
      </c>
      <c r="E110">
        <v>386</v>
      </c>
    </row>
    <row r="111" spans="1:5">
      <c r="A111" t="s">
        <v>975</v>
      </c>
      <c r="B111" t="s">
        <v>884</v>
      </c>
      <c r="C111" t="s">
        <v>893</v>
      </c>
      <c r="D111">
        <v>77714</v>
      </c>
      <c r="E111">
        <v>386</v>
      </c>
    </row>
    <row r="112" spans="1:5">
      <c r="A112" t="s">
        <v>976</v>
      </c>
      <c r="B112" t="s">
        <v>884</v>
      </c>
      <c r="C112" t="s">
        <v>893</v>
      </c>
      <c r="D112">
        <v>77714</v>
      </c>
      <c r="E112">
        <v>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24"/>
  <sheetViews>
    <sheetView showGridLines="0" workbookViewId="0">
      <pane ySplit="1" topLeftCell="A2" activePane="bottomLeft" state="frozen"/>
      <selection pane="bottomLeft" activeCell="L2" sqref="L2"/>
    </sheetView>
  </sheetViews>
  <sheetFormatPr defaultColWidth="8.85546875" defaultRowHeight="12.75"/>
  <cols>
    <col min="1" max="1" width="3.85546875" style="37" customWidth="1"/>
    <col min="2" max="2" width="6.85546875" style="37" customWidth="1"/>
    <col min="3" max="3" width="21.140625" style="163" customWidth="1"/>
    <col min="4" max="4" width="37.5703125" style="164" customWidth="1"/>
    <col min="5" max="5" width="8.140625" style="164" customWidth="1"/>
    <col min="6" max="6" width="59.140625" style="163" customWidth="1"/>
    <col min="7" max="7" width="11" style="37" hidden="1" customWidth="1"/>
    <col min="8" max="8" width="8.42578125" style="161" customWidth="1"/>
    <col min="9" max="9" width="7.85546875" style="167" customWidth="1"/>
    <col min="10" max="10" width="8.85546875" style="37" customWidth="1"/>
    <col min="11" max="11" width="10.85546875" style="38" customWidth="1"/>
    <col min="12" max="12" width="12.42578125" style="38" customWidth="1"/>
    <col min="13" max="13" width="12" style="38" customWidth="1"/>
    <col min="14" max="14" width="15.140625" style="38" customWidth="1"/>
    <col min="15" max="16384" width="8.85546875" style="38"/>
  </cols>
  <sheetData>
    <row r="1" spans="1:14" s="37" customFormat="1" ht="25.5">
      <c r="A1" s="36" t="s">
        <v>301</v>
      </c>
      <c r="B1" s="36" t="s">
        <v>302</v>
      </c>
      <c r="C1" s="36" t="s">
        <v>838</v>
      </c>
      <c r="D1" s="162" t="s">
        <v>839</v>
      </c>
      <c r="E1" s="162" t="s">
        <v>9</v>
      </c>
      <c r="F1" s="162" t="s">
        <v>840</v>
      </c>
      <c r="G1" s="36" t="s">
        <v>303</v>
      </c>
      <c r="H1" s="159" t="s">
        <v>841</v>
      </c>
      <c r="I1" s="165" t="s">
        <v>866</v>
      </c>
      <c r="J1" s="36" t="s">
        <v>304</v>
      </c>
      <c r="K1" s="36"/>
      <c r="L1" s="36"/>
      <c r="M1" s="36"/>
      <c r="N1" s="36"/>
    </row>
    <row r="2" spans="1:14" ht="165.75">
      <c r="A2" s="39">
        <v>1</v>
      </c>
      <c r="B2" s="39">
        <v>4990</v>
      </c>
      <c r="C2" s="40" t="s">
        <v>572</v>
      </c>
      <c r="D2" s="40" t="s">
        <v>842</v>
      </c>
      <c r="E2" s="40" t="s">
        <v>523</v>
      </c>
      <c r="F2" s="40" t="s">
        <v>862</v>
      </c>
      <c r="G2" s="39"/>
      <c r="H2" s="160">
        <v>1</v>
      </c>
      <c r="I2" s="166"/>
      <c r="J2" s="39" t="s">
        <v>867</v>
      </c>
      <c r="K2" s="40"/>
      <c r="L2" s="40"/>
      <c r="M2" s="40"/>
      <c r="N2" s="40"/>
    </row>
    <row r="3" spans="1:14" ht="38.25">
      <c r="A3" s="39">
        <v>2</v>
      </c>
      <c r="B3" s="39">
        <v>4991</v>
      </c>
      <c r="C3" s="40" t="s">
        <v>576</v>
      </c>
      <c r="D3" s="40" t="s">
        <v>843</v>
      </c>
      <c r="E3" s="40" t="s">
        <v>523</v>
      </c>
      <c r="F3" s="40" t="s">
        <v>865</v>
      </c>
      <c r="G3" s="39"/>
      <c r="H3" s="160"/>
      <c r="I3" s="166"/>
      <c r="J3" s="39" t="s">
        <v>306</v>
      </c>
      <c r="K3" s="40"/>
      <c r="L3" s="40"/>
      <c r="M3" s="40"/>
      <c r="N3" s="40"/>
    </row>
    <row r="4" spans="1:14" ht="63.75">
      <c r="A4" s="39">
        <v>3</v>
      </c>
      <c r="B4" s="39">
        <v>4992</v>
      </c>
      <c r="C4" s="40" t="s">
        <v>234</v>
      </c>
      <c r="D4" s="40" t="s">
        <v>844</v>
      </c>
      <c r="E4" s="40" t="s">
        <v>861</v>
      </c>
      <c r="F4" s="40" t="s">
        <v>852</v>
      </c>
      <c r="G4" s="39"/>
      <c r="H4" s="160"/>
      <c r="I4" s="166"/>
      <c r="J4" s="39" t="s">
        <v>306</v>
      </c>
      <c r="K4" s="40"/>
      <c r="L4" s="40"/>
      <c r="M4" s="40"/>
      <c r="N4" s="40"/>
    </row>
    <row r="5" spans="1:14" ht="114.75">
      <c r="A5" s="39">
        <v>4</v>
      </c>
      <c r="B5" s="39">
        <v>4993</v>
      </c>
      <c r="C5" s="40" t="s">
        <v>359</v>
      </c>
      <c r="D5" s="40" t="s">
        <v>846</v>
      </c>
      <c r="E5" s="40" t="s">
        <v>859</v>
      </c>
      <c r="F5" s="40" t="s">
        <v>853</v>
      </c>
      <c r="G5" s="39"/>
      <c r="H5" s="160"/>
      <c r="I5" s="166"/>
      <c r="J5" s="39" t="s">
        <v>306</v>
      </c>
      <c r="K5" s="40"/>
      <c r="L5" s="40"/>
      <c r="M5" s="40"/>
      <c r="N5" s="40"/>
    </row>
    <row r="6" spans="1:14" ht="51">
      <c r="A6" s="39">
        <v>5</v>
      </c>
      <c r="B6" s="39">
        <v>4994</v>
      </c>
      <c r="C6" s="40" t="s">
        <v>240</v>
      </c>
      <c r="D6" s="40" t="s">
        <v>845</v>
      </c>
      <c r="E6" s="40" t="s">
        <v>860</v>
      </c>
      <c r="F6" s="40" t="s">
        <v>854</v>
      </c>
      <c r="G6" s="39"/>
      <c r="H6" s="160"/>
      <c r="I6" s="166"/>
      <c r="J6" s="39" t="s">
        <v>306</v>
      </c>
      <c r="K6" s="40"/>
      <c r="L6" s="40"/>
      <c r="M6" s="40"/>
      <c r="N6" s="40"/>
    </row>
    <row r="7" spans="1:14" ht="38.25">
      <c r="A7" s="39">
        <v>6</v>
      </c>
      <c r="B7" s="39">
        <v>4995</v>
      </c>
      <c r="C7" s="40" t="s">
        <v>360</v>
      </c>
      <c r="D7" s="40" t="s">
        <v>847</v>
      </c>
      <c r="E7" s="40" t="s">
        <v>859</v>
      </c>
      <c r="F7" s="40" t="s">
        <v>855</v>
      </c>
      <c r="G7" s="39"/>
      <c r="H7" s="160"/>
      <c r="I7" s="166">
        <v>4993</v>
      </c>
      <c r="J7" s="39" t="s">
        <v>306</v>
      </c>
      <c r="K7" s="40"/>
      <c r="L7" s="40"/>
      <c r="M7" s="40"/>
      <c r="N7" s="40"/>
    </row>
    <row r="8" spans="1:14" ht="38.25">
      <c r="A8" s="39">
        <v>7</v>
      </c>
      <c r="B8" s="39">
        <v>4996</v>
      </c>
      <c r="C8" s="40" t="s">
        <v>218</v>
      </c>
      <c r="D8" s="40" t="s">
        <v>848</v>
      </c>
      <c r="E8" s="40" t="s">
        <v>523</v>
      </c>
      <c r="F8" s="40" t="s">
        <v>856</v>
      </c>
      <c r="G8" s="39"/>
      <c r="H8" s="160"/>
      <c r="I8" s="166"/>
      <c r="J8" s="39" t="s">
        <v>306</v>
      </c>
      <c r="K8" s="40"/>
      <c r="L8" s="40"/>
      <c r="M8" s="40"/>
      <c r="N8" s="40"/>
    </row>
    <row r="9" spans="1:14" ht="102">
      <c r="A9" s="39">
        <v>8</v>
      </c>
      <c r="B9" s="39">
        <v>4997</v>
      </c>
      <c r="C9" s="40" t="s">
        <v>221</v>
      </c>
      <c r="D9" s="40" t="s">
        <v>849</v>
      </c>
      <c r="E9" s="40" t="s">
        <v>858</v>
      </c>
      <c r="F9" s="40" t="s">
        <v>863</v>
      </c>
      <c r="G9" s="39"/>
      <c r="H9" s="160"/>
      <c r="I9" s="166"/>
      <c r="J9" s="39" t="s">
        <v>306</v>
      </c>
      <c r="K9" s="40"/>
      <c r="L9" s="40"/>
      <c r="M9" s="40"/>
      <c r="N9" s="40"/>
    </row>
    <row r="10" spans="1:14" ht="38.25">
      <c r="A10" s="39">
        <v>9</v>
      </c>
      <c r="B10" s="39">
        <v>4998</v>
      </c>
      <c r="C10" s="40" t="s">
        <v>243</v>
      </c>
      <c r="D10" s="40" t="s">
        <v>850</v>
      </c>
      <c r="E10" s="40" t="s">
        <v>858</v>
      </c>
      <c r="F10" s="40" t="s">
        <v>857</v>
      </c>
      <c r="G10" s="39"/>
      <c r="H10" s="160"/>
      <c r="I10" s="166"/>
      <c r="J10" s="39" t="s">
        <v>306</v>
      </c>
      <c r="K10" s="40"/>
      <c r="L10" s="40"/>
      <c r="M10" s="40"/>
      <c r="N10" s="40"/>
    </row>
    <row r="11" spans="1:14" ht="25.5">
      <c r="A11" s="39">
        <v>10</v>
      </c>
      <c r="B11" s="39">
        <v>4999</v>
      </c>
      <c r="C11" s="40" t="s">
        <v>247</v>
      </c>
      <c r="D11" s="40" t="s">
        <v>851</v>
      </c>
      <c r="E11" s="40" t="s">
        <v>858</v>
      </c>
      <c r="F11" s="40" t="s">
        <v>864</v>
      </c>
      <c r="G11" s="39"/>
      <c r="H11" s="160"/>
      <c r="I11" s="166">
        <v>4997</v>
      </c>
      <c r="J11" s="39" t="s">
        <v>306</v>
      </c>
      <c r="K11" s="40"/>
      <c r="L11" s="40"/>
      <c r="M11" s="40"/>
      <c r="N11" s="40"/>
    </row>
    <row r="12" spans="1:14">
      <c r="A12" s="39">
        <v>11</v>
      </c>
      <c r="B12" s="39"/>
      <c r="C12" s="40"/>
      <c r="D12" s="40"/>
      <c r="E12" s="40"/>
      <c r="F12" s="40"/>
      <c r="G12" s="39"/>
      <c r="H12" s="160"/>
      <c r="I12" s="166"/>
      <c r="J12" s="39"/>
      <c r="K12" s="40"/>
      <c r="L12" s="40"/>
      <c r="M12" s="40"/>
      <c r="N12" s="40"/>
    </row>
    <row r="13" spans="1:14">
      <c r="A13" s="39">
        <v>12</v>
      </c>
      <c r="B13" s="39"/>
      <c r="C13" s="40"/>
      <c r="D13" s="40"/>
      <c r="E13" s="40"/>
      <c r="F13" s="40"/>
      <c r="G13" s="39"/>
      <c r="H13" s="160"/>
      <c r="I13" s="166"/>
      <c r="J13" s="39"/>
      <c r="K13" s="40"/>
      <c r="L13" s="40"/>
      <c r="M13" s="40"/>
      <c r="N13" s="40"/>
    </row>
    <row r="14" spans="1:14">
      <c r="A14" s="39">
        <v>13</v>
      </c>
      <c r="B14" s="39"/>
      <c r="C14" s="40"/>
      <c r="D14" s="40"/>
      <c r="E14" s="40"/>
      <c r="F14" s="40"/>
      <c r="G14" s="39"/>
      <c r="H14" s="160"/>
      <c r="I14" s="166"/>
      <c r="J14" s="39"/>
      <c r="K14" s="40"/>
      <c r="L14" s="40"/>
      <c r="M14" s="40"/>
      <c r="N14" s="40"/>
    </row>
    <row r="15" spans="1:14">
      <c r="A15" s="39">
        <v>14</v>
      </c>
      <c r="B15" s="39"/>
      <c r="C15" s="40"/>
      <c r="D15" s="40"/>
      <c r="E15" s="40"/>
      <c r="F15" s="40"/>
      <c r="G15" s="39"/>
      <c r="H15" s="160"/>
      <c r="I15" s="166"/>
      <c r="J15" s="39"/>
      <c r="K15" s="40"/>
      <c r="L15" s="40"/>
      <c r="M15" s="40"/>
      <c r="N15" s="40"/>
    </row>
    <row r="16" spans="1:14">
      <c r="A16" s="39">
        <v>15</v>
      </c>
      <c r="B16" s="39"/>
      <c r="C16" s="40"/>
      <c r="D16" s="40"/>
      <c r="E16" s="40"/>
      <c r="F16" s="40"/>
      <c r="G16" s="39"/>
      <c r="H16" s="160"/>
      <c r="I16" s="166"/>
      <c r="J16" s="39"/>
      <c r="K16" s="40"/>
      <c r="L16" s="40"/>
      <c r="M16" s="40"/>
      <c r="N16" s="40"/>
    </row>
    <row r="17" spans="1:14">
      <c r="A17" s="39">
        <v>16</v>
      </c>
      <c r="B17" s="39"/>
      <c r="C17" s="40"/>
      <c r="D17" s="40"/>
      <c r="E17" s="40"/>
      <c r="F17" s="40"/>
      <c r="G17" s="39"/>
      <c r="H17" s="160"/>
      <c r="I17" s="166"/>
      <c r="J17" s="39"/>
      <c r="K17" s="40"/>
      <c r="L17" s="40"/>
      <c r="M17" s="40"/>
      <c r="N17" s="40"/>
    </row>
    <row r="18" spans="1:14">
      <c r="A18" s="39">
        <v>17</v>
      </c>
      <c r="B18" s="39"/>
      <c r="C18" s="40"/>
      <c r="D18" s="40"/>
      <c r="E18" s="40"/>
      <c r="F18" s="40"/>
      <c r="G18" s="39"/>
      <c r="H18" s="160"/>
      <c r="I18" s="166"/>
      <c r="J18" s="39"/>
      <c r="K18" s="40"/>
      <c r="L18" s="40"/>
      <c r="M18" s="40"/>
      <c r="N18" s="40"/>
    </row>
    <row r="19" spans="1:14">
      <c r="A19" s="39">
        <v>18</v>
      </c>
      <c r="B19" s="39"/>
      <c r="C19" s="40"/>
      <c r="D19" s="40"/>
      <c r="E19" s="40"/>
      <c r="F19" s="40"/>
      <c r="G19" s="39"/>
      <c r="H19" s="160"/>
      <c r="I19" s="166"/>
      <c r="J19" s="39"/>
      <c r="K19" s="40"/>
      <c r="L19" s="40"/>
      <c r="M19" s="40"/>
      <c r="N19" s="40"/>
    </row>
    <row r="20" spans="1:14">
      <c r="A20" s="39">
        <v>19</v>
      </c>
      <c r="B20" s="39"/>
      <c r="C20" s="40"/>
      <c r="D20" s="40"/>
      <c r="E20" s="40"/>
      <c r="F20" s="40"/>
      <c r="G20" s="39"/>
      <c r="H20" s="160"/>
      <c r="I20" s="166"/>
      <c r="J20" s="39"/>
      <c r="K20" s="40"/>
      <c r="L20" s="40"/>
      <c r="M20" s="40"/>
      <c r="N20" s="40"/>
    </row>
    <row r="21" spans="1:14">
      <c r="A21" s="39">
        <v>20</v>
      </c>
      <c r="B21" s="39"/>
      <c r="C21" s="40"/>
      <c r="D21" s="40"/>
      <c r="E21" s="40"/>
      <c r="F21" s="40"/>
      <c r="G21" s="39"/>
      <c r="H21" s="160"/>
      <c r="I21" s="166"/>
      <c r="J21" s="39"/>
      <c r="K21" s="40"/>
      <c r="L21" s="40"/>
      <c r="M21" s="40"/>
      <c r="N21" s="40"/>
    </row>
    <row r="22" spans="1:14">
      <c r="A22" s="39">
        <v>21</v>
      </c>
      <c r="B22" s="39"/>
      <c r="C22" s="40"/>
      <c r="D22" s="40"/>
      <c r="E22" s="40"/>
      <c r="F22" s="40"/>
      <c r="G22" s="39"/>
      <c r="H22" s="160"/>
      <c r="I22" s="166"/>
      <c r="J22" s="39"/>
      <c r="K22" s="40"/>
      <c r="L22" s="40"/>
      <c r="M22" s="40"/>
      <c r="N22" s="40"/>
    </row>
    <row r="23" spans="1:14">
      <c r="A23" s="39">
        <v>22</v>
      </c>
      <c r="B23" s="39"/>
      <c r="C23" s="40"/>
      <c r="D23" s="40"/>
      <c r="E23" s="40"/>
      <c r="F23" s="40"/>
      <c r="G23" s="39"/>
      <c r="H23" s="160"/>
      <c r="I23" s="166"/>
      <c r="J23" s="39"/>
      <c r="K23" s="40"/>
      <c r="L23" s="40"/>
      <c r="M23" s="40"/>
      <c r="N23" s="40"/>
    </row>
    <row r="24" spans="1:14">
      <c r="A24" s="39">
        <v>23</v>
      </c>
      <c r="B24" s="39"/>
      <c r="C24" s="40"/>
      <c r="D24" s="40"/>
      <c r="E24" s="40"/>
      <c r="F24" s="40"/>
      <c r="G24" s="39"/>
      <c r="H24" s="160"/>
      <c r="I24" s="166"/>
      <c r="J24" s="39"/>
      <c r="K24" s="40"/>
      <c r="L24" s="40"/>
      <c r="M24" s="40"/>
      <c r="N24" s="4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82"/>
  <sheetViews>
    <sheetView workbookViewId="0">
      <pane ySplit="2" topLeftCell="A3" activePane="bottomLeft" state="frozen"/>
      <selection pane="bottomLeft" activeCell="E35" sqref="E35"/>
    </sheetView>
  </sheetViews>
  <sheetFormatPr defaultColWidth="11.42578125" defaultRowHeight="15"/>
  <cols>
    <col min="1" max="1" width="48.7109375" customWidth="1"/>
    <col min="2" max="2" width="13" customWidth="1"/>
  </cols>
  <sheetData>
    <row r="1" spans="1:11">
      <c r="B1" t="s">
        <v>602</v>
      </c>
      <c r="F1" t="s">
        <v>603</v>
      </c>
    </row>
    <row r="2" spans="1:11">
      <c r="B2" t="s">
        <v>604</v>
      </c>
      <c r="C2" t="s">
        <v>605</v>
      </c>
      <c r="D2" t="s">
        <v>585</v>
      </c>
      <c r="E2" t="s">
        <v>3</v>
      </c>
      <c r="F2" t="s">
        <v>604</v>
      </c>
      <c r="G2" t="s">
        <v>606</v>
      </c>
      <c r="H2" t="s">
        <v>508</v>
      </c>
      <c r="I2" t="s">
        <v>607</v>
      </c>
      <c r="J2" t="s">
        <v>608</v>
      </c>
      <c r="K2" t="s">
        <v>609</v>
      </c>
    </row>
    <row r="3" spans="1:11">
      <c r="A3" t="s">
        <v>805</v>
      </c>
      <c r="B3" t="s">
        <v>610</v>
      </c>
      <c r="C3" t="s">
        <v>509</v>
      </c>
      <c r="D3" t="s">
        <v>611</v>
      </c>
      <c r="E3" t="s">
        <v>612</v>
      </c>
      <c r="F3" t="s">
        <v>610</v>
      </c>
      <c r="G3" t="s">
        <v>612</v>
      </c>
      <c r="H3" t="s">
        <v>613</v>
      </c>
      <c r="I3" t="s">
        <v>509</v>
      </c>
      <c r="J3" t="s">
        <v>610</v>
      </c>
      <c r="K3" t="s">
        <v>510</v>
      </c>
    </row>
    <row r="4" spans="1:11">
      <c r="A4" t="s">
        <v>730</v>
      </c>
      <c r="B4" t="s">
        <v>610</v>
      </c>
      <c r="C4" t="s">
        <v>509</v>
      </c>
      <c r="D4" t="s">
        <v>614</v>
      </c>
      <c r="E4" t="s">
        <v>615</v>
      </c>
      <c r="F4" t="s">
        <v>610</v>
      </c>
      <c r="G4" t="s">
        <v>616</v>
      </c>
      <c r="H4" t="s">
        <v>617</v>
      </c>
      <c r="I4" t="s">
        <v>509</v>
      </c>
      <c r="J4" t="s">
        <v>618</v>
      </c>
      <c r="K4" t="s">
        <v>510</v>
      </c>
    </row>
    <row r="5" spans="1:11">
      <c r="A5" t="s">
        <v>731</v>
      </c>
      <c r="B5" t="s">
        <v>618</v>
      </c>
      <c r="C5" t="s">
        <v>509</v>
      </c>
      <c r="D5" t="s">
        <v>619</v>
      </c>
      <c r="E5" t="s">
        <v>620</v>
      </c>
      <c r="F5" t="s">
        <v>618</v>
      </c>
      <c r="G5" t="s">
        <v>616</v>
      </c>
      <c r="H5" t="s">
        <v>617</v>
      </c>
      <c r="I5" t="s">
        <v>509</v>
      </c>
      <c r="J5" t="s">
        <v>618</v>
      </c>
      <c r="K5" t="s">
        <v>510</v>
      </c>
    </row>
    <row r="6" spans="1:11">
      <c r="A6" t="s">
        <v>732</v>
      </c>
      <c r="B6" t="s">
        <v>610</v>
      </c>
      <c r="C6" t="s">
        <v>509</v>
      </c>
      <c r="D6" t="s">
        <v>621</v>
      </c>
      <c r="E6" t="s">
        <v>620</v>
      </c>
      <c r="F6" t="s">
        <v>610</v>
      </c>
      <c r="G6" t="s">
        <v>622</v>
      </c>
      <c r="H6" t="s">
        <v>623</v>
      </c>
      <c r="I6" t="s">
        <v>509</v>
      </c>
      <c r="J6" t="s">
        <v>624</v>
      </c>
      <c r="K6" t="s">
        <v>510</v>
      </c>
    </row>
    <row r="7" spans="1:11">
      <c r="A7" t="s">
        <v>749</v>
      </c>
      <c r="B7" t="s">
        <v>618</v>
      </c>
      <c r="C7" t="s">
        <v>509</v>
      </c>
      <c r="D7" t="s">
        <v>625</v>
      </c>
      <c r="E7" t="s">
        <v>626</v>
      </c>
      <c r="F7" t="s">
        <v>618</v>
      </c>
      <c r="G7" t="s">
        <v>622</v>
      </c>
      <c r="H7" t="s">
        <v>623</v>
      </c>
      <c r="I7" t="s">
        <v>509</v>
      </c>
      <c r="J7" t="s">
        <v>624</v>
      </c>
      <c r="K7" t="s">
        <v>510</v>
      </c>
    </row>
    <row r="8" spans="1:11">
      <c r="A8" t="s">
        <v>750</v>
      </c>
      <c r="B8" t="s">
        <v>624</v>
      </c>
      <c r="C8" t="s">
        <v>509</v>
      </c>
      <c r="D8" t="s">
        <v>627</v>
      </c>
      <c r="E8" t="s">
        <v>594</v>
      </c>
      <c r="F8" t="s">
        <v>624</v>
      </c>
      <c r="G8" t="s">
        <v>622</v>
      </c>
      <c r="H8" t="s">
        <v>623</v>
      </c>
      <c r="I8" t="s">
        <v>510</v>
      </c>
      <c r="J8" t="s">
        <v>624</v>
      </c>
      <c r="K8" t="s">
        <v>509</v>
      </c>
    </row>
    <row r="9" spans="1:11">
      <c r="A9" t="s">
        <v>733</v>
      </c>
      <c r="B9" t="s">
        <v>610</v>
      </c>
      <c r="C9" t="s">
        <v>509</v>
      </c>
      <c r="D9" t="s">
        <v>628</v>
      </c>
      <c r="E9" t="s">
        <v>629</v>
      </c>
      <c r="F9" t="s">
        <v>610</v>
      </c>
      <c r="G9" t="s">
        <v>591</v>
      </c>
      <c r="H9" t="s">
        <v>630</v>
      </c>
      <c r="I9" t="s">
        <v>509</v>
      </c>
      <c r="J9" t="s">
        <v>624</v>
      </c>
      <c r="K9" t="s">
        <v>510</v>
      </c>
    </row>
    <row r="10" spans="1:11">
      <c r="A10" t="s">
        <v>751</v>
      </c>
      <c r="B10" t="s">
        <v>618</v>
      </c>
      <c r="C10" t="s">
        <v>509</v>
      </c>
      <c r="D10" t="s">
        <v>631</v>
      </c>
      <c r="E10" t="s">
        <v>632</v>
      </c>
      <c r="F10" t="s">
        <v>618</v>
      </c>
      <c r="G10" t="s">
        <v>591</v>
      </c>
      <c r="H10" t="s">
        <v>630</v>
      </c>
      <c r="I10" t="s">
        <v>509</v>
      </c>
      <c r="J10" t="s">
        <v>624</v>
      </c>
      <c r="K10" t="s">
        <v>510</v>
      </c>
    </row>
    <row r="11" spans="1:11">
      <c r="A11" t="s">
        <v>752</v>
      </c>
      <c r="B11" t="s">
        <v>624</v>
      </c>
      <c r="C11" t="s">
        <v>509</v>
      </c>
      <c r="D11" t="s">
        <v>633</v>
      </c>
      <c r="E11" t="s">
        <v>634</v>
      </c>
      <c r="F11" t="s">
        <v>624</v>
      </c>
      <c r="G11" t="s">
        <v>591</v>
      </c>
      <c r="H11" t="s">
        <v>630</v>
      </c>
      <c r="I11" t="s">
        <v>509</v>
      </c>
      <c r="J11" t="s">
        <v>624</v>
      </c>
      <c r="K11" t="s">
        <v>510</v>
      </c>
    </row>
    <row r="12" spans="1:11">
      <c r="A12" t="s">
        <v>734</v>
      </c>
      <c r="B12" t="s">
        <v>610</v>
      </c>
      <c r="C12" t="s">
        <v>509</v>
      </c>
      <c r="D12" t="s">
        <v>635</v>
      </c>
      <c r="E12" t="s">
        <v>592</v>
      </c>
      <c r="F12" t="s">
        <v>610</v>
      </c>
      <c r="G12" t="s">
        <v>595</v>
      </c>
      <c r="H12" t="s">
        <v>596</v>
      </c>
      <c r="I12" t="s">
        <v>509</v>
      </c>
      <c r="J12" t="s">
        <v>624</v>
      </c>
      <c r="K12" t="s">
        <v>510</v>
      </c>
    </row>
    <row r="13" spans="1:11">
      <c r="A13" t="s">
        <v>753</v>
      </c>
      <c r="B13" t="s">
        <v>618</v>
      </c>
      <c r="C13" t="s">
        <v>509</v>
      </c>
      <c r="D13" t="s">
        <v>621</v>
      </c>
      <c r="E13" t="s">
        <v>593</v>
      </c>
      <c r="F13" t="s">
        <v>618</v>
      </c>
      <c r="G13" t="s">
        <v>595</v>
      </c>
      <c r="H13" t="s">
        <v>596</v>
      </c>
      <c r="I13" t="s">
        <v>509</v>
      </c>
      <c r="J13" t="s">
        <v>624</v>
      </c>
      <c r="K13" t="s">
        <v>510</v>
      </c>
    </row>
    <row r="14" spans="1:11">
      <c r="A14" t="s">
        <v>754</v>
      </c>
      <c r="B14" t="s">
        <v>624</v>
      </c>
      <c r="C14" t="s">
        <v>509</v>
      </c>
      <c r="D14" t="s">
        <v>636</v>
      </c>
      <c r="E14" t="s">
        <v>594</v>
      </c>
      <c r="F14" t="s">
        <v>624</v>
      </c>
      <c r="G14" t="s">
        <v>595</v>
      </c>
      <c r="H14" t="s">
        <v>596</v>
      </c>
      <c r="I14" t="s">
        <v>509</v>
      </c>
      <c r="J14" t="s">
        <v>624</v>
      </c>
      <c r="K14" t="s">
        <v>510</v>
      </c>
    </row>
    <row r="15" spans="1:11">
      <c r="A15" t="s">
        <v>804</v>
      </c>
      <c r="B15" t="s">
        <v>610</v>
      </c>
      <c r="C15" t="s">
        <v>509</v>
      </c>
      <c r="D15" t="s">
        <v>628</v>
      </c>
      <c r="E15" t="s">
        <v>637</v>
      </c>
      <c r="F15" t="s">
        <v>610</v>
      </c>
      <c r="G15" t="s">
        <v>637</v>
      </c>
      <c r="H15" t="s">
        <v>638</v>
      </c>
      <c r="I15" t="s">
        <v>509</v>
      </c>
      <c r="J15" t="s">
        <v>610</v>
      </c>
      <c r="K15" t="s">
        <v>510</v>
      </c>
    </row>
    <row r="16" spans="1:11">
      <c r="A16" t="s">
        <v>735</v>
      </c>
      <c r="B16" t="s">
        <v>610</v>
      </c>
      <c r="C16" t="s">
        <v>509</v>
      </c>
      <c r="D16" t="s">
        <v>639</v>
      </c>
      <c r="E16" t="s">
        <v>640</v>
      </c>
      <c r="F16" t="s">
        <v>610</v>
      </c>
      <c r="G16" t="s">
        <v>641</v>
      </c>
      <c r="H16" t="s">
        <v>642</v>
      </c>
      <c r="I16" t="s">
        <v>509</v>
      </c>
      <c r="J16" t="s">
        <v>618</v>
      </c>
      <c r="K16" t="s">
        <v>510</v>
      </c>
    </row>
    <row r="17" spans="1:11">
      <c r="A17" t="s">
        <v>755</v>
      </c>
      <c r="B17" t="s">
        <v>618</v>
      </c>
      <c r="C17" t="s">
        <v>510</v>
      </c>
      <c r="D17" t="s">
        <v>643</v>
      </c>
      <c r="E17" t="s">
        <v>644</v>
      </c>
      <c r="F17" t="s">
        <v>259</v>
      </c>
      <c r="G17" t="s">
        <v>259</v>
      </c>
      <c r="H17" t="s">
        <v>259</v>
      </c>
      <c r="I17" t="s">
        <v>259</v>
      </c>
      <c r="J17" t="s">
        <v>259</v>
      </c>
      <c r="K17" t="s">
        <v>259</v>
      </c>
    </row>
    <row r="18" spans="1:11">
      <c r="A18" t="s">
        <v>736</v>
      </c>
      <c r="B18" t="s">
        <v>610</v>
      </c>
      <c r="C18" t="s">
        <v>509</v>
      </c>
      <c r="D18" t="s">
        <v>639</v>
      </c>
      <c r="E18" t="s">
        <v>645</v>
      </c>
      <c r="F18" t="s">
        <v>610</v>
      </c>
      <c r="G18" t="s">
        <v>645</v>
      </c>
      <c r="H18" t="s">
        <v>642</v>
      </c>
      <c r="I18" t="s">
        <v>509</v>
      </c>
      <c r="J18" t="s">
        <v>618</v>
      </c>
      <c r="K18" t="s">
        <v>510</v>
      </c>
    </row>
    <row r="19" spans="1:11">
      <c r="A19" t="s">
        <v>756</v>
      </c>
      <c r="B19" t="s">
        <v>618</v>
      </c>
      <c r="C19" t="s">
        <v>509</v>
      </c>
      <c r="D19" t="s">
        <v>646</v>
      </c>
      <c r="E19" t="s">
        <v>647</v>
      </c>
      <c r="F19" t="s">
        <v>618</v>
      </c>
      <c r="G19" t="s">
        <v>645</v>
      </c>
      <c r="H19" t="s">
        <v>642</v>
      </c>
      <c r="I19" t="s">
        <v>510</v>
      </c>
      <c r="J19" t="s">
        <v>618</v>
      </c>
      <c r="K19" t="s">
        <v>509</v>
      </c>
    </row>
    <row r="20" spans="1:11">
      <c r="A20" t="s">
        <v>737</v>
      </c>
      <c r="B20" t="s">
        <v>610</v>
      </c>
      <c r="C20" t="s">
        <v>509</v>
      </c>
      <c r="D20" t="s">
        <v>648</v>
      </c>
      <c r="E20" t="s">
        <v>634</v>
      </c>
      <c r="F20" t="s">
        <v>610</v>
      </c>
      <c r="G20" t="s">
        <v>634</v>
      </c>
      <c r="H20" t="s">
        <v>643</v>
      </c>
      <c r="I20" t="s">
        <v>509</v>
      </c>
      <c r="J20" t="s">
        <v>618</v>
      </c>
      <c r="K20" t="s">
        <v>510</v>
      </c>
    </row>
    <row r="21" spans="1:11">
      <c r="A21" t="s">
        <v>757</v>
      </c>
      <c r="B21" t="s">
        <v>618</v>
      </c>
      <c r="C21" t="s">
        <v>509</v>
      </c>
      <c r="D21" t="s">
        <v>649</v>
      </c>
      <c r="E21" t="s">
        <v>647</v>
      </c>
      <c r="F21" t="s">
        <v>618</v>
      </c>
      <c r="G21" t="s">
        <v>634</v>
      </c>
      <c r="H21" t="s">
        <v>643</v>
      </c>
      <c r="I21" t="s">
        <v>510</v>
      </c>
      <c r="J21" t="s">
        <v>618</v>
      </c>
      <c r="K21" t="s">
        <v>509</v>
      </c>
    </row>
    <row r="22" spans="1:11">
      <c r="A22" t="s">
        <v>738</v>
      </c>
      <c r="B22" t="s">
        <v>610</v>
      </c>
      <c r="C22" t="s">
        <v>510</v>
      </c>
      <c r="D22" t="s">
        <v>628</v>
      </c>
      <c r="E22" t="s">
        <v>637</v>
      </c>
      <c r="F22" t="s">
        <v>259</v>
      </c>
      <c r="G22" t="s">
        <v>259</v>
      </c>
      <c r="H22" t="s">
        <v>259</v>
      </c>
      <c r="I22" t="s">
        <v>259</v>
      </c>
      <c r="J22" t="s">
        <v>259</v>
      </c>
      <c r="K22" t="s">
        <v>259</v>
      </c>
    </row>
    <row r="23" spans="1:11">
      <c r="A23" t="s">
        <v>758</v>
      </c>
      <c r="B23" t="s">
        <v>618</v>
      </c>
      <c r="C23" t="s">
        <v>509</v>
      </c>
      <c r="D23" t="s">
        <v>651</v>
      </c>
      <c r="E23" t="s">
        <v>647</v>
      </c>
      <c r="F23" t="s">
        <v>618</v>
      </c>
      <c r="G23" t="s">
        <v>637</v>
      </c>
      <c r="H23" t="s">
        <v>650</v>
      </c>
      <c r="I23" t="s">
        <v>510</v>
      </c>
      <c r="J23" t="s">
        <v>618</v>
      </c>
      <c r="K23" t="s">
        <v>509</v>
      </c>
    </row>
    <row r="24" spans="1:11">
      <c r="A24" t="s">
        <v>739</v>
      </c>
      <c r="B24" t="s">
        <v>610</v>
      </c>
      <c r="C24" t="s">
        <v>510</v>
      </c>
      <c r="D24" t="s">
        <v>652</v>
      </c>
      <c r="E24" t="s">
        <v>653</v>
      </c>
      <c r="F24" t="s">
        <v>259</v>
      </c>
      <c r="G24" t="s">
        <v>259</v>
      </c>
      <c r="H24" t="s">
        <v>259</v>
      </c>
      <c r="I24" t="s">
        <v>259</v>
      </c>
      <c r="J24" t="s">
        <v>259</v>
      </c>
      <c r="K24" t="s">
        <v>259</v>
      </c>
    </row>
    <row r="25" spans="1:11">
      <c r="A25" t="s">
        <v>759</v>
      </c>
      <c r="B25" t="s">
        <v>618</v>
      </c>
      <c r="C25" t="s">
        <v>509</v>
      </c>
      <c r="D25" t="s">
        <v>651</v>
      </c>
      <c r="E25" t="s">
        <v>647</v>
      </c>
      <c r="F25" t="s">
        <v>618</v>
      </c>
      <c r="G25" t="s">
        <v>653</v>
      </c>
      <c r="H25" t="s">
        <v>654</v>
      </c>
      <c r="I25" t="s">
        <v>510</v>
      </c>
      <c r="J25" t="s">
        <v>618</v>
      </c>
      <c r="K25" t="s">
        <v>509</v>
      </c>
    </row>
    <row r="26" spans="1:11">
      <c r="A26" t="s">
        <v>740</v>
      </c>
      <c r="B26" t="s">
        <v>610</v>
      </c>
      <c r="C26" t="s">
        <v>509</v>
      </c>
      <c r="D26" t="s">
        <v>639</v>
      </c>
      <c r="E26" t="s">
        <v>655</v>
      </c>
      <c r="F26" t="s">
        <v>610</v>
      </c>
      <c r="G26" t="s">
        <v>655</v>
      </c>
      <c r="H26" t="s">
        <v>656</v>
      </c>
      <c r="I26" t="s">
        <v>510</v>
      </c>
      <c r="J26" t="s">
        <v>610</v>
      </c>
      <c r="K26" t="s">
        <v>509</v>
      </c>
    </row>
    <row r="27" spans="1:11">
      <c r="A27" t="s">
        <v>760</v>
      </c>
      <c r="B27" t="s">
        <v>618</v>
      </c>
      <c r="C27" t="s">
        <v>509</v>
      </c>
      <c r="D27" t="s">
        <v>646</v>
      </c>
      <c r="E27" t="s">
        <v>657</v>
      </c>
      <c r="F27" t="s">
        <v>618</v>
      </c>
      <c r="G27" t="s">
        <v>657</v>
      </c>
      <c r="H27" t="s">
        <v>658</v>
      </c>
      <c r="I27" t="s">
        <v>510</v>
      </c>
      <c r="J27" t="s">
        <v>610</v>
      </c>
      <c r="K27" t="s">
        <v>509</v>
      </c>
    </row>
    <row r="28" spans="1:11">
      <c r="A28" t="s">
        <v>741</v>
      </c>
      <c r="B28" t="s">
        <v>610</v>
      </c>
      <c r="C28" t="s">
        <v>509</v>
      </c>
      <c r="D28" t="s">
        <v>659</v>
      </c>
      <c r="E28" t="s">
        <v>629</v>
      </c>
      <c r="F28" t="s">
        <v>610</v>
      </c>
      <c r="G28" t="s">
        <v>629</v>
      </c>
      <c r="H28" t="s">
        <v>660</v>
      </c>
      <c r="I28" t="s">
        <v>509</v>
      </c>
      <c r="J28" t="s">
        <v>618</v>
      </c>
      <c r="K28" t="s">
        <v>510</v>
      </c>
    </row>
    <row r="29" spans="1:11">
      <c r="A29" t="s">
        <v>761</v>
      </c>
      <c r="B29" t="s">
        <v>618</v>
      </c>
      <c r="C29" t="s">
        <v>509</v>
      </c>
      <c r="D29" t="s">
        <v>661</v>
      </c>
      <c r="E29" t="s">
        <v>647</v>
      </c>
      <c r="F29" t="s">
        <v>618</v>
      </c>
      <c r="G29" t="s">
        <v>629</v>
      </c>
      <c r="H29" t="s">
        <v>660</v>
      </c>
      <c r="I29" t="s">
        <v>509</v>
      </c>
      <c r="J29" t="s">
        <v>618</v>
      </c>
      <c r="K29" t="s">
        <v>510</v>
      </c>
    </row>
    <row r="30" spans="1:11">
      <c r="A30" t="s">
        <v>742</v>
      </c>
      <c r="B30" t="s">
        <v>610</v>
      </c>
      <c r="C30" t="s">
        <v>509</v>
      </c>
      <c r="D30" t="s">
        <v>635</v>
      </c>
      <c r="E30" t="s">
        <v>662</v>
      </c>
      <c r="F30" t="s">
        <v>610</v>
      </c>
      <c r="G30" t="s">
        <v>663</v>
      </c>
      <c r="H30" t="s">
        <v>664</v>
      </c>
      <c r="I30" t="s">
        <v>509</v>
      </c>
      <c r="J30" t="s">
        <v>624</v>
      </c>
      <c r="K30" t="s">
        <v>510</v>
      </c>
    </row>
    <row r="31" spans="1:11">
      <c r="A31" t="s">
        <v>762</v>
      </c>
      <c r="B31" t="s">
        <v>618</v>
      </c>
      <c r="C31" t="s">
        <v>509</v>
      </c>
      <c r="D31" t="s">
        <v>665</v>
      </c>
      <c r="E31" t="s">
        <v>666</v>
      </c>
      <c r="F31" t="s">
        <v>618</v>
      </c>
      <c r="G31" t="s">
        <v>663</v>
      </c>
      <c r="H31" t="s">
        <v>664</v>
      </c>
      <c r="I31" t="s">
        <v>509</v>
      </c>
      <c r="J31" t="s">
        <v>624</v>
      </c>
      <c r="K31" t="s">
        <v>510</v>
      </c>
    </row>
    <row r="32" spans="1:11">
      <c r="A32" t="s">
        <v>763</v>
      </c>
      <c r="B32" t="s">
        <v>624</v>
      </c>
      <c r="C32" t="s">
        <v>509</v>
      </c>
      <c r="D32" t="s">
        <v>667</v>
      </c>
      <c r="E32" t="s">
        <v>594</v>
      </c>
      <c r="F32" t="s">
        <v>624</v>
      </c>
      <c r="G32" t="s">
        <v>663</v>
      </c>
      <c r="H32" t="s">
        <v>664</v>
      </c>
      <c r="I32" t="s">
        <v>509</v>
      </c>
      <c r="J32" t="s">
        <v>624</v>
      </c>
      <c r="K32" t="s">
        <v>510</v>
      </c>
    </row>
    <row r="33" spans="1:11">
      <c r="A33" t="s">
        <v>743</v>
      </c>
      <c r="B33" t="s">
        <v>610</v>
      </c>
      <c r="C33" t="s">
        <v>509</v>
      </c>
      <c r="D33" t="s">
        <v>668</v>
      </c>
      <c r="E33" t="s">
        <v>669</v>
      </c>
      <c r="F33" t="s">
        <v>610</v>
      </c>
      <c r="G33" t="s">
        <v>670</v>
      </c>
      <c r="H33" t="s">
        <v>671</v>
      </c>
      <c r="I33" t="s">
        <v>510</v>
      </c>
      <c r="J33" t="s">
        <v>624</v>
      </c>
      <c r="K33" t="s">
        <v>509</v>
      </c>
    </row>
    <row r="34" spans="1:11">
      <c r="A34" t="s">
        <v>764</v>
      </c>
      <c r="B34" t="s">
        <v>618</v>
      </c>
      <c r="C34" t="s">
        <v>509</v>
      </c>
      <c r="D34" t="s">
        <v>665</v>
      </c>
      <c r="E34" t="s">
        <v>629</v>
      </c>
      <c r="F34" t="s">
        <v>618</v>
      </c>
      <c r="G34" t="s">
        <v>670</v>
      </c>
      <c r="H34" t="s">
        <v>671</v>
      </c>
      <c r="I34" t="s">
        <v>510</v>
      </c>
      <c r="J34" t="s">
        <v>624</v>
      </c>
      <c r="K34" t="s">
        <v>509</v>
      </c>
    </row>
    <row r="35" spans="1:11">
      <c r="A35" t="s">
        <v>765</v>
      </c>
      <c r="B35" t="s">
        <v>624</v>
      </c>
      <c r="C35" t="s">
        <v>509</v>
      </c>
      <c r="D35" t="s">
        <v>646</v>
      </c>
      <c r="E35" t="s">
        <v>672</v>
      </c>
      <c r="F35" t="s">
        <v>624</v>
      </c>
      <c r="G35" t="s">
        <v>670</v>
      </c>
      <c r="H35" t="s">
        <v>671</v>
      </c>
      <c r="I35" t="s">
        <v>509</v>
      </c>
      <c r="J35" t="s">
        <v>624</v>
      </c>
      <c r="K35" t="s">
        <v>510</v>
      </c>
    </row>
    <row r="36" spans="1:11">
      <c r="A36" t="s">
        <v>744</v>
      </c>
      <c r="B36" t="s">
        <v>610</v>
      </c>
      <c r="C36" t="s">
        <v>509</v>
      </c>
      <c r="D36" t="s">
        <v>673</v>
      </c>
      <c r="E36">
        <v>45553</v>
      </c>
      <c r="F36" t="s">
        <v>610</v>
      </c>
      <c r="G36">
        <v>45553</v>
      </c>
      <c r="H36" t="s">
        <v>674</v>
      </c>
      <c r="I36" t="s">
        <v>509</v>
      </c>
      <c r="J36" t="s">
        <v>624</v>
      </c>
      <c r="K36" t="s">
        <v>510</v>
      </c>
    </row>
    <row r="37" spans="1:11">
      <c r="A37" t="s">
        <v>766</v>
      </c>
      <c r="B37" t="s">
        <v>618</v>
      </c>
      <c r="C37" t="s">
        <v>509</v>
      </c>
      <c r="D37" t="s">
        <v>652</v>
      </c>
      <c r="E37" t="s">
        <v>647</v>
      </c>
      <c r="F37" t="s">
        <v>618</v>
      </c>
      <c r="G37">
        <v>45553</v>
      </c>
      <c r="H37" t="s">
        <v>675</v>
      </c>
      <c r="I37" t="s">
        <v>510</v>
      </c>
      <c r="J37" t="s">
        <v>676</v>
      </c>
      <c r="K37" t="s">
        <v>509</v>
      </c>
    </row>
    <row r="38" spans="1:11">
      <c r="A38" t="s">
        <v>767</v>
      </c>
      <c r="B38" t="s">
        <v>624</v>
      </c>
      <c r="C38" t="s">
        <v>509</v>
      </c>
      <c r="D38" t="s">
        <v>677</v>
      </c>
      <c r="E38" t="s">
        <v>647</v>
      </c>
      <c r="F38" t="s">
        <v>624</v>
      </c>
      <c r="G38">
        <v>45553</v>
      </c>
      <c r="H38" t="s">
        <v>674</v>
      </c>
      <c r="I38" t="s">
        <v>510</v>
      </c>
      <c r="J38" t="s">
        <v>624</v>
      </c>
      <c r="K38" t="s">
        <v>509</v>
      </c>
    </row>
    <row r="39" spans="1:11">
      <c r="A39" t="s">
        <v>745</v>
      </c>
      <c r="B39" t="s">
        <v>610</v>
      </c>
      <c r="C39" t="s">
        <v>509</v>
      </c>
      <c r="D39" t="s">
        <v>611</v>
      </c>
      <c r="E39" t="s">
        <v>678</v>
      </c>
      <c r="F39" t="s">
        <v>610</v>
      </c>
      <c r="G39" t="s">
        <v>678</v>
      </c>
      <c r="H39" t="s">
        <v>638</v>
      </c>
      <c r="I39" t="s">
        <v>509</v>
      </c>
      <c r="J39" t="s">
        <v>624</v>
      </c>
      <c r="K39" t="s">
        <v>510</v>
      </c>
    </row>
    <row r="40" spans="1:11">
      <c r="A40" t="s">
        <v>768</v>
      </c>
      <c r="B40" t="s">
        <v>618</v>
      </c>
      <c r="C40" t="s">
        <v>509</v>
      </c>
      <c r="D40" t="s">
        <v>679</v>
      </c>
      <c r="E40" t="s">
        <v>647</v>
      </c>
      <c r="F40" t="s">
        <v>618</v>
      </c>
      <c r="G40" t="s">
        <v>678</v>
      </c>
      <c r="H40" t="s">
        <v>638</v>
      </c>
      <c r="I40" t="s">
        <v>509</v>
      </c>
      <c r="J40" t="s">
        <v>624</v>
      </c>
      <c r="K40" t="s">
        <v>510</v>
      </c>
    </row>
    <row r="41" spans="1:11">
      <c r="A41" t="s">
        <v>769</v>
      </c>
      <c r="B41" t="s">
        <v>624</v>
      </c>
      <c r="C41" t="s">
        <v>509</v>
      </c>
      <c r="D41" t="s">
        <v>680</v>
      </c>
      <c r="E41" t="s">
        <v>647</v>
      </c>
      <c r="F41" t="s">
        <v>624</v>
      </c>
      <c r="G41" t="s">
        <v>678</v>
      </c>
      <c r="H41" t="s">
        <v>638</v>
      </c>
      <c r="I41" t="s">
        <v>510</v>
      </c>
      <c r="J41" t="s">
        <v>624</v>
      </c>
      <c r="K41" t="s">
        <v>509</v>
      </c>
    </row>
    <row r="42" spans="1:11">
      <c r="A42" t="s">
        <v>746</v>
      </c>
      <c r="B42" t="s">
        <v>610</v>
      </c>
      <c r="C42" t="s">
        <v>509</v>
      </c>
      <c r="D42" t="s">
        <v>681</v>
      </c>
      <c r="E42" t="s">
        <v>682</v>
      </c>
      <c r="F42" t="s">
        <v>610</v>
      </c>
      <c r="G42" t="s">
        <v>683</v>
      </c>
      <c r="H42" t="s">
        <v>684</v>
      </c>
      <c r="I42" t="s">
        <v>509</v>
      </c>
      <c r="J42" t="s">
        <v>624</v>
      </c>
      <c r="K42" t="s">
        <v>510</v>
      </c>
    </row>
    <row r="43" spans="1:11">
      <c r="A43" t="s">
        <v>770</v>
      </c>
      <c r="B43" t="s">
        <v>618</v>
      </c>
      <c r="C43" t="s">
        <v>509</v>
      </c>
      <c r="D43" t="s">
        <v>685</v>
      </c>
      <c r="E43" t="s">
        <v>637</v>
      </c>
      <c r="F43" t="s">
        <v>618</v>
      </c>
      <c r="G43" t="s">
        <v>683</v>
      </c>
      <c r="H43" t="s">
        <v>684</v>
      </c>
      <c r="I43" t="s">
        <v>509</v>
      </c>
      <c r="J43" t="s">
        <v>624</v>
      </c>
      <c r="K43" t="s">
        <v>510</v>
      </c>
    </row>
    <row r="44" spans="1:11">
      <c r="A44" t="s">
        <v>771</v>
      </c>
      <c r="B44" t="s">
        <v>624</v>
      </c>
      <c r="C44" t="s">
        <v>509</v>
      </c>
      <c r="D44" t="s">
        <v>686</v>
      </c>
      <c r="E44" t="s">
        <v>647</v>
      </c>
      <c r="F44" t="s">
        <v>624</v>
      </c>
      <c r="G44" t="s">
        <v>637</v>
      </c>
      <c r="H44" t="s">
        <v>650</v>
      </c>
      <c r="I44" t="s">
        <v>510</v>
      </c>
      <c r="J44" t="s">
        <v>618</v>
      </c>
      <c r="K44" t="s">
        <v>509</v>
      </c>
    </row>
    <row r="45" spans="1:11">
      <c r="A45" t="s">
        <v>747</v>
      </c>
      <c r="B45" t="s">
        <v>610</v>
      </c>
      <c r="C45" t="s">
        <v>509</v>
      </c>
      <c r="D45" t="s">
        <v>652</v>
      </c>
      <c r="E45" t="s">
        <v>687</v>
      </c>
      <c r="F45" t="s">
        <v>610</v>
      </c>
      <c r="G45" t="s">
        <v>687</v>
      </c>
      <c r="H45" t="s">
        <v>688</v>
      </c>
      <c r="I45" t="s">
        <v>509</v>
      </c>
      <c r="J45" t="s">
        <v>624</v>
      </c>
      <c r="K45" t="s">
        <v>510</v>
      </c>
    </row>
    <row r="46" spans="1:11">
      <c r="A46" t="s">
        <v>772</v>
      </c>
      <c r="B46" t="s">
        <v>618</v>
      </c>
      <c r="C46" t="s">
        <v>509</v>
      </c>
      <c r="D46" t="s">
        <v>689</v>
      </c>
      <c r="E46" t="s">
        <v>647</v>
      </c>
      <c r="F46" t="s">
        <v>618</v>
      </c>
      <c r="G46" t="s">
        <v>687</v>
      </c>
      <c r="H46" t="s">
        <v>688</v>
      </c>
      <c r="I46" t="s">
        <v>510</v>
      </c>
      <c r="J46" t="s">
        <v>624</v>
      </c>
      <c r="K46" t="s">
        <v>509</v>
      </c>
    </row>
    <row r="47" spans="1:11">
      <c r="A47" t="s">
        <v>773</v>
      </c>
      <c r="B47" t="s">
        <v>624</v>
      </c>
      <c r="C47" t="s">
        <v>509</v>
      </c>
      <c r="D47" t="s">
        <v>610</v>
      </c>
      <c r="E47" t="s">
        <v>647</v>
      </c>
      <c r="F47" t="s">
        <v>624</v>
      </c>
      <c r="G47" t="s">
        <v>687</v>
      </c>
      <c r="H47" t="s">
        <v>688</v>
      </c>
      <c r="I47" t="s">
        <v>510</v>
      </c>
      <c r="J47" t="s">
        <v>624</v>
      </c>
      <c r="K47" t="s">
        <v>509</v>
      </c>
    </row>
    <row r="48" spans="1:11">
      <c r="A48" t="s">
        <v>748</v>
      </c>
      <c r="B48" t="s">
        <v>610</v>
      </c>
      <c r="C48" t="s">
        <v>509</v>
      </c>
      <c r="D48" t="s">
        <v>652</v>
      </c>
      <c r="E48" t="s">
        <v>690</v>
      </c>
      <c r="F48" t="s">
        <v>610</v>
      </c>
      <c r="G48" t="s">
        <v>690</v>
      </c>
      <c r="H48" t="s">
        <v>691</v>
      </c>
      <c r="I48" t="s">
        <v>509</v>
      </c>
      <c r="J48" t="s">
        <v>618</v>
      </c>
      <c r="K48" t="s">
        <v>510</v>
      </c>
    </row>
    <row r="49" spans="1:11">
      <c r="A49" t="s">
        <v>774</v>
      </c>
      <c r="B49" t="s">
        <v>618</v>
      </c>
      <c r="C49" t="s">
        <v>509</v>
      </c>
      <c r="D49" t="s">
        <v>652</v>
      </c>
      <c r="E49" t="s">
        <v>692</v>
      </c>
      <c r="F49" t="s">
        <v>618</v>
      </c>
      <c r="G49" t="s">
        <v>692</v>
      </c>
      <c r="H49" t="s">
        <v>693</v>
      </c>
      <c r="I49" t="s">
        <v>509</v>
      </c>
      <c r="J49" t="s">
        <v>618</v>
      </c>
      <c r="K49" t="s">
        <v>510</v>
      </c>
    </row>
    <row r="50" spans="1:11">
      <c r="A50" t="s">
        <v>775</v>
      </c>
      <c r="B50" t="s">
        <v>624</v>
      </c>
      <c r="C50" t="s">
        <v>509</v>
      </c>
      <c r="D50" t="s">
        <v>651</v>
      </c>
      <c r="E50" t="s">
        <v>647</v>
      </c>
      <c r="F50" t="s">
        <v>624</v>
      </c>
      <c r="G50" t="s">
        <v>692</v>
      </c>
      <c r="H50" t="s">
        <v>693</v>
      </c>
      <c r="I50" t="s">
        <v>510</v>
      </c>
      <c r="J50" t="s">
        <v>618</v>
      </c>
      <c r="K50" t="s">
        <v>509</v>
      </c>
    </row>
    <row r="51" spans="1:11">
      <c r="A51" t="s">
        <v>776</v>
      </c>
      <c r="B51" t="s">
        <v>676</v>
      </c>
      <c r="C51" t="s">
        <v>509</v>
      </c>
      <c r="D51" t="s">
        <v>689</v>
      </c>
      <c r="E51" t="s">
        <v>647</v>
      </c>
      <c r="F51" t="s">
        <v>676</v>
      </c>
      <c r="G51" t="s">
        <v>690</v>
      </c>
      <c r="H51" t="s">
        <v>691</v>
      </c>
      <c r="I51" t="s">
        <v>510</v>
      </c>
      <c r="J51" t="s">
        <v>618</v>
      </c>
      <c r="K51" t="s">
        <v>509</v>
      </c>
    </row>
    <row r="52" spans="1:11">
      <c r="A52" t="s">
        <v>811</v>
      </c>
      <c r="B52" t="s">
        <v>610</v>
      </c>
      <c r="C52" t="s">
        <v>509</v>
      </c>
      <c r="D52" t="s">
        <v>681</v>
      </c>
      <c r="E52" t="s">
        <v>812</v>
      </c>
      <c r="F52" t="s">
        <v>610</v>
      </c>
      <c r="G52" t="s">
        <v>812</v>
      </c>
      <c r="H52" t="s">
        <v>813</v>
      </c>
      <c r="I52" t="s">
        <v>509</v>
      </c>
      <c r="J52" t="s">
        <v>610</v>
      </c>
      <c r="K52" t="s">
        <v>510</v>
      </c>
    </row>
    <row r="53" spans="1:11">
      <c r="A53" t="s">
        <v>814</v>
      </c>
      <c r="B53" t="s">
        <v>618</v>
      </c>
      <c r="C53" t="s">
        <v>510</v>
      </c>
      <c r="D53" t="s">
        <v>685</v>
      </c>
      <c r="E53" t="s">
        <v>815</v>
      </c>
      <c r="F53" t="s">
        <v>259</v>
      </c>
      <c r="G53" t="s">
        <v>259</v>
      </c>
      <c r="H53" t="s">
        <v>259</v>
      </c>
      <c r="I53" t="s">
        <v>259</v>
      </c>
      <c r="J53" t="s">
        <v>259</v>
      </c>
      <c r="K53" t="s">
        <v>259</v>
      </c>
    </row>
    <row r="54" spans="1:11">
      <c r="A54" t="s">
        <v>816</v>
      </c>
      <c r="B54" t="s">
        <v>624</v>
      </c>
      <c r="C54" t="s">
        <v>509</v>
      </c>
      <c r="D54" t="s">
        <v>686</v>
      </c>
      <c r="E54" t="s">
        <v>647</v>
      </c>
      <c r="F54" t="s">
        <v>624</v>
      </c>
      <c r="G54" t="s">
        <v>815</v>
      </c>
      <c r="H54" t="s">
        <v>817</v>
      </c>
      <c r="I54" t="s">
        <v>510</v>
      </c>
      <c r="J54" t="s">
        <v>624</v>
      </c>
      <c r="K54" t="s">
        <v>509</v>
      </c>
    </row>
    <row r="55" spans="1:11">
      <c r="A55" t="s">
        <v>818</v>
      </c>
      <c r="B55" t="s">
        <v>676</v>
      </c>
      <c r="C55" t="s">
        <v>509</v>
      </c>
      <c r="D55" t="s">
        <v>710</v>
      </c>
      <c r="E55" t="s">
        <v>647</v>
      </c>
      <c r="F55" t="s">
        <v>676</v>
      </c>
      <c r="G55" t="s">
        <v>815</v>
      </c>
      <c r="H55" t="s">
        <v>817</v>
      </c>
      <c r="I55" t="s">
        <v>510</v>
      </c>
      <c r="J55" t="s">
        <v>624</v>
      </c>
      <c r="K55" t="s">
        <v>509</v>
      </c>
    </row>
    <row r="56" spans="1:11">
      <c r="A56" t="s">
        <v>777</v>
      </c>
      <c r="B56" t="s">
        <v>610</v>
      </c>
      <c r="C56" t="s">
        <v>509</v>
      </c>
      <c r="D56" t="s">
        <v>673</v>
      </c>
      <c r="E56" t="s">
        <v>694</v>
      </c>
      <c r="F56" t="s">
        <v>610</v>
      </c>
      <c r="G56" t="s">
        <v>695</v>
      </c>
      <c r="H56" t="s">
        <v>696</v>
      </c>
      <c r="I56" t="s">
        <v>509</v>
      </c>
      <c r="J56" t="s">
        <v>624</v>
      </c>
      <c r="K56" t="s">
        <v>510</v>
      </c>
    </row>
    <row r="57" spans="1:11">
      <c r="A57" t="s">
        <v>782</v>
      </c>
      <c r="B57" t="s">
        <v>618</v>
      </c>
      <c r="C57" t="s">
        <v>509</v>
      </c>
      <c r="D57" t="s">
        <v>652</v>
      </c>
      <c r="E57" t="s">
        <v>697</v>
      </c>
      <c r="F57" t="s">
        <v>618</v>
      </c>
      <c r="G57" t="s">
        <v>698</v>
      </c>
      <c r="H57" t="s">
        <v>693</v>
      </c>
      <c r="I57" t="s">
        <v>509</v>
      </c>
      <c r="J57" t="s">
        <v>624</v>
      </c>
      <c r="K57" t="s">
        <v>510</v>
      </c>
    </row>
    <row r="58" spans="1:11">
      <c r="A58" t="s">
        <v>783</v>
      </c>
      <c r="B58" t="s">
        <v>624</v>
      </c>
      <c r="C58" t="s">
        <v>509</v>
      </c>
      <c r="D58" t="s">
        <v>677</v>
      </c>
      <c r="E58" t="s">
        <v>699</v>
      </c>
      <c r="F58" t="s">
        <v>624</v>
      </c>
      <c r="G58" t="s">
        <v>695</v>
      </c>
      <c r="H58" t="s">
        <v>700</v>
      </c>
      <c r="I58" t="s">
        <v>509</v>
      </c>
      <c r="J58" t="s">
        <v>676</v>
      </c>
      <c r="K58" t="s">
        <v>510</v>
      </c>
    </row>
    <row r="59" spans="1:11">
      <c r="A59" t="s">
        <v>784</v>
      </c>
      <c r="B59" t="s">
        <v>676</v>
      </c>
      <c r="C59" t="s">
        <v>509</v>
      </c>
      <c r="D59" t="s">
        <v>680</v>
      </c>
      <c r="E59" t="s">
        <v>647</v>
      </c>
      <c r="F59" t="s">
        <v>676</v>
      </c>
      <c r="G59" t="s">
        <v>695</v>
      </c>
      <c r="H59" t="s">
        <v>700</v>
      </c>
      <c r="I59" t="s">
        <v>510</v>
      </c>
      <c r="J59" t="s">
        <v>676</v>
      </c>
      <c r="K59" t="s">
        <v>509</v>
      </c>
    </row>
    <row r="60" spans="1:11">
      <c r="A60" t="s">
        <v>778</v>
      </c>
      <c r="B60" t="s">
        <v>610</v>
      </c>
      <c r="C60" t="s">
        <v>509</v>
      </c>
      <c r="D60" t="s">
        <v>673</v>
      </c>
      <c r="E60" t="s">
        <v>701</v>
      </c>
      <c r="F60" t="s">
        <v>610</v>
      </c>
      <c r="G60" t="s">
        <v>702</v>
      </c>
      <c r="H60" t="s">
        <v>703</v>
      </c>
      <c r="I60" t="s">
        <v>509</v>
      </c>
      <c r="J60" t="s">
        <v>624</v>
      </c>
      <c r="K60" t="s">
        <v>510</v>
      </c>
    </row>
    <row r="61" spans="1:11">
      <c r="A61" t="s">
        <v>785</v>
      </c>
      <c r="B61" t="s">
        <v>618</v>
      </c>
      <c r="C61" t="s">
        <v>509</v>
      </c>
      <c r="D61" t="s">
        <v>652</v>
      </c>
      <c r="E61" t="s">
        <v>704</v>
      </c>
      <c r="F61" t="s">
        <v>618</v>
      </c>
      <c r="G61" t="s">
        <v>702</v>
      </c>
      <c r="H61" t="s">
        <v>703</v>
      </c>
      <c r="I61" t="s">
        <v>509</v>
      </c>
      <c r="J61" t="s">
        <v>624</v>
      </c>
      <c r="K61" t="s">
        <v>510</v>
      </c>
    </row>
    <row r="62" spans="1:11">
      <c r="A62" t="s">
        <v>786</v>
      </c>
      <c r="B62" t="s">
        <v>624</v>
      </c>
      <c r="C62" t="s">
        <v>509</v>
      </c>
      <c r="D62" t="s">
        <v>677</v>
      </c>
      <c r="E62" t="s">
        <v>647</v>
      </c>
      <c r="F62" t="s">
        <v>624</v>
      </c>
      <c r="G62" t="s">
        <v>702</v>
      </c>
      <c r="H62" t="s">
        <v>705</v>
      </c>
      <c r="I62" t="s">
        <v>509</v>
      </c>
      <c r="J62" t="s">
        <v>676</v>
      </c>
      <c r="K62" t="s">
        <v>510</v>
      </c>
    </row>
    <row r="63" spans="1:11">
      <c r="A63" t="s">
        <v>787</v>
      </c>
      <c r="B63" t="s">
        <v>676</v>
      </c>
      <c r="C63" t="s">
        <v>509</v>
      </c>
      <c r="D63" t="s">
        <v>706</v>
      </c>
      <c r="E63" t="s">
        <v>647</v>
      </c>
      <c r="F63" t="s">
        <v>676</v>
      </c>
      <c r="G63" t="s">
        <v>702</v>
      </c>
      <c r="H63" t="s">
        <v>705</v>
      </c>
      <c r="I63" t="s">
        <v>509</v>
      </c>
      <c r="J63" t="s">
        <v>676</v>
      </c>
      <c r="K63" t="s">
        <v>510</v>
      </c>
    </row>
    <row r="64" spans="1:11">
      <c r="A64" t="s">
        <v>779</v>
      </c>
      <c r="B64" t="s">
        <v>610</v>
      </c>
      <c r="C64" t="s">
        <v>509</v>
      </c>
      <c r="D64" t="s">
        <v>652</v>
      </c>
      <c r="E64" t="s">
        <v>707</v>
      </c>
      <c r="F64" t="s">
        <v>610</v>
      </c>
      <c r="G64" t="s">
        <v>707</v>
      </c>
      <c r="H64" t="s">
        <v>691</v>
      </c>
      <c r="I64" t="s">
        <v>509</v>
      </c>
      <c r="J64" t="s">
        <v>618</v>
      </c>
      <c r="K64" t="s">
        <v>510</v>
      </c>
    </row>
    <row r="65" spans="1:11">
      <c r="A65" t="s">
        <v>788</v>
      </c>
      <c r="B65" t="s">
        <v>618</v>
      </c>
      <c r="C65" t="s">
        <v>509</v>
      </c>
      <c r="D65" t="s">
        <v>652</v>
      </c>
      <c r="E65" t="s">
        <v>708</v>
      </c>
      <c r="F65" t="s">
        <v>618</v>
      </c>
      <c r="G65" t="s">
        <v>708</v>
      </c>
      <c r="H65" t="s">
        <v>709</v>
      </c>
      <c r="I65" t="s">
        <v>510</v>
      </c>
      <c r="J65" t="s">
        <v>624</v>
      </c>
      <c r="K65" t="s">
        <v>509</v>
      </c>
    </row>
    <row r="66" spans="1:11">
      <c r="A66" t="s">
        <v>789</v>
      </c>
      <c r="B66" t="s">
        <v>624</v>
      </c>
      <c r="C66" t="s">
        <v>509</v>
      </c>
      <c r="D66" t="s">
        <v>651</v>
      </c>
      <c r="E66" t="s">
        <v>647</v>
      </c>
      <c r="F66" t="s">
        <v>624</v>
      </c>
      <c r="G66" t="s">
        <v>707</v>
      </c>
      <c r="H66" t="s">
        <v>819</v>
      </c>
      <c r="I66" t="s">
        <v>510</v>
      </c>
      <c r="J66" t="s">
        <v>676</v>
      </c>
      <c r="K66" t="s">
        <v>509</v>
      </c>
    </row>
    <row r="67" spans="1:11">
      <c r="A67" t="s">
        <v>790</v>
      </c>
      <c r="B67" t="s">
        <v>676</v>
      </c>
      <c r="C67" t="s">
        <v>509</v>
      </c>
      <c r="D67" t="s">
        <v>689</v>
      </c>
      <c r="E67" t="s">
        <v>647</v>
      </c>
      <c r="F67" t="s">
        <v>676</v>
      </c>
      <c r="G67" t="s">
        <v>708</v>
      </c>
      <c r="H67" t="s">
        <v>820</v>
      </c>
      <c r="I67" t="s">
        <v>510</v>
      </c>
      <c r="J67" t="s">
        <v>676</v>
      </c>
      <c r="K67" t="s">
        <v>509</v>
      </c>
    </row>
    <row r="68" spans="1:11">
      <c r="A68" t="s">
        <v>791</v>
      </c>
      <c r="B68" t="s">
        <v>710</v>
      </c>
      <c r="C68" t="s">
        <v>509</v>
      </c>
      <c r="D68" t="s">
        <v>610</v>
      </c>
      <c r="E68" t="s">
        <v>647</v>
      </c>
      <c r="F68" t="s">
        <v>710</v>
      </c>
      <c r="G68" t="s">
        <v>711</v>
      </c>
      <c r="H68" t="s">
        <v>712</v>
      </c>
      <c r="I68" t="s">
        <v>510</v>
      </c>
      <c r="J68" t="s">
        <v>710</v>
      </c>
      <c r="K68" t="s">
        <v>509</v>
      </c>
    </row>
    <row r="69" spans="1:11">
      <c r="A69" t="s">
        <v>780</v>
      </c>
      <c r="B69" t="s">
        <v>610</v>
      </c>
      <c r="C69" t="s">
        <v>509</v>
      </c>
      <c r="D69" t="s">
        <v>713</v>
      </c>
      <c r="E69" t="s">
        <v>714</v>
      </c>
      <c r="F69" t="s">
        <v>610</v>
      </c>
      <c r="G69" t="s">
        <v>715</v>
      </c>
      <c r="H69" t="s">
        <v>716</v>
      </c>
      <c r="I69" t="s">
        <v>510</v>
      </c>
      <c r="J69" t="s">
        <v>689</v>
      </c>
      <c r="K69" t="s">
        <v>509</v>
      </c>
    </row>
    <row r="70" spans="1:11">
      <c r="A70" t="s">
        <v>792</v>
      </c>
      <c r="B70" t="s">
        <v>618</v>
      </c>
      <c r="C70" t="s">
        <v>509</v>
      </c>
      <c r="D70" t="s">
        <v>717</v>
      </c>
      <c r="E70" t="s">
        <v>647</v>
      </c>
      <c r="F70" t="s">
        <v>618</v>
      </c>
      <c r="G70" t="s">
        <v>715</v>
      </c>
      <c r="H70" t="s">
        <v>716</v>
      </c>
      <c r="I70" t="s">
        <v>510</v>
      </c>
      <c r="J70" t="s">
        <v>689</v>
      </c>
      <c r="K70" t="s">
        <v>509</v>
      </c>
    </row>
    <row r="71" spans="1:11">
      <c r="A71" t="s">
        <v>793</v>
      </c>
      <c r="B71" t="s">
        <v>624</v>
      </c>
      <c r="C71" t="s">
        <v>509</v>
      </c>
      <c r="D71" t="s">
        <v>718</v>
      </c>
      <c r="E71" t="s">
        <v>647</v>
      </c>
      <c r="F71" t="s">
        <v>624</v>
      </c>
      <c r="G71" t="s">
        <v>715</v>
      </c>
      <c r="H71" t="s">
        <v>716</v>
      </c>
      <c r="I71" t="s">
        <v>510</v>
      </c>
      <c r="J71" t="s">
        <v>689</v>
      </c>
      <c r="K71" t="s">
        <v>509</v>
      </c>
    </row>
    <row r="72" spans="1:11">
      <c r="A72" t="s">
        <v>794</v>
      </c>
      <c r="B72" t="s">
        <v>676</v>
      </c>
      <c r="C72" t="s">
        <v>509</v>
      </c>
      <c r="D72" t="s">
        <v>680</v>
      </c>
      <c r="E72" t="s">
        <v>647</v>
      </c>
      <c r="F72" t="s">
        <v>676</v>
      </c>
      <c r="G72" t="s">
        <v>715</v>
      </c>
      <c r="H72" t="s">
        <v>716</v>
      </c>
      <c r="I72" t="s">
        <v>510</v>
      </c>
      <c r="J72" t="s">
        <v>689</v>
      </c>
      <c r="K72" t="s">
        <v>509</v>
      </c>
    </row>
    <row r="73" spans="1:11">
      <c r="A73" t="s">
        <v>795</v>
      </c>
      <c r="B73" t="s">
        <v>710</v>
      </c>
      <c r="C73" t="s">
        <v>509</v>
      </c>
      <c r="D73" t="s">
        <v>719</v>
      </c>
      <c r="E73" t="s">
        <v>647</v>
      </c>
      <c r="F73" t="s">
        <v>710</v>
      </c>
      <c r="G73" t="s">
        <v>647</v>
      </c>
      <c r="H73" t="s">
        <v>647</v>
      </c>
      <c r="I73" t="s">
        <v>510</v>
      </c>
      <c r="J73" t="s">
        <v>610</v>
      </c>
      <c r="K73" t="s">
        <v>509</v>
      </c>
    </row>
    <row r="74" spans="1:11">
      <c r="A74" t="s">
        <v>796</v>
      </c>
      <c r="B74" t="s">
        <v>689</v>
      </c>
      <c r="C74" t="s">
        <v>509</v>
      </c>
      <c r="D74" t="s">
        <v>646</v>
      </c>
      <c r="E74" t="s">
        <v>720</v>
      </c>
      <c r="F74" t="s">
        <v>689</v>
      </c>
      <c r="G74" t="s">
        <v>720</v>
      </c>
      <c r="H74" t="s">
        <v>721</v>
      </c>
      <c r="I74" t="s">
        <v>510</v>
      </c>
      <c r="J74" t="s">
        <v>610</v>
      </c>
      <c r="K74" t="s">
        <v>509</v>
      </c>
    </row>
    <row r="75" spans="1:11">
      <c r="A75" t="s">
        <v>781</v>
      </c>
      <c r="B75" t="s">
        <v>610</v>
      </c>
      <c r="C75" t="s">
        <v>509</v>
      </c>
      <c r="D75" t="s">
        <v>628</v>
      </c>
      <c r="E75" t="s">
        <v>722</v>
      </c>
      <c r="F75" t="s">
        <v>610</v>
      </c>
      <c r="G75" t="s">
        <v>723</v>
      </c>
      <c r="H75" t="s">
        <v>724</v>
      </c>
      <c r="I75" t="s">
        <v>509</v>
      </c>
      <c r="J75" t="s">
        <v>725</v>
      </c>
      <c r="K75" t="s">
        <v>510</v>
      </c>
    </row>
    <row r="76" spans="1:11">
      <c r="A76" t="s">
        <v>797</v>
      </c>
      <c r="B76" t="s">
        <v>618</v>
      </c>
      <c r="C76" t="s">
        <v>509</v>
      </c>
      <c r="D76" t="s">
        <v>726</v>
      </c>
      <c r="E76" t="s">
        <v>727</v>
      </c>
      <c r="F76" t="s">
        <v>618</v>
      </c>
      <c r="G76" t="s">
        <v>723</v>
      </c>
      <c r="H76" t="s">
        <v>728</v>
      </c>
      <c r="I76" t="s">
        <v>509</v>
      </c>
      <c r="J76" t="s">
        <v>624</v>
      </c>
      <c r="K76" t="s">
        <v>510</v>
      </c>
    </row>
    <row r="77" spans="1:11">
      <c r="A77" t="s">
        <v>798</v>
      </c>
      <c r="B77" t="s">
        <v>624</v>
      </c>
      <c r="C77" t="s">
        <v>509</v>
      </c>
      <c r="D77" t="s">
        <v>624</v>
      </c>
      <c r="E77" t="s">
        <v>647</v>
      </c>
      <c r="F77" t="s">
        <v>624</v>
      </c>
      <c r="G77" t="s">
        <v>723</v>
      </c>
      <c r="H77" t="s">
        <v>728</v>
      </c>
      <c r="I77" t="s">
        <v>509</v>
      </c>
      <c r="J77" t="s">
        <v>624</v>
      </c>
      <c r="K77" t="s">
        <v>510</v>
      </c>
    </row>
    <row r="78" spans="1:11">
      <c r="A78" t="s">
        <v>799</v>
      </c>
      <c r="B78" t="s">
        <v>676</v>
      </c>
      <c r="C78" t="s">
        <v>509</v>
      </c>
      <c r="D78" t="s">
        <v>667</v>
      </c>
      <c r="E78" t="s">
        <v>729</v>
      </c>
      <c r="F78" t="s">
        <v>676</v>
      </c>
      <c r="G78" t="s">
        <v>723</v>
      </c>
      <c r="H78" t="s">
        <v>724</v>
      </c>
      <c r="I78" t="s">
        <v>510</v>
      </c>
      <c r="J78" t="s">
        <v>725</v>
      </c>
      <c r="K78" t="s">
        <v>509</v>
      </c>
    </row>
    <row r="79" spans="1:11">
      <c r="A79" t="s">
        <v>800</v>
      </c>
      <c r="B79" t="s">
        <v>710</v>
      </c>
      <c r="C79" t="s">
        <v>509</v>
      </c>
      <c r="D79" t="s">
        <v>667</v>
      </c>
      <c r="E79" t="s">
        <v>647</v>
      </c>
      <c r="F79" t="s">
        <v>710</v>
      </c>
      <c r="G79" t="s">
        <v>647</v>
      </c>
      <c r="H79" t="s">
        <v>647</v>
      </c>
      <c r="I79" t="s">
        <v>510</v>
      </c>
      <c r="J79" t="s">
        <v>610</v>
      </c>
      <c r="K79" t="s">
        <v>509</v>
      </c>
    </row>
    <row r="80" spans="1:11">
      <c r="A80" t="s">
        <v>801</v>
      </c>
      <c r="B80" t="s">
        <v>689</v>
      </c>
      <c r="C80" t="s">
        <v>509</v>
      </c>
      <c r="D80" t="s">
        <v>726</v>
      </c>
      <c r="E80" t="s">
        <v>647</v>
      </c>
      <c r="F80" t="s">
        <v>689</v>
      </c>
      <c r="G80" t="s">
        <v>647</v>
      </c>
      <c r="H80" t="s">
        <v>647</v>
      </c>
      <c r="I80" t="s">
        <v>510</v>
      </c>
      <c r="J80" t="s">
        <v>610</v>
      </c>
      <c r="K80" t="s">
        <v>509</v>
      </c>
    </row>
    <row r="81" spans="1:11">
      <c r="A81" t="s">
        <v>802</v>
      </c>
      <c r="B81" t="s">
        <v>725</v>
      </c>
      <c r="C81" t="s">
        <v>509</v>
      </c>
      <c r="D81" t="s">
        <v>661</v>
      </c>
      <c r="E81" t="s">
        <v>647</v>
      </c>
      <c r="F81" t="s">
        <v>725</v>
      </c>
      <c r="G81" t="s">
        <v>647</v>
      </c>
      <c r="H81" t="s">
        <v>647</v>
      </c>
      <c r="I81" t="s">
        <v>509</v>
      </c>
      <c r="J81" t="s">
        <v>618</v>
      </c>
      <c r="K81" t="s">
        <v>510</v>
      </c>
    </row>
    <row r="82" spans="1:11">
      <c r="A82" t="s">
        <v>803</v>
      </c>
      <c r="B82" t="s">
        <v>686</v>
      </c>
      <c r="C82" t="s">
        <v>509</v>
      </c>
      <c r="D82" t="s">
        <v>654</v>
      </c>
      <c r="E82" t="s">
        <v>647</v>
      </c>
      <c r="F82" t="s">
        <v>686</v>
      </c>
      <c r="G82" t="s">
        <v>647</v>
      </c>
      <c r="H82" t="s">
        <v>647</v>
      </c>
      <c r="I82" t="s">
        <v>510</v>
      </c>
      <c r="J82" t="s">
        <v>618</v>
      </c>
      <c r="K82" t="s">
        <v>509</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F7" sqref="F7"/>
    </sheetView>
  </sheetViews>
  <sheetFormatPr defaultColWidth="8.85546875" defaultRowHeight="15"/>
  <cols>
    <col min="5" max="5" width="19.42578125" customWidth="1"/>
    <col min="6" max="6" width="18.42578125" customWidth="1"/>
    <col min="7" max="7" width="17.28515625" customWidth="1"/>
    <col min="10" max="10" width="0" hidden="1" customWidth="1"/>
    <col min="11" max="11" width="21.7109375" hidden="1" customWidth="1"/>
    <col min="12" max="12" width="0" hidden="1" customWidth="1"/>
  </cols>
  <sheetData>
    <row r="1" spans="1:12" ht="39" customHeight="1" thickBot="1">
      <c r="A1" s="59" t="s">
        <v>458</v>
      </c>
      <c r="B1" s="59">
        <v>11880</v>
      </c>
      <c r="E1" s="60" t="s">
        <v>459</v>
      </c>
      <c r="F1" s="61" t="s">
        <v>460</v>
      </c>
      <c r="G1" s="62" t="s">
        <v>461</v>
      </c>
    </row>
    <row r="2" spans="1:12" ht="45.75" thickBot="1">
      <c r="A2" s="59" t="s">
        <v>462</v>
      </c>
      <c r="B2" s="59">
        <v>16020</v>
      </c>
      <c r="E2" s="63">
        <v>2</v>
      </c>
      <c r="F2" s="64">
        <v>40617</v>
      </c>
      <c r="G2" s="65">
        <f ca="1">F2/INDIRECT("B"&amp;E2)</f>
        <v>2.5353932584269665</v>
      </c>
      <c r="J2" s="66"/>
      <c r="K2" s="67" t="s">
        <v>463</v>
      </c>
      <c r="L2" s="67" t="s">
        <v>464</v>
      </c>
    </row>
    <row r="3" spans="1:12" ht="15.75" thickBot="1">
      <c r="A3" s="59" t="s">
        <v>465</v>
      </c>
      <c r="B3" s="59">
        <v>20160</v>
      </c>
      <c r="J3" s="66">
        <v>1</v>
      </c>
      <c r="K3" s="68" t="s">
        <v>466</v>
      </c>
      <c r="L3" s="69">
        <v>241</v>
      </c>
    </row>
    <row r="4" spans="1:12" ht="15.75" thickBot="1">
      <c r="A4" s="59" t="s">
        <v>467</v>
      </c>
      <c r="B4" s="59">
        <v>24300</v>
      </c>
      <c r="J4" s="66">
        <v>2</v>
      </c>
      <c r="K4" s="68" t="s">
        <v>271</v>
      </c>
      <c r="L4" s="69">
        <v>242</v>
      </c>
    </row>
    <row r="5" spans="1:12" ht="30.75" thickBot="1">
      <c r="A5" s="59" t="s">
        <v>468</v>
      </c>
      <c r="B5" s="59">
        <v>28440</v>
      </c>
      <c r="E5" s="60" t="s">
        <v>459</v>
      </c>
      <c r="F5" s="61" t="s">
        <v>469</v>
      </c>
      <c r="G5" s="62" t="s">
        <v>461</v>
      </c>
      <c r="J5" s="66">
        <v>3</v>
      </c>
      <c r="K5" s="68" t="s">
        <v>470</v>
      </c>
      <c r="L5" s="69" t="s">
        <v>471</v>
      </c>
    </row>
    <row r="6" spans="1:12" ht="21.75" thickBot="1">
      <c r="A6" s="59" t="s">
        <v>472</v>
      </c>
      <c r="B6" s="59">
        <v>32580</v>
      </c>
      <c r="E6" s="63">
        <v>2</v>
      </c>
      <c r="F6" s="70">
        <v>1000</v>
      </c>
      <c r="G6" s="65">
        <f ca="1">(F6/INDIRECT("B"&amp;E6))*12</f>
        <v>0.74906367041198507</v>
      </c>
      <c r="J6" s="66">
        <v>4</v>
      </c>
      <c r="K6" s="68" t="s">
        <v>473</v>
      </c>
      <c r="L6" s="69">
        <v>221</v>
      </c>
    </row>
    <row r="7" spans="1:12" ht="30.75" thickBot="1">
      <c r="A7" s="59" t="s">
        <v>474</v>
      </c>
      <c r="B7" s="59">
        <v>36730</v>
      </c>
      <c r="J7" s="66">
        <v>5</v>
      </c>
      <c r="K7" s="68" t="s">
        <v>269</v>
      </c>
      <c r="L7" s="69">
        <v>221</v>
      </c>
    </row>
    <row r="8" spans="1:12" ht="30.75" thickBot="1">
      <c r="A8" s="59" t="s">
        <v>475</v>
      </c>
      <c r="B8" s="59">
        <v>40890</v>
      </c>
      <c r="J8" s="66">
        <v>6</v>
      </c>
      <c r="K8" s="68" t="s">
        <v>266</v>
      </c>
      <c r="L8" s="69">
        <v>221</v>
      </c>
    </row>
    <row r="9" spans="1:12" ht="30.75" thickBot="1">
      <c r="A9" s="59" t="s">
        <v>476</v>
      </c>
      <c r="B9" s="59">
        <v>45050</v>
      </c>
      <c r="J9" s="66">
        <v>7</v>
      </c>
      <c r="K9" s="68" t="s">
        <v>272</v>
      </c>
      <c r="L9" s="69">
        <v>221</v>
      </c>
    </row>
    <row r="10" spans="1:12" ht="15.75" thickBot="1">
      <c r="A10" s="59" t="s">
        <v>477</v>
      </c>
      <c r="B10" s="59">
        <v>49210</v>
      </c>
      <c r="J10" s="66">
        <v>8</v>
      </c>
      <c r="K10" s="68" t="s">
        <v>478</v>
      </c>
      <c r="L10" s="69">
        <v>222</v>
      </c>
    </row>
    <row r="11" spans="1:12" ht="30.75" thickBot="1">
      <c r="J11" s="66">
        <v>9</v>
      </c>
      <c r="K11" s="68" t="s">
        <v>264</v>
      </c>
      <c r="L11" s="69">
        <v>222</v>
      </c>
    </row>
    <row r="12" spans="1:12" ht="30.75" thickBot="1">
      <c r="J12" s="66">
        <v>10</v>
      </c>
      <c r="K12" s="68" t="s">
        <v>267</v>
      </c>
      <c r="L12" s="69">
        <v>222</v>
      </c>
    </row>
    <row r="13" spans="1:12" ht="30.75" thickBot="1">
      <c r="J13" s="66">
        <v>11</v>
      </c>
      <c r="K13" s="68" t="s">
        <v>261</v>
      </c>
      <c r="L13" s="69">
        <v>222</v>
      </c>
    </row>
    <row r="14" spans="1:12" ht="15.75" thickBot="1">
      <c r="J14" s="66">
        <v>12</v>
      </c>
      <c r="K14" s="68" t="s">
        <v>262</v>
      </c>
      <c r="L14" s="69">
        <v>231</v>
      </c>
    </row>
    <row r="15" spans="1:12" ht="30.75" thickBot="1">
      <c r="J15" s="66">
        <v>13</v>
      </c>
      <c r="K15" s="68" t="s">
        <v>479</v>
      </c>
      <c r="L15" s="69" t="s">
        <v>480</v>
      </c>
    </row>
    <row r="16" spans="1:12" ht="15.75" thickBot="1">
      <c r="J16" s="66">
        <v>14</v>
      </c>
      <c r="K16" s="68" t="s">
        <v>260</v>
      </c>
      <c r="L16" s="69" t="s">
        <v>228</v>
      </c>
    </row>
    <row r="17" spans="10:12" ht="30.75" thickBot="1">
      <c r="J17" s="66">
        <v>15</v>
      </c>
      <c r="K17" s="68" t="s">
        <v>263</v>
      </c>
      <c r="L17" s="69" t="s">
        <v>227</v>
      </c>
    </row>
    <row r="18" spans="10:12" ht="30.75" thickBot="1">
      <c r="J18" s="66">
        <v>16</v>
      </c>
      <c r="K18" s="68" t="s">
        <v>268</v>
      </c>
      <c r="L18" s="69" t="s">
        <v>265</v>
      </c>
    </row>
    <row r="19" spans="10:12" ht="30.75" thickBot="1">
      <c r="J19" s="66">
        <v>17</v>
      </c>
      <c r="K19" s="68" t="s">
        <v>481</v>
      </c>
      <c r="L19" s="69" t="s">
        <v>270</v>
      </c>
    </row>
    <row r="20" spans="10:12" ht="30.75" thickBot="1">
      <c r="J20" s="66">
        <v>18</v>
      </c>
      <c r="K20" s="68" t="s">
        <v>482</v>
      </c>
      <c r="L20" s="69">
        <v>211</v>
      </c>
    </row>
    <row r="21" spans="10:12" ht="30.75" thickBot="1">
      <c r="J21" s="66">
        <v>29</v>
      </c>
      <c r="K21" s="68" t="s">
        <v>483</v>
      </c>
      <c r="L21" s="69" t="s">
        <v>484</v>
      </c>
    </row>
    <row r="22" spans="10:12" ht="15.75" thickBot="1">
      <c r="J22" s="66">
        <v>20</v>
      </c>
      <c r="K22" s="68" t="s">
        <v>485</v>
      </c>
      <c r="L22" s="69" t="s">
        <v>486</v>
      </c>
    </row>
  </sheetData>
  <protectedRanges>
    <protectedRange password="8C50" sqref="G2 G6" name="Income"/>
  </protectedRange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2"/>
  <sheetViews>
    <sheetView workbookViewId="0">
      <selection sqref="A1:B10"/>
    </sheetView>
  </sheetViews>
  <sheetFormatPr defaultColWidth="8.85546875" defaultRowHeight="15"/>
  <cols>
    <col min="5" max="5" width="19.42578125" customWidth="1"/>
    <col min="6" max="6" width="18.42578125" customWidth="1"/>
    <col min="7" max="7" width="17.28515625" customWidth="1"/>
    <col min="10" max="10" width="0" hidden="1" customWidth="1"/>
    <col min="11" max="11" width="21.7109375" hidden="1" customWidth="1"/>
    <col min="12" max="12" width="0" hidden="1" customWidth="1"/>
  </cols>
  <sheetData>
    <row r="1" spans="1:12" ht="39" customHeight="1" thickBot="1">
      <c r="A1" s="59" t="s">
        <v>458</v>
      </c>
      <c r="B1" s="59">
        <v>11770</v>
      </c>
      <c r="E1" s="60" t="s">
        <v>459</v>
      </c>
      <c r="F1" s="61" t="s">
        <v>460</v>
      </c>
      <c r="G1" s="62" t="s">
        <v>461</v>
      </c>
    </row>
    <row r="2" spans="1:12" ht="45.75" thickBot="1">
      <c r="A2" s="59" t="s">
        <v>462</v>
      </c>
      <c r="B2" s="59">
        <v>15930</v>
      </c>
      <c r="E2" s="63">
        <v>2</v>
      </c>
      <c r="F2" s="64">
        <v>40617</v>
      </c>
      <c r="G2" s="65">
        <f ca="1">F2/INDIRECT("B"&amp;E2)</f>
        <v>2.5497175141242936</v>
      </c>
      <c r="J2" s="66"/>
      <c r="K2" s="67" t="s">
        <v>463</v>
      </c>
      <c r="L2" s="67" t="s">
        <v>464</v>
      </c>
    </row>
    <row r="3" spans="1:12" ht="15.75" thickBot="1">
      <c r="A3" s="59" t="s">
        <v>465</v>
      </c>
      <c r="B3" s="59">
        <v>20090</v>
      </c>
      <c r="J3" s="66">
        <v>1</v>
      </c>
      <c r="K3" s="68" t="s">
        <v>466</v>
      </c>
      <c r="L3" s="69">
        <v>241</v>
      </c>
    </row>
    <row r="4" spans="1:12" ht="15.75" thickBot="1">
      <c r="A4" s="59" t="s">
        <v>467</v>
      </c>
      <c r="B4" s="59">
        <v>24250</v>
      </c>
      <c r="J4" s="66">
        <v>2</v>
      </c>
      <c r="K4" s="68" t="s">
        <v>271</v>
      </c>
      <c r="L4" s="69">
        <v>242</v>
      </c>
    </row>
    <row r="5" spans="1:12" ht="30.75" thickBot="1">
      <c r="A5" s="59" t="s">
        <v>468</v>
      </c>
      <c r="B5" s="59">
        <v>28410</v>
      </c>
      <c r="E5" s="60" t="s">
        <v>459</v>
      </c>
      <c r="F5" s="61" t="s">
        <v>469</v>
      </c>
      <c r="G5" s="62" t="s">
        <v>461</v>
      </c>
      <c r="J5" s="66">
        <v>3</v>
      </c>
      <c r="K5" s="68" t="s">
        <v>470</v>
      </c>
      <c r="L5" s="69" t="s">
        <v>471</v>
      </c>
    </row>
    <row r="6" spans="1:12" ht="21.75" thickBot="1">
      <c r="A6" s="59" t="s">
        <v>472</v>
      </c>
      <c r="B6" s="59">
        <v>32570</v>
      </c>
      <c r="E6" s="63">
        <v>2</v>
      </c>
      <c r="F6" s="70">
        <v>1000</v>
      </c>
      <c r="G6" s="65">
        <f ca="1">(F6/INDIRECT("B"&amp;E6))*12</f>
        <v>0.75329566854990593</v>
      </c>
      <c r="J6" s="66">
        <v>4</v>
      </c>
      <c r="K6" s="68" t="s">
        <v>473</v>
      </c>
      <c r="L6" s="69">
        <v>221</v>
      </c>
    </row>
    <row r="7" spans="1:12" ht="30.75" thickBot="1">
      <c r="A7" s="59" t="s">
        <v>474</v>
      </c>
      <c r="B7" s="59">
        <v>36730</v>
      </c>
      <c r="J7" s="66">
        <v>5</v>
      </c>
      <c r="K7" s="68" t="s">
        <v>269</v>
      </c>
      <c r="L7" s="69">
        <v>221</v>
      </c>
    </row>
    <row r="8" spans="1:12" ht="30.75" thickBot="1">
      <c r="A8" s="59" t="s">
        <v>475</v>
      </c>
      <c r="B8" s="59">
        <v>40890</v>
      </c>
      <c r="J8" s="66">
        <v>6</v>
      </c>
      <c r="K8" s="68" t="s">
        <v>266</v>
      </c>
      <c r="L8" s="69">
        <v>221</v>
      </c>
    </row>
    <row r="9" spans="1:12" ht="30.75" thickBot="1">
      <c r="A9" s="59" t="s">
        <v>476</v>
      </c>
      <c r="B9" s="59">
        <v>48310</v>
      </c>
      <c r="J9" s="66">
        <v>7</v>
      </c>
      <c r="K9" s="68" t="s">
        <v>272</v>
      </c>
      <c r="L9" s="69">
        <v>221</v>
      </c>
    </row>
    <row r="10" spans="1:12" ht="15.75" thickBot="1">
      <c r="A10" s="59" t="s">
        <v>477</v>
      </c>
      <c r="B10" s="59">
        <v>52370</v>
      </c>
      <c r="J10" s="66">
        <v>8</v>
      </c>
      <c r="K10" s="68" t="s">
        <v>478</v>
      </c>
      <c r="L10" s="69">
        <v>222</v>
      </c>
    </row>
    <row r="11" spans="1:12" ht="30.75" thickBot="1">
      <c r="J11" s="66">
        <v>9</v>
      </c>
      <c r="K11" s="68" t="s">
        <v>264</v>
      </c>
      <c r="L11" s="69">
        <v>222</v>
      </c>
    </row>
    <row r="12" spans="1:12" ht="30.75" thickBot="1">
      <c r="J12" s="66">
        <v>10</v>
      </c>
      <c r="K12" s="68" t="s">
        <v>267</v>
      </c>
      <c r="L12" s="69">
        <v>222</v>
      </c>
    </row>
    <row r="13" spans="1:12" ht="30.75" thickBot="1">
      <c r="J13" s="66">
        <v>11</v>
      </c>
      <c r="K13" s="68" t="s">
        <v>261</v>
      </c>
      <c r="L13" s="69">
        <v>222</v>
      </c>
    </row>
    <row r="14" spans="1:12" ht="15.75" thickBot="1">
      <c r="J14" s="66">
        <v>12</v>
      </c>
      <c r="K14" s="68" t="s">
        <v>262</v>
      </c>
      <c r="L14" s="69">
        <v>231</v>
      </c>
    </row>
    <row r="15" spans="1:12" ht="30.75" thickBot="1">
      <c r="J15" s="66">
        <v>13</v>
      </c>
      <c r="K15" s="68" t="s">
        <v>479</v>
      </c>
      <c r="L15" s="69" t="s">
        <v>480</v>
      </c>
    </row>
    <row r="16" spans="1:12" ht="15.75" thickBot="1">
      <c r="J16" s="66">
        <v>14</v>
      </c>
      <c r="K16" s="68" t="s">
        <v>260</v>
      </c>
      <c r="L16" s="69" t="s">
        <v>228</v>
      </c>
    </row>
    <row r="17" spans="10:12" ht="30.75" thickBot="1">
      <c r="J17" s="66">
        <v>15</v>
      </c>
      <c r="K17" s="68" t="s">
        <v>263</v>
      </c>
      <c r="L17" s="69" t="s">
        <v>227</v>
      </c>
    </row>
    <row r="18" spans="10:12" ht="30.75" thickBot="1">
      <c r="J18" s="66">
        <v>16</v>
      </c>
      <c r="K18" s="68" t="s">
        <v>268</v>
      </c>
      <c r="L18" s="69" t="s">
        <v>265</v>
      </c>
    </row>
    <row r="19" spans="10:12" ht="30.75" thickBot="1">
      <c r="J19" s="66">
        <v>17</v>
      </c>
      <c r="K19" s="68" t="s">
        <v>481</v>
      </c>
      <c r="L19" s="69" t="s">
        <v>270</v>
      </c>
    </row>
    <row r="20" spans="10:12" ht="30.75" thickBot="1">
      <c r="J20" s="66">
        <v>18</v>
      </c>
      <c r="K20" s="68" t="s">
        <v>482</v>
      </c>
      <c r="L20" s="69">
        <v>211</v>
      </c>
    </row>
    <row r="21" spans="10:12" ht="30.75" thickBot="1">
      <c r="J21" s="66">
        <v>29</v>
      </c>
      <c r="K21" s="68" t="s">
        <v>483</v>
      </c>
      <c r="L21" s="69" t="s">
        <v>484</v>
      </c>
    </row>
    <row r="22" spans="10:12" ht="15.75" thickBot="1">
      <c r="J22" s="66">
        <v>20</v>
      </c>
      <c r="K22" s="68" t="s">
        <v>485</v>
      </c>
      <c r="L22" s="69" t="s">
        <v>486</v>
      </c>
    </row>
  </sheetData>
  <protectedRanges>
    <protectedRange password="8C50" sqref="G2 G6" name="Income"/>
  </protectedRange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22"/>
  <sheetViews>
    <sheetView workbookViewId="0">
      <selection activeCell="C2" sqref="C2:C6"/>
    </sheetView>
  </sheetViews>
  <sheetFormatPr defaultColWidth="8.85546875" defaultRowHeight="15"/>
  <cols>
    <col min="5" max="5" width="19.42578125" customWidth="1"/>
    <col min="6" max="6" width="18.42578125" customWidth="1"/>
    <col min="7" max="7" width="17.28515625" customWidth="1"/>
    <col min="10" max="10" width="0" hidden="1" customWidth="1"/>
    <col min="11" max="11" width="21.7109375" hidden="1" customWidth="1"/>
    <col min="12" max="12" width="0" hidden="1" customWidth="1"/>
  </cols>
  <sheetData>
    <row r="1" spans="1:12" ht="39" customHeight="1" thickBot="1">
      <c r="A1" s="59" t="s">
        <v>458</v>
      </c>
      <c r="B1" s="59">
        <v>11670</v>
      </c>
      <c r="E1" s="60" t="s">
        <v>459</v>
      </c>
      <c r="F1" s="61" t="s">
        <v>489</v>
      </c>
      <c r="G1" s="62" t="s">
        <v>461</v>
      </c>
    </row>
    <row r="2" spans="1:12" ht="45.75" thickBot="1">
      <c r="A2" s="59" t="s">
        <v>462</v>
      </c>
      <c r="B2" s="59">
        <v>15730</v>
      </c>
      <c r="E2" s="63">
        <v>2</v>
      </c>
      <c r="F2" s="70">
        <v>40617</v>
      </c>
      <c r="G2" s="75">
        <f ca="1">(F2/INDIRECT("B"&amp;E2))*100</f>
        <v>258.21360457724097</v>
      </c>
      <c r="J2" s="66"/>
      <c r="K2" s="67" t="s">
        <v>463</v>
      </c>
      <c r="L2" s="67" t="s">
        <v>464</v>
      </c>
    </row>
    <row r="3" spans="1:12" ht="15.75" thickBot="1">
      <c r="A3" s="59" t="s">
        <v>465</v>
      </c>
      <c r="B3" s="59">
        <v>19790</v>
      </c>
      <c r="J3" s="66">
        <v>1</v>
      </c>
      <c r="K3" s="68" t="s">
        <v>466</v>
      </c>
      <c r="L3" s="69">
        <v>241</v>
      </c>
    </row>
    <row r="4" spans="1:12" ht="15.75" thickBot="1">
      <c r="A4" s="59" t="s">
        <v>467</v>
      </c>
      <c r="B4" s="59">
        <v>23850</v>
      </c>
      <c r="J4" s="66">
        <v>2</v>
      </c>
      <c r="K4" s="68" t="s">
        <v>271</v>
      </c>
      <c r="L4" s="69">
        <v>242</v>
      </c>
    </row>
    <row r="5" spans="1:12" ht="30.75" thickBot="1">
      <c r="A5" s="59" t="s">
        <v>468</v>
      </c>
      <c r="B5" s="59">
        <v>27910</v>
      </c>
      <c r="E5" s="60" t="s">
        <v>459</v>
      </c>
      <c r="F5" s="61" t="s">
        <v>469</v>
      </c>
      <c r="G5" s="62" t="s">
        <v>461</v>
      </c>
      <c r="J5" s="66">
        <v>3</v>
      </c>
      <c r="K5" s="68" t="s">
        <v>470</v>
      </c>
      <c r="L5" s="69" t="s">
        <v>471</v>
      </c>
    </row>
    <row r="6" spans="1:12" ht="21.75" thickBot="1">
      <c r="A6" s="59" t="s">
        <v>472</v>
      </c>
      <c r="B6" s="59">
        <v>31970</v>
      </c>
      <c r="E6" s="63">
        <v>2</v>
      </c>
      <c r="F6" s="70">
        <v>1000</v>
      </c>
      <c r="G6" s="65">
        <f ca="1">(F6/INDIRECT("B"&amp;E6))*12</f>
        <v>0.76287349014621741</v>
      </c>
      <c r="J6" s="66">
        <v>4</v>
      </c>
      <c r="K6" s="68" t="s">
        <v>473</v>
      </c>
      <c r="L6" s="69">
        <v>221</v>
      </c>
    </row>
    <row r="7" spans="1:12" ht="30.75" thickBot="1">
      <c r="A7" s="59" t="s">
        <v>474</v>
      </c>
      <c r="B7" s="59">
        <v>36030</v>
      </c>
      <c r="J7" s="66">
        <v>5</v>
      </c>
      <c r="K7" s="68" t="s">
        <v>269</v>
      </c>
      <c r="L7" s="69">
        <v>221</v>
      </c>
    </row>
    <row r="8" spans="1:12" ht="30.75" thickBot="1">
      <c r="A8" s="59" t="s">
        <v>475</v>
      </c>
      <c r="B8" s="59">
        <v>40090</v>
      </c>
      <c r="J8" s="66">
        <v>6</v>
      </c>
      <c r="K8" s="68" t="s">
        <v>266</v>
      </c>
      <c r="L8" s="69">
        <v>221</v>
      </c>
    </row>
    <row r="9" spans="1:12" ht="30.75" thickBot="1">
      <c r="A9" s="59" t="s">
        <v>476</v>
      </c>
      <c r="B9" s="59">
        <v>44150</v>
      </c>
      <c r="J9" s="66">
        <v>7</v>
      </c>
      <c r="K9" s="68" t="s">
        <v>272</v>
      </c>
      <c r="L9" s="69">
        <v>221</v>
      </c>
    </row>
    <row r="10" spans="1:12" ht="15.75" thickBot="1">
      <c r="A10" s="59" t="s">
        <v>477</v>
      </c>
      <c r="B10" s="59">
        <v>48210</v>
      </c>
      <c r="J10" s="66">
        <v>8</v>
      </c>
      <c r="K10" s="68" t="s">
        <v>478</v>
      </c>
      <c r="L10" s="69">
        <v>222</v>
      </c>
    </row>
    <row r="11" spans="1:12" ht="30.75" thickBot="1">
      <c r="J11" s="66">
        <v>9</v>
      </c>
      <c r="K11" s="68" t="s">
        <v>264</v>
      </c>
      <c r="L11" s="69">
        <v>222</v>
      </c>
    </row>
    <row r="12" spans="1:12" ht="30.75" thickBot="1">
      <c r="J12" s="66">
        <v>10</v>
      </c>
      <c r="K12" s="68" t="s">
        <v>267</v>
      </c>
      <c r="L12" s="69">
        <v>222</v>
      </c>
    </row>
    <row r="13" spans="1:12" ht="30.75" thickBot="1">
      <c r="J13" s="66">
        <v>11</v>
      </c>
      <c r="K13" s="68" t="s">
        <v>261</v>
      </c>
      <c r="L13" s="69">
        <v>222</v>
      </c>
    </row>
    <row r="14" spans="1:12" ht="15.75" thickBot="1">
      <c r="J14" s="66">
        <v>12</v>
      </c>
      <c r="K14" s="68" t="s">
        <v>262</v>
      </c>
      <c r="L14" s="69">
        <v>231</v>
      </c>
    </row>
    <row r="15" spans="1:12" ht="30.75" thickBot="1">
      <c r="J15" s="66">
        <v>13</v>
      </c>
      <c r="K15" s="68" t="s">
        <v>479</v>
      </c>
      <c r="L15" s="69" t="s">
        <v>480</v>
      </c>
    </row>
    <row r="16" spans="1:12" ht="15.75" thickBot="1">
      <c r="J16" s="66">
        <v>14</v>
      </c>
      <c r="K16" s="68" t="s">
        <v>260</v>
      </c>
      <c r="L16" s="69" t="s">
        <v>228</v>
      </c>
    </row>
    <row r="17" spans="10:12" ht="30.75" thickBot="1">
      <c r="J17" s="66">
        <v>15</v>
      </c>
      <c r="K17" s="68" t="s">
        <v>263</v>
      </c>
      <c r="L17" s="69" t="s">
        <v>227</v>
      </c>
    </row>
    <row r="18" spans="10:12" ht="30.75" thickBot="1">
      <c r="J18" s="66">
        <v>16</v>
      </c>
      <c r="K18" s="68" t="s">
        <v>268</v>
      </c>
      <c r="L18" s="69" t="s">
        <v>265</v>
      </c>
    </row>
    <row r="19" spans="10:12" ht="30.75" thickBot="1">
      <c r="J19" s="66">
        <v>17</v>
      </c>
      <c r="K19" s="68" t="s">
        <v>481</v>
      </c>
      <c r="L19" s="69" t="s">
        <v>270</v>
      </c>
    </row>
    <row r="20" spans="10:12" ht="30.75" thickBot="1">
      <c r="J20" s="66">
        <v>18</v>
      </c>
      <c r="K20" s="68" t="s">
        <v>482</v>
      </c>
      <c r="L20" s="69">
        <v>211</v>
      </c>
    </row>
    <row r="21" spans="10:12" ht="30.75" thickBot="1">
      <c r="J21" s="66">
        <v>29</v>
      </c>
      <c r="K21" s="68" t="s">
        <v>483</v>
      </c>
      <c r="L21" s="69" t="s">
        <v>484</v>
      </c>
    </row>
    <row r="22" spans="10:12" ht="15.75" thickBot="1">
      <c r="J22" s="66">
        <v>20</v>
      </c>
      <c r="K22" s="68" t="s">
        <v>485</v>
      </c>
      <c r="L22" s="69" t="s">
        <v>486</v>
      </c>
    </row>
  </sheetData>
  <protectedRanges>
    <protectedRange password="8C50" sqref="G2" name="Income"/>
    <protectedRange password="8C50" sqref="G6" name="Income_1"/>
  </protectedRange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2:T31"/>
  <sheetViews>
    <sheetView showGridLines="0" zoomScale="85" zoomScaleNormal="85" zoomScalePageLayoutView="85" workbookViewId="0">
      <selection activeCell="T14" sqref="T14"/>
    </sheetView>
  </sheetViews>
  <sheetFormatPr defaultColWidth="9.140625" defaultRowHeight="14.25"/>
  <cols>
    <col min="1" max="1" width="15.42578125" style="3" customWidth="1"/>
    <col min="2" max="2" width="13.140625" style="3" bestFit="1" customWidth="1"/>
    <col min="3" max="4" width="8.7109375" style="3" customWidth="1"/>
    <col min="5" max="5" width="10.42578125" style="3" bestFit="1" customWidth="1"/>
    <col min="6" max="6" width="8.42578125" style="3" customWidth="1"/>
    <col min="7" max="7" width="6.7109375" style="3" customWidth="1"/>
    <col min="8" max="8" width="10.140625" style="3" customWidth="1"/>
    <col min="9" max="9" width="6.7109375" style="3" customWidth="1"/>
    <col min="10" max="10" width="10.85546875" style="3" customWidth="1"/>
    <col min="11" max="11" width="10.42578125" style="3" customWidth="1"/>
    <col min="12" max="12" width="9" style="3" customWidth="1"/>
    <col min="13" max="13" width="10.28515625" style="3" customWidth="1"/>
    <col min="14" max="14" width="10.7109375" style="3" customWidth="1"/>
    <col min="15" max="15" width="11" style="3" customWidth="1"/>
    <col min="16" max="16" width="10.42578125" style="3" bestFit="1" customWidth="1"/>
    <col min="17" max="17" width="1.28515625" style="25" customWidth="1"/>
    <col min="18" max="18" width="6.7109375" style="3" bestFit="1" customWidth="1"/>
    <col min="19" max="19" width="1.28515625" style="4" customWidth="1"/>
    <col min="20" max="16384" width="9.140625" style="4"/>
  </cols>
  <sheetData>
    <row r="2" spans="1:20">
      <c r="A2" s="8"/>
      <c r="B2" s="342" t="s">
        <v>145</v>
      </c>
      <c r="C2" s="342"/>
      <c r="D2" s="342"/>
      <c r="E2" s="342"/>
      <c r="F2" s="342"/>
      <c r="G2" s="342"/>
      <c r="H2" s="342"/>
      <c r="I2" s="342"/>
      <c r="J2" s="342"/>
      <c r="K2" s="342"/>
      <c r="L2" s="342"/>
      <c r="M2" s="342"/>
      <c r="N2" s="342"/>
      <c r="O2" s="342"/>
      <c r="P2" s="342"/>
      <c r="Q2" s="27"/>
      <c r="R2" s="8"/>
    </row>
    <row r="3" spans="1:20" s="19" customFormat="1" ht="63.75">
      <c r="A3" s="7" t="s">
        <v>135</v>
      </c>
      <c r="B3" s="7" t="s">
        <v>86</v>
      </c>
      <c r="C3" s="7" t="s">
        <v>153</v>
      </c>
      <c r="D3" s="7" t="s">
        <v>85</v>
      </c>
      <c r="E3" s="7" t="s">
        <v>148</v>
      </c>
      <c r="F3" s="7" t="s">
        <v>149</v>
      </c>
      <c r="G3" s="7" t="s">
        <v>83</v>
      </c>
      <c r="H3" s="7" t="s">
        <v>150</v>
      </c>
      <c r="I3" s="7" t="s">
        <v>154</v>
      </c>
      <c r="J3" s="7" t="s">
        <v>155</v>
      </c>
      <c r="K3" s="7" t="s">
        <v>156</v>
      </c>
      <c r="L3" s="7" t="s">
        <v>157</v>
      </c>
      <c r="M3" s="7" t="s">
        <v>158</v>
      </c>
      <c r="N3" s="7" t="s">
        <v>159</v>
      </c>
      <c r="O3" s="7" t="s">
        <v>160</v>
      </c>
      <c r="P3" s="7" t="s">
        <v>161</v>
      </c>
      <c r="Q3" s="9"/>
      <c r="R3" s="22" t="s">
        <v>151</v>
      </c>
      <c r="T3" s="7" t="s">
        <v>165</v>
      </c>
    </row>
    <row r="4" spans="1:20" s="14" customFormat="1" ht="51" hidden="1">
      <c r="A4" s="15"/>
      <c r="B4" s="16" t="s">
        <v>136</v>
      </c>
      <c r="C4" s="16" t="s">
        <v>137</v>
      </c>
      <c r="D4" s="16" t="s">
        <v>138</v>
      </c>
      <c r="E4" s="15" t="s">
        <v>139</v>
      </c>
      <c r="F4" s="15" t="s">
        <v>140</v>
      </c>
      <c r="G4" s="15" t="s">
        <v>141</v>
      </c>
      <c r="H4" s="16" t="s">
        <v>143</v>
      </c>
      <c r="I4" s="16" t="s">
        <v>144</v>
      </c>
      <c r="J4" s="16" t="s">
        <v>142</v>
      </c>
      <c r="K4" s="16" t="s">
        <v>146</v>
      </c>
      <c r="L4" s="15" t="s">
        <v>147</v>
      </c>
      <c r="M4" s="15" t="s">
        <v>152</v>
      </c>
      <c r="N4" s="15" t="s">
        <v>162</v>
      </c>
      <c r="O4" s="15" t="s">
        <v>164</v>
      </c>
      <c r="P4" s="15" t="s">
        <v>163</v>
      </c>
      <c r="Q4" s="17"/>
      <c r="R4" s="18"/>
      <c r="T4" s="21"/>
    </row>
    <row r="5" spans="1:20" ht="12.75">
      <c r="A5" s="1" t="s">
        <v>87</v>
      </c>
      <c r="B5" s="10" t="e">
        <f t="shared" ref="B5:P5" si="0">COUNTIF(HHold1,B$4)</f>
        <v>#NAME?</v>
      </c>
      <c r="C5" s="10" t="e">
        <f t="shared" si="0"/>
        <v>#NAME?</v>
      </c>
      <c r="D5" s="10" t="e">
        <f t="shared" si="0"/>
        <v>#NAME?</v>
      </c>
      <c r="E5" s="10" t="e">
        <f t="shared" si="0"/>
        <v>#NAME?</v>
      </c>
      <c r="F5" s="10" t="e">
        <f t="shared" si="0"/>
        <v>#NAME?</v>
      </c>
      <c r="G5" s="10" t="e">
        <f t="shared" si="0"/>
        <v>#NAME?</v>
      </c>
      <c r="H5" s="10" t="e">
        <f t="shared" si="0"/>
        <v>#NAME?</v>
      </c>
      <c r="I5" s="10" t="e">
        <f t="shared" si="0"/>
        <v>#NAME?</v>
      </c>
      <c r="J5" s="10" t="e">
        <f t="shared" si="0"/>
        <v>#NAME?</v>
      </c>
      <c r="K5" s="10" t="e">
        <f t="shared" si="0"/>
        <v>#NAME?</v>
      </c>
      <c r="L5" s="10" t="e">
        <f t="shared" si="0"/>
        <v>#NAME?</v>
      </c>
      <c r="M5" s="10" t="e">
        <f t="shared" si="0"/>
        <v>#NAME?</v>
      </c>
      <c r="N5" s="10" t="e">
        <f t="shared" si="0"/>
        <v>#NAME?</v>
      </c>
      <c r="O5" s="10" t="e">
        <f t="shared" si="0"/>
        <v>#NAME?</v>
      </c>
      <c r="P5" s="10" t="e">
        <f t="shared" si="0"/>
        <v>#NAME?</v>
      </c>
      <c r="Q5" s="11"/>
      <c r="R5" s="12" t="e">
        <f t="shared" ref="R5:R14" si="1">SUM(B5:P5)</f>
        <v>#NAME?</v>
      </c>
      <c r="T5" s="10">
        <f>COUNTA(HHold1)</f>
        <v>1</v>
      </c>
    </row>
    <row r="6" spans="1:20" ht="12.75">
      <c r="A6" s="1" t="s">
        <v>88</v>
      </c>
      <c r="B6" s="10" t="e">
        <f t="shared" ref="B6:P6" si="2">COUNTIF(HHold2,B$4)</f>
        <v>#NAME?</v>
      </c>
      <c r="C6" s="10" t="e">
        <f t="shared" si="2"/>
        <v>#NAME?</v>
      </c>
      <c r="D6" s="10" t="e">
        <f t="shared" si="2"/>
        <v>#NAME?</v>
      </c>
      <c r="E6" s="10" t="e">
        <f t="shared" si="2"/>
        <v>#NAME?</v>
      </c>
      <c r="F6" s="10" t="e">
        <f t="shared" si="2"/>
        <v>#NAME?</v>
      </c>
      <c r="G6" s="10" t="e">
        <f t="shared" si="2"/>
        <v>#NAME?</v>
      </c>
      <c r="H6" s="10" t="e">
        <f t="shared" si="2"/>
        <v>#NAME?</v>
      </c>
      <c r="I6" s="10" t="e">
        <f t="shared" si="2"/>
        <v>#NAME?</v>
      </c>
      <c r="J6" s="10" t="e">
        <f t="shared" si="2"/>
        <v>#NAME?</v>
      </c>
      <c r="K6" s="10" t="e">
        <f t="shared" si="2"/>
        <v>#NAME?</v>
      </c>
      <c r="L6" s="10" t="e">
        <f t="shared" si="2"/>
        <v>#NAME?</v>
      </c>
      <c r="M6" s="10" t="e">
        <f t="shared" si="2"/>
        <v>#NAME?</v>
      </c>
      <c r="N6" s="10" t="e">
        <f t="shared" si="2"/>
        <v>#NAME?</v>
      </c>
      <c r="O6" s="10" t="e">
        <f t="shared" si="2"/>
        <v>#NAME?</v>
      </c>
      <c r="P6" s="10" t="e">
        <f t="shared" si="2"/>
        <v>#NAME?</v>
      </c>
      <c r="Q6" s="11"/>
      <c r="R6" s="12" t="e">
        <f t="shared" si="1"/>
        <v>#NAME?</v>
      </c>
      <c r="T6" s="10">
        <f>COUNTA(HHold2)</f>
        <v>1</v>
      </c>
    </row>
    <row r="7" spans="1:20" ht="12.75">
      <c r="A7" s="1" t="s">
        <v>89</v>
      </c>
      <c r="B7" s="10" t="e">
        <f t="shared" ref="B7:P7" si="3">COUNTIF(HHold3,B$4)</f>
        <v>#NAME?</v>
      </c>
      <c r="C7" s="10" t="e">
        <f t="shared" si="3"/>
        <v>#NAME?</v>
      </c>
      <c r="D7" s="10" t="e">
        <f t="shared" si="3"/>
        <v>#NAME?</v>
      </c>
      <c r="E7" s="10" t="e">
        <f t="shared" si="3"/>
        <v>#NAME?</v>
      </c>
      <c r="F7" s="10" t="e">
        <f t="shared" si="3"/>
        <v>#NAME?</v>
      </c>
      <c r="G7" s="10" t="e">
        <f t="shared" si="3"/>
        <v>#NAME?</v>
      </c>
      <c r="H7" s="10" t="e">
        <f t="shared" si="3"/>
        <v>#NAME?</v>
      </c>
      <c r="I7" s="10" t="e">
        <f t="shared" si="3"/>
        <v>#NAME?</v>
      </c>
      <c r="J7" s="10" t="e">
        <f t="shared" si="3"/>
        <v>#NAME?</v>
      </c>
      <c r="K7" s="10" t="e">
        <f t="shared" si="3"/>
        <v>#NAME?</v>
      </c>
      <c r="L7" s="10" t="e">
        <f t="shared" si="3"/>
        <v>#NAME?</v>
      </c>
      <c r="M7" s="10" t="e">
        <f t="shared" si="3"/>
        <v>#NAME?</v>
      </c>
      <c r="N7" s="10" t="e">
        <f t="shared" si="3"/>
        <v>#NAME?</v>
      </c>
      <c r="O7" s="10" t="e">
        <f t="shared" si="3"/>
        <v>#NAME?</v>
      </c>
      <c r="P7" s="10" t="e">
        <f t="shared" si="3"/>
        <v>#NAME?</v>
      </c>
      <c r="Q7" s="11"/>
      <c r="R7" s="12" t="e">
        <f t="shared" si="1"/>
        <v>#NAME?</v>
      </c>
      <c r="T7" s="10">
        <f>COUNTA(HHold3)</f>
        <v>1</v>
      </c>
    </row>
    <row r="8" spans="1:20" ht="12.75">
      <c r="A8" s="1" t="s">
        <v>90</v>
      </c>
      <c r="B8" s="10" t="e">
        <f t="shared" ref="B8:P8" si="4">COUNTIF(HHold4,B$4)</f>
        <v>#NAME?</v>
      </c>
      <c r="C8" s="10" t="e">
        <f t="shared" si="4"/>
        <v>#NAME?</v>
      </c>
      <c r="D8" s="10" t="e">
        <f t="shared" si="4"/>
        <v>#NAME?</v>
      </c>
      <c r="E8" s="10" t="e">
        <f t="shared" si="4"/>
        <v>#NAME?</v>
      </c>
      <c r="F8" s="10" t="e">
        <f t="shared" si="4"/>
        <v>#NAME?</v>
      </c>
      <c r="G8" s="10" t="e">
        <f t="shared" si="4"/>
        <v>#NAME?</v>
      </c>
      <c r="H8" s="10" t="e">
        <f t="shared" si="4"/>
        <v>#NAME?</v>
      </c>
      <c r="I8" s="10" t="e">
        <f t="shared" si="4"/>
        <v>#NAME?</v>
      </c>
      <c r="J8" s="10" t="e">
        <f t="shared" si="4"/>
        <v>#NAME?</v>
      </c>
      <c r="K8" s="10" t="e">
        <f t="shared" si="4"/>
        <v>#NAME?</v>
      </c>
      <c r="L8" s="10" t="e">
        <f t="shared" si="4"/>
        <v>#NAME?</v>
      </c>
      <c r="M8" s="10" t="e">
        <f t="shared" si="4"/>
        <v>#NAME?</v>
      </c>
      <c r="N8" s="10" t="e">
        <f t="shared" si="4"/>
        <v>#NAME?</v>
      </c>
      <c r="O8" s="10" t="e">
        <f t="shared" si="4"/>
        <v>#NAME?</v>
      </c>
      <c r="P8" s="10" t="e">
        <f t="shared" si="4"/>
        <v>#NAME?</v>
      </c>
      <c r="Q8" s="11"/>
      <c r="R8" s="12" t="e">
        <f t="shared" si="1"/>
        <v>#NAME?</v>
      </c>
      <c r="T8" s="10">
        <f>COUNTA(HHold4)</f>
        <v>1</v>
      </c>
    </row>
    <row r="9" spans="1:20" ht="12.75">
      <c r="A9" s="1" t="s">
        <v>91</v>
      </c>
      <c r="B9" s="10" t="e">
        <f t="shared" ref="B9:P9" si="5">COUNTIF(HHold5,B$4)</f>
        <v>#NAME?</v>
      </c>
      <c r="C9" s="10" t="e">
        <f t="shared" si="5"/>
        <v>#NAME?</v>
      </c>
      <c r="D9" s="10" t="e">
        <f t="shared" si="5"/>
        <v>#NAME?</v>
      </c>
      <c r="E9" s="10" t="e">
        <f t="shared" si="5"/>
        <v>#NAME?</v>
      </c>
      <c r="F9" s="10" t="e">
        <f t="shared" si="5"/>
        <v>#NAME?</v>
      </c>
      <c r="G9" s="10" t="e">
        <f t="shared" si="5"/>
        <v>#NAME?</v>
      </c>
      <c r="H9" s="10" t="e">
        <f t="shared" si="5"/>
        <v>#NAME?</v>
      </c>
      <c r="I9" s="10" t="e">
        <f t="shared" si="5"/>
        <v>#NAME?</v>
      </c>
      <c r="J9" s="10" t="e">
        <f t="shared" si="5"/>
        <v>#NAME?</v>
      </c>
      <c r="K9" s="10" t="e">
        <f t="shared" si="5"/>
        <v>#NAME?</v>
      </c>
      <c r="L9" s="10" t="e">
        <f t="shared" si="5"/>
        <v>#NAME?</v>
      </c>
      <c r="M9" s="10" t="e">
        <f t="shared" si="5"/>
        <v>#NAME?</v>
      </c>
      <c r="N9" s="10" t="e">
        <f t="shared" si="5"/>
        <v>#NAME?</v>
      </c>
      <c r="O9" s="10" t="e">
        <f t="shared" si="5"/>
        <v>#NAME?</v>
      </c>
      <c r="P9" s="10" t="e">
        <f t="shared" si="5"/>
        <v>#NAME?</v>
      </c>
      <c r="Q9" s="11"/>
      <c r="R9" s="12" t="e">
        <f t="shared" si="1"/>
        <v>#NAME?</v>
      </c>
      <c r="T9" s="10">
        <f>COUNTA(HHold5)</f>
        <v>1</v>
      </c>
    </row>
    <row r="10" spans="1:20" ht="12.75">
      <c r="A10" s="1" t="s">
        <v>92</v>
      </c>
      <c r="B10" s="10" t="e">
        <f t="shared" ref="B10:P10" si="6">COUNTIF(HHold6,B$4)</f>
        <v>#NAME?</v>
      </c>
      <c r="C10" s="10" t="e">
        <f t="shared" si="6"/>
        <v>#NAME?</v>
      </c>
      <c r="D10" s="10" t="e">
        <f t="shared" si="6"/>
        <v>#NAME?</v>
      </c>
      <c r="E10" s="10" t="e">
        <f t="shared" si="6"/>
        <v>#NAME?</v>
      </c>
      <c r="F10" s="10" t="e">
        <f t="shared" si="6"/>
        <v>#NAME?</v>
      </c>
      <c r="G10" s="10" t="e">
        <f t="shared" si="6"/>
        <v>#NAME?</v>
      </c>
      <c r="H10" s="10" t="e">
        <f t="shared" si="6"/>
        <v>#NAME?</v>
      </c>
      <c r="I10" s="10" t="e">
        <f t="shared" si="6"/>
        <v>#NAME?</v>
      </c>
      <c r="J10" s="10" t="e">
        <f t="shared" si="6"/>
        <v>#NAME?</v>
      </c>
      <c r="K10" s="10" t="e">
        <f t="shared" si="6"/>
        <v>#NAME?</v>
      </c>
      <c r="L10" s="10" t="e">
        <f t="shared" si="6"/>
        <v>#NAME?</v>
      </c>
      <c r="M10" s="10" t="e">
        <f t="shared" si="6"/>
        <v>#NAME?</v>
      </c>
      <c r="N10" s="10" t="e">
        <f t="shared" si="6"/>
        <v>#NAME?</v>
      </c>
      <c r="O10" s="10" t="e">
        <f t="shared" si="6"/>
        <v>#NAME?</v>
      </c>
      <c r="P10" s="10" t="e">
        <f t="shared" si="6"/>
        <v>#NAME?</v>
      </c>
      <c r="Q10" s="11"/>
      <c r="R10" s="12" t="e">
        <f t="shared" si="1"/>
        <v>#NAME?</v>
      </c>
      <c r="T10" s="10">
        <f>COUNTA(HHold6)</f>
        <v>1</v>
      </c>
    </row>
    <row r="11" spans="1:20" ht="12.75">
      <c r="A11" s="1" t="s">
        <v>93</v>
      </c>
      <c r="B11" s="10" t="e">
        <f t="shared" ref="B11:P11" si="7">COUNTIF(HHold7,B$4)</f>
        <v>#NAME?</v>
      </c>
      <c r="C11" s="10" t="e">
        <f t="shared" si="7"/>
        <v>#NAME?</v>
      </c>
      <c r="D11" s="10" t="e">
        <f t="shared" si="7"/>
        <v>#NAME?</v>
      </c>
      <c r="E11" s="10" t="e">
        <f t="shared" si="7"/>
        <v>#NAME?</v>
      </c>
      <c r="F11" s="10" t="e">
        <f t="shared" si="7"/>
        <v>#NAME?</v>
      </c>
      <c r="G11" s="10" t="e">
        <f t="shared" si="7"/>
        <v>#NAME?</v>
      </c>
      <c r="H11" s="10" t="e">
        <f t="shared" si="7"/>
        <v>#NAME?</v>
      </c>
      <c r="I11" s="10" t="e">
        <f t="shared" si="7"/>
        <v>#NAME?</v>
      </c>
      <c r="J11" s="10" t="e">
        <f t="shared" si="7"/>
        <v>#NAME?</v>
      </c>
      <c r="K11" s="10" t="e">
        <f t="shared" si="7"/>
        <v>#NAME?</v>
      </c>
      <c r="L11" s="10" t="e">
        <f t="shared" si="7"/>
        <v>#NAME?</v>
      </c>
      <c r="M11" s="10" t="e">
        <f t="shared" si="7"/>
        <v>#NAME?</v>
      </c>
      <c r="N11" s="10" t="e">
        <f t="shared" si="7"/>
        <v>#NAME?</v>
      </c>
      <c r="O11" s="10" t="e">
        <f t="shared" si="7"/>
        <v>#NAME?</v>
      </c>
      <c r="P11" s="10" t="e">
        <f t="shared" si="7"/>
        <v>#NAME?</v>
      </c>
      <c r="Q11" s="11"/>
      <c r="R11" s="12" t="e">
        <f t="shared" si="1"/>
        <v>#NAME?</v>
      </c>
      <c r="T11" s="10">
        <f>COUNTA(HHold7)</f>
        <v>1</v>
      </c>
    </row>
    <row r="12" spans="1:20" ht="12.75">
      <c r="A12" s="1" t="s">
        <v>94</v>
      </c>
      <c r="B12" s="10" t="e">
        <f t="shared" ref="B12:P12" si="8">COUNTIF(HHold8,B$4)</f>
        <v>#NAME?</v>
      </c>
      <c r="C12" s="10" t="e">
        <f t="shared" si="8"/>
        <v>#NAME?</v>
      </c>
      <c r="D12" s="10" t="e">
        <f t="shared" si="8"/>
        <v>#NAME?</v>
      </c>
      <c r="E12" s="10" t="e">
        <f t="shared" si="8"/>
        <v>#NAME?</v>
      </c>
      <c r="F12" s="10" t="e">
        <f t="shared" si="8"/>
        <v>#NAME?</v>
      </c>
      <c r="G12" s="10" t="e">
        <f t="shared" si="8"/>
        <v>#NAME?</v>
      </c>
      <c r="H12" s="10" t="e">
        <f t="shared" si="8"/>
        <v>#NAME?</v>
      </c>
      <c r="I12" s="10" t="e">
        <f t="shared" si="8"/>
        <v>#NAME?</v>
      </c>
      <c r="J12" s="10" t="e">
        <f t="shared" si="8"/>
        <v>#NAME?</v>
      </c>
      <c r="K12" s="10" t="e">
        <f t="shared" si="8"/>
        <v>#NAME?</v>
      </c>
      <c r="L12" s="10" t="e">
        <f t="shared" si="8"/>
        <v>#NAME?</v>
      </c>
      <c r="M12" s="10" t="e">
        <f t="shared" si="8"/>
        <v>#NAME?</v>
      </c>
      <c r="N12" s="10" t="e">
        <f t="shared" si="8"/>
        <v>#NAME?</v>
      </c>
      <c r="O12" s="10" t="e">
        <f t="shared" si="8"/>
        <v>#NAME?</v>
      </c>
      <c r="P12" s="10" t="e">
        <f t="shared" si="8"/>
        <v>#NAME?</v>
      </c>
      <c r="Q12" s="11"/>
      <c r="R12" s="12" t="e">
        <f t="shared" si="1"/>
        <v>#NAME?</v>
      </c>
      <c r="T12" s="10">
        <f>COUNTA(HHold8)</f>
        <v>1</v>
      </c>
    </row>
    <row r="13" spans="1:20" ht="12.75">
      <c r="A13" s="1" t="s">
        <v>95</v>
      </c>
      <c r="B13" s="10" t="e">
        <f t="shared" ref="B13:P13" si="9">COUNTIF(HHold8Gr,B$4)</f>
        <v>#NAME?</v>
      </c>
      <c r="C13" s="10" t="e">
        <f t="shared" si="9"/>
        <v>#NAME?</v>
      </c>
      <c r="D13" s="10" t="e">
        <f t="shared" si="9"/>
        <v>#NAME?</v>
      </c>
      <c r="E13" s="10" t="e">
        <f t="shared" si="9"/>
        <v>#NAME?</v>
      </c>
      <c r="F13" s="10" t="e">
        <f t="shared" si="9"/>
        <v>#NAME?</v>
      </c>
      <c r="G13" s="10" t="e">
        <f t="shared" si="9"/>
        <v>#NAME?</v>
      </c>
      <c r="H13" s="10" t="e">
        <f t="shared" si="9"/>
        <v>#NAME?</v>
      </c>
      <c r="I13" s="10" t="e">
        <f t="shared" si="9"/>
        <v>#NAME?</v>
      </c>
      <c r="J13" s="10" t="e">
        <f t="shared" si="9"/>
        <v>#NAME?</v>
      </c>
      <c r="K13" s="10" t="e">
        <f t="shared" si="9"/>
        <v>#NAME?</v>
      </c>
      <c r="L13" s="10" t="e">
        <f t="shared" si="9"/>
        <v>#NAME?</v>
      </c>
      <c r="M13" s="10" t="e">
        <f t="shared" si="9"/>
        <v>#NAME?</v>
      </c>
      <c r="N13" s="10" t="e">
        <f t="shared" si="9"/>
        <v>#NAME?</v>
      </c>
      <c r="O13" s="10" t="e">
        <f t="shared" si="9"/>
        <v>#NAME?</v>
      </c>
      <c r="P13" s="10" t="e">
        <f t="shared" si="9"/>
        <v>#NAME?</v>
      </c>
      <c r="Q13" s="11"/>
      <c r="R13" s="12" t="e">
        <f t="shared" si="1"/>
        <v>#NAME?</v>
      </c>
      <c r="T13" s="10">
        <f>COUNTA(HHold8Gr)</f>
        <v>1</v>
      </c>
    </row>
    <row r="14" spans="1:20" ht="12.75">
      <c r="A14" s="2" t="s">
        <v>151</v>
      </c>
      <c r="B14" s="12" t="e">
        <f>SUM(B5:B13)</f>
        <v>#NAME?</v>
      </c>
      <c r="C14" s="12" t="e">
        <f>SUM(C5:C13)</f>
        <v>#NAME?</v>
      </c>
      <c r="D14" s="12" t="e">
        <f t="shared" ref="D14:O14" si="10">SUM(D5:D13)</f>
        <v>#NAME?</v>
      </c>
      <c r="E14" s="12" t="e">
        <f t="shared" si="10"/>
        <v>#NAME?</v>
      </c>
      <c r="F14" s="12" t="e">
        <f t="shared" si="10"/>
        <v>#NAME?</v>
      </c>
      <c r="G14" s="12" t="e">
        <f t="shared" si="10"/>
        <v>#NAME?</v>
      </c>
      <c r="H14" s="12" t="e">
        <f t="shared" si="10"/>
        <v>#NAME?</v>
      </c>
      <c r="I14" s="12" t="e">
        <f t="shared" si="10"/>
        <v>#NAME?</v>
      </c>
      <c r="J14" s="12" t="e">
        <f t="shared" si="10"/>
        <v>#NAME?</v>
      </c>
      <c r="K14" s="12" t="e">
        <f t="shared" si="10"/>
        <v>#NAME?</v>
      </c>
      <c r="L14" s="12" t="e">
        <f t="shared" si="10"/>
        <v>#NAME?</v>
      </c>
      <c r="M14" s="12" t="e">
        <f t="shared" si="10"/>
        <v>#NAME?</v>
      </c>
      <c r="N14" s="12" t="e">
        <f t="shared" si="10"/>
        <v>#NAME?</v>
      </c>
      <c r="O14" s="12" t="e">
        <f t="shared" si="10"/>
        <v>#NAME?</v>
      </c>
      <c r="P14" s="12" t="e">
        <f>SUM(P5:P13)</f>
        <v>#NAME?</v>
      </c>
      <c r="Q14" s="13"/>
      <c r="R14" s="20" t="e">
        <f t="shared" si="1"/>
        <v>#NAME?</v>
      </c>
      <c r="T14" s="20">
        <f>SUM(T5:T13)</f>
        <v>9</v>
      </c>
    </row>
    <row r="21" spans="1:1" hidden="1">
      <c r="A21" s="23" t="s">
        <v>174</v>
      </c>
    </row>
    <row r="22" spans="1:1" hidden="1">
      <c r="A22" s="26" t="s">
        <v>166</v>
      </c>
    </row>
    <row r="23" spans="1:1" hidden="1">
      <c r="A23" s="26" t="s">
        <v>167</v>
      </c>
    </row>
    <row r="24" spans="1:1" hidden="1">
      <c r="A24" s="26" t="s">
        <v>168</v>
      </c>
    </row>
    <row r="25" spans="1:1" hidden="1">
      <c r="A25" s="26" t="s">
        <v>172</v>
      </c>
    </row>
    <row r="26" spans="1:1" hidden="1">
      <c r="A26" s="26" t="s">
        <v>169</v>
      </c>
    </row>
    <row r="27" spans="1:1" hidden="1">
      <c r="A27" s="26" t="s">
        <v>173</v>
      </c>
    </row>
    <row r="28" spans="1:1" hidden="1">
      <c r="A28" s="26" t="s">
        <v>170</v>
      </c>
    </row>
    <row r="29" spans="1:1" hidden="1">
      <c r="A29" s="26" t="s">
        <v>171</v>
      </c>
    </row>
    <row r="30" spans="1:1" hidden="1">
      <c r="A30" s="24" t="s">
        <v>106</v>
      </c>
    </row>
    <row r="31" spans="1:1">
      <c r="A31" s="24"/>
    </row>
  </sheetData>
  <mergeCells count="1">
    <mergeCell ref="B2:P2"/>
  </mergeCells>
  <dataValidations disablePrompts="1" count="1">
    <dataValidation type="list" allowBlank="1" showInputMessage="1" showErrorMessage="1" sqref="E23:E24">
      <formula1>"MAGI Medicaid,MAGI&amp;Non MAGI Medicaid,Unassisted QHP,Unassisted QHP&amp;Non MAGI,APTC,APTC&amp;CSR,APTC&amp;Non MAGI,APTC&amp;CSR&amp;Non MAGI,Not Applicable"</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B2:B30"/>
  <sheetViews>
    <sheetView workbookViewId="0">
      <selection activeCell="AV1" sqref="AV1:AV1048576"/>
    </sheetView>
  </sheetViews>
  <sheetFormatPr defaultColWidth="8.85546875" defaultRowHeight="15"/>
  <cols>
    <col min="2" max="2" width="37.42578125" customWidth="1"/>
  </cols>
  <sheetData>
    <row r="2" spans="2:2">
      <c r="B2" t="s">
        <v>74</v>
      </c>
    </row>
    <row r="3" spans="2:2">
      <c r="B3" t="s">
        <v>105</v>
      </c>
    </row>
    <row r="4" spans="2:2">
      <c r="B4" t="s">
        <v>99</v>
      </c>
    </row>
    <row r="5" spans="2:2">
      <c r="B5" t="s">
        <v>100</v>
      </c>
    </row>
    <row r="6" spans="2:2">
      <c r="B6" t="s">
        <v>101</v>
      </c>
    </row>
    <row r="7" spans="2:2">
      <c r="B7" t="s">
        <v>102</v>
      </c>
    </row>
    <row r="8" spans="2:2">
      <c r="B8" t="s">
        <v>104</v>
      </c>
    </row>
    <row r="9" spans="2:2">
      <c r="B9" t="s">
        <v>103</v>
      </c>
    </row>
    <row r="11" spans="2:2">
      <c r="B11" t="s">
        <v>75</v>
      </c>
    </row>
    <row r="12" spans="2:2">
      <c r="B12" t="s">
        <v>77</v>
      </c>
    </row>
    <row r="13" spans="2:2">
      <c r="B13" t="s">
        <v>78</v>
      </c>
    </row>
    <row r="14" spans="2:2" ht="30">
      <c r="B14" s="5" t="s">
        <v>129</v>
      </c>
    </row>
    <row r="15" spans="2:2">
      <c r="B15" t="s">
        <v>79</v>
      </c>
    </row>
    <row r="16" spans="2:2" ht="30">
      <c r="B16" s="5" t="s">
        <v>130</v>
      </c>
    </row>
    <row r="17" spans="2:2">
      <c r="B17" t="s">
        <v>80</v>
      </c>
    </row>
    <row r="18" spans="2:2">
      <c r="B18" s="5" t="s">
        <v>81</v>
      </c>
    </row>
    <row r="19" spans="2:2">
      <c r="B19" t="s">
        <v>116</v>
      </c>
    </row>
    <row r="20" spans="2:2">
      <c r="B20" s="5" t="s">
        <v>113</v>
      </c>
    </row>
    <row r="21" spans="2:2">
      <c r="B21" t="s">
        <v>114</v>
      </c>
    </row>
    <row r="22" spans="2:2">
      <c r="B22" s="5" t="s">
        <v>131</v>
      </c>
    </row>
    <row r="23" spans="2:2">
      <c r="B23" t="s">
        <v>117</v>
      </c>
    </row>
    <row r="24" spans="2:2">
      <c r="B24" s="5" t="s">
        <v>115</v>
      </c>
    </row>
    <row r="25" spans="2:2">
      <c r="B25" t="s">
        <v>108</v>
      </c>
    </row>
    <row r="26" spans="2:2">
      <c r="B26" t="s">
        <v>110</v>
      </c>
    </row>
    <row r="27" spans="2:2">
      <c r="B27" t="s">
        <v>109</v>
      </c>
    </row>
    <row r="28" spans="2:2" ht="30">
      <c r="B28" s="5" t="s">
        <v>132</v>
      </c>
    </row>
    <row r="29" spans="2:2" ht="30">
      <c r="B29" s="5" t="s">
        <v>133</v>
      </c>
    </row>
    <row r="30" spans="2:2" ht="30">
      <c r="B30" s="5" t="s">
        <v>134</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1D1FA369FB6094C8E85A0B1A6066DF1" ma:contentTypeVersion="2" ma:contentTypeDescription="Create a new document." ma:contentTypeScope="" ma:versionID="df4522529bd918a1454e147a8180df8a">
  <xsd:schema xmlns:xsd="http://www.w3.org/2001/XMLSchema" xmlns:xs="http://www.w3.org/2001/XMLSchema" xmlns:p="http://schemas.microsoft.com/office/2006/metadata/properties" xmlns:ns2="43b8deec-9a40-455e-8dd2-b3d18db85150" xmlns:ns3="http://schemas.microsoft.com/sharepoint/v4" xmlns:ns4="http://schemas.microsoft.com/sharepoint/v3/fields" targetNamespace="http://schemas.microsoft.com/office/2006/metadata/properties" ma:root="true" ma:fieldsID="94e44197a5207bdb440441432c2c4976" ns2:_="" ns3:_="" ns4:_="">
    <xsd:import namespace="43b8deec-9a40-455e-8dd2-b3d18db85150"/>
    <xsd:import namespace="http://schemas.microsoft.com/sharepoint/v4"/>
    <xsd:import namespace="http://schemas.microsoft.com/sharepoint/v3/fields"/>
    <xsd:element name="properties">
      <xsd:complexType>
        <xsd:sequence>
          <xsd:element name="documentManagement">
            <xsd:complexType>
              <xsd:all>
                <xsd:element ref="ns2:_dlc_DocId" minOccurs="0"/>
                <xsd:element ref="ns2:_dlc_DocIdUrl" minOccurs="0"/>
                <xsd:element ref="ns2:_dlc_DocIdPersistId" minOccurs="0"/>
                <xsd:element ref="ns3:IconOverlay" minOccurs="0"/>
                <xsd:element ref="ns4:_DCDateModifi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b8deec-9a40-455e-8dd2-b3d18db851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12" nillable="true" ma:displayName="Date Modified" ma:description="The date on which this resource was last modified" ma:format="DateTime" ma:internalName="Date_x0020_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43b8deec-9a40-455e-8dd2-b3d18db85150">TKCDRRQD6KMA-58-9400</_dlc_DocId>
    <_dlc_DocIdUrl xmlns="43b8deec-9a40-455e-8dd2-b3d18db85150">
      <Url>https://dhs.sp.dc.gov/dcas/_layouts/DocIdRedir.aspx?ID=TKCDRRQD6KMA-58-9400</Url>
      <Description>TKCDRRQD6KMA-58-9400</Description>
    </_dlc_DocIdUrl>
    <_DCDateModified xmlns="http://schemas.microsoft.com/sharepoint/v3/fields" xsi:nil="true"/>
    <IconOverlay xmlns="http://schemas.microsoft.com/sharepoint/v4" xsi:nil="true"/>
  </documentManagement>
</p:properties>
</file>

<file path=customXml/itemProps1.xml><?xml version="1.0" encoding="utf-8"?>
<ds:datastoreItem xmlns:ds="http://schemas.openxmlformats.org/officeDocument/2006/customXml" ds:itemID="{E5D45F70-6B7F-4A4F-B135-4D1159E94F4F}">
  <ds:schemaRefs>
    <ds:schemaRef ds:uri="http://schemas.microsoft.com/sharepoint/events"/>
  </ds:schemaRefs>
</ds:datastoreItem>
</file>

<file path=customXml/itemProps2.xml><?xml version="1.0" encoding="utf-8"?>
<ds:datastoreItem xmlns:ds="http://schemas.openxmlformats.org/officeDocument/2006/customXml" ds:itemID="{4DD7DDDA-0AC3-489B-8702-D61231EA81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b8deec-9a40-455e-8dd2-b3d18db85150"/>
    <ds:schemaRef ds:uri="http://schemas.microsoft.com/sharepoint/v4"/>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C1F5B3-32F1-4D69-9818-18593E2369EE}">
  <ds:schemaRefs>
    <ds:schemaRef ds:uri="http://schemas.microsoft.com/sharepoint/v3/contenttype/forms"/>
  </ds:schemaRefs>
</ds:datastoreItem>
</file>

<file path=customXml/itemProps4.xml><?xml version="1.0" encoding="utf-8"?>
<ds:datastoreItem xmlns:ds="http://schemas.openxmlformats.org/officeDocument/2006/customXml" ds:itemID="{846D4C7A-E338-4E90-8364-81A89A3E187C}">
  <ds:schemaRefs>
    <ds:schemaRef ds:uri="http://www.w3.org/XML/1998/namespace"/>
    <ds:schemaRef ds:uri="http://schemas.microsoft.com/sharepoint/v3/fields"/>
    <ds:schemaRef ds:uri="http://schemas.microsoft.com/office/infopath/2007/PartnerControls"/>
    <ds:schemaRef ds:uri="http://purl.org/dc/elements/1.1/"/>
    <ds:schemaRef ds:uri="http://schemas.openxmlformats.org/package/2006/metadata/core-properties"/>
    <ds:schemaRef ds:uri="http://schemas.microsoft.com/sharepoint/v4"/>
    <ds:schemaRef ds:uri="http://schemas.microsoft.com/office/2006/documentManagement/types"/>
    <ds:schemaRef ds:uri="http://purl.org/dc/terms/"/>
    <ds:schemaRef ds:uri="43b8deec-9a40-455e-8dd2-b3d18db85150"/>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24 Core</vt:lpstr>
      <vt:lpstr>DCAS160205</vt:lpstr>
      <vt:lpstr>MITC-Bugs</vt:lpstr>
      <vt:lpstr>Core247</vt:lpstr>
      <vt:lpstr>Formula for FPL-2016</vt:lpstr>
      <vt:lpstr>Formula for FPL-2015</vt:lpstr>
      <vt:lpstr>Formula for FPL-2014</vt:lpstr>
      <vt:lpstr>TC Summary</vt:lpstr>
      <vt:lpstr>Deleted Items</vt:lpstr>
      <vt:lpstr>2016FPL</vt:lpstr>
      <vt:lpstr>DanDefectComments</vt:lpstr>
      <vt:lpstr>Parameters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2016-09-20T13:52:47Z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0x01010081D1FA369FB6094C8E85A0B1A6066DF1</vt:lpwstr>
  </property>
  <property fmtid="{D5CDD505-2E9C-101B-9397-08002B2CF9AE}" pid="3" name="_dlc_DocIdItemGuid">
    <vt:lpwstr>474bb8bb-000c-4e21-b839-5bad76e5a036</vt:lpwstr>
  </property>
</Properties>
</file>