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emmaj\Documents\CodeClan\scottish_housing_project\raw_data\"/>
    </mc:Choice>
  </mc:AlternateContent>
  <xr:revisionPtr revIDLastSave="0" documentId="8_{4794B88B-F17E-44BF-8D89-74A5B4B656BF}" xr6:coauthVersionLast="47" xr6:coauthVersionMax="47" xr10:uidLastSave="{00000000-0000-0000-0000-000000000000}"/>
  <bookViews>
    <workbookView xWindow="2295" yWindow="2295" windowWidth="21600" windowHeight="11175" tabRatio="950" xr2:uid="{00000000-000D-0000-FFFF-FFFF00000000}"/>
  </bookViews>
  <sheets>
    <sheet name="Cover" sheetId="252" r:id="rId1"/>
    <sheet name="Contents" sheetId="251" r:id="rId2"/>
    <sheet name="Confidence_intervals_2020" sheetId="253" r:id="rId3"/>
    <sheet name="Confidence_intervals_2021" sheetId="254" r:id="rId4"/>
    <sheet name="2_1" sheetId="190" r:id="rId5"/>
    <sheet name="2_2" sheetId="191" r:id="rId6"/>
    <sheet name="2_3" sheetId="192" r:id="rId7"/>
    <sheet name="2_4" sheetId="193" r:id="rId8"/>
    <sheet name="2_5" sheetId="194" r:id="rId9"/>
    <sheet name="2_6" sheetId="195" r:id="rId10"/>
    <sheet name="2_7" sheetId="196" r:id="rId11"/>
    <sheet name="2_8" sheetId="197" r:id="rId12"/>
    <sheet name="2_9" sheetId="198" r:id="rId13"/>
    <sheet name="2_10" sheetId="199" r:id="rId14"/>
    <sheet name="2_11" sheetId="200" r:id="rId15"/>
    <sheet name="2_12" sheetId="201" r:id="rId16"/>
    <sheet name="2_13" sheetId="202" r:id="rId17"/>
    <sheet name="2_14" sheetId="203" r:id="rId18"/>
    <sheet name="2_15" sheetId="204" r:id="rId19"/>
    <sheet name="2_16" sheetId="205" r:id="rId20"/>
    <sheet name="2_17" sheetId="206" r:id="rId21"/>
    <sheet name="2_18" sheetId="207" r:id="rId22"/>
    <sheet name="2_19" sheetId="208" r:id="rId23"/>
    <sheet name="2_20" sheetId="209" r:id="rId24"/>
    <sheet name="2_21" sheetId="210" r:id="rId25"/>
    <sheet name="2_22" sheetId="211" r:id="rId26"/>
    <sheet name="2_23" sheetId="212" r:id="rId27"/>
    <sheet name="2_24" sheetId="213" r:id="rId28"/>
    <sheet name="2_25" sheetId="214" r:id="rId29"/>
    <sheet name="2_26" sheetId="215" r:id="rId30"/>
    <sheet name="2_27" sheetId="216" r:id="rId31"/>
    <sheet name="2_28" sheetId="217" r:id="rId32"/>
    <sheet name="2_29" sheetId="218" r:id="rId33"/>
    <sheet name="2_30" sheetId="219" r:id="rId34"/>
    <sheet name="2_31" sheetId="220" r:id="rId35"/>
    <sheet name="2_32" sheetId="221" r:id="rId36"/>
    <sheet name="2_33" sheetId="222" r:id="rId37"/>
    <sheet name="2_34" sheetId="223" r:id="rId38"/>
    <sheet name="2_35" sheetId="224" r:id="rId39"/>
    <sheet name="2_36" sheetId="225" r:id="rId40"/>
    <sheet name="2_37" sheetId="226" r:id="rId41"/>
    <sheet name="2_38" sheetId="227" r:id="rId42"/>
    <sheet name="2_39" sheetId="228" r:id="rId43"/>
    <sheet name="2_40" sheetId="229" r:id="rId44"/>
    <sheet name="2_41" sheetId="230" r:id="rId45"/>
    <sheet name="2_42" sheetId="231" r:id="rId46"/>
    <sheet name="2_43" sheetId="232" r:id="rId47"/>
    <sheet name="2_44" sheetId="233" r:id="rId48"/>
    <sheet name="2_45" sheetId="234" r:id="rId49"/>
    <sheet name="2_46" sheetId="235" r:id="rId50"/>
    <sheet name="2_47" sheetId="236" r:id="rId51"/>
    <sheet name="2_48" sheetId="237" r:id="rId52"/>
    <sheet name="2_49" sheetId="238" r:id="rId53"/>
    <sheet name="2_50" sheetId="239" r:id="rId54"/>
    <sheet name="2_51" sheetId="240" r:id="rId55"/>
    <sheet name="2_52" sheetId="241" r:id="rId56"/>
    <sheet name="2_53" sheetId="242" r:id="rId57"/>
    <sheet name="2_54" sheetId="243" r:id="rId58"/>
    <sheet name="2_55" sheetId="244" r:id="rId59"/>
    <sheet name="2_56" sheetId="245" r:id="rId60"/>
    <sheet name="2_57" sheetId="246" r:id="rId61"/>
    <sheet name="2_58" sheetId="247" r:id="rId62"/>
    <sheet name="2_59" sheetId="248" r:id="rId63"/>
    <sheet name="2_60" sheetId="249" r:id="rId64"/>
    <sheet name="2_61" sheetId="250" r:id="rId6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5" i="254" l="1"/>
  <c r="AH25" i="254"/>
  <c r="AG25" i="254"/>
  <c r="AF25" i="254"/>
  <c r="AE25" i="254"/>
  <c r="AD25" i="254"/>
  <c r="AC25" i="254"/>
  <c r="AB25" i="254"/>
  <c r="AA25" i="254"/>
  <c r="Z25" i="254"/>
  <c r="Y25" i="254"/>
  <c r="X25" i="254"/>
  <c r="W25" i="254"/>
  <c r="V25" i="254"/>
  <c r="U25" i="254"/>
  <c r="T25" i="254"/>
  <c r="S25" i="254"/>
  <c r="R25" i="254"/>
  <c r="Q25" i="254"/>
  <c r="P25" i="254"/>
  <c r="O25" i="254"/>
  <c r="N25" i="254"/>
  <c r="M25" i="254"/>
  <c r="L25" i="254"/>
  <c r="K25" i="254"/>
  <c r="J25" i="254"/>
  <c r="I25" i="254"/>
  <c r="H25" i="254"/>
  <c r="G25" i="254"/>
  <c r="F25" i="254"/>
  <c r="E25" i="254"/>
  <c r="D25" i="254"/>
  <c r="C25" i="254"/>
  <c r="B25" i="254"/>
  <c r="AI24" i="254"/>
  <c r="AH24" i="254"/>
  <c r="AG24" i="254"/>
  <c r="AF24" i="254"/>
  <c r="AE24" i="254"/>
  <c r="AD24" i="254"/>
  <c r="AC24" i="254"/>
  <c r="AB24" i="254"/>
  <c r="AA24" i="254"/>
  <c r="Z24" i="254"/>
  <c r="Y24" i="254"/>
  <c r="X24" i="254"/>
  <c r="W24" i="254"/>
  <c r="V24" i="254"/>
  <c r="U24" i="254"/>
  <c r="T24" i="254"/>
  <c r="S24" i="254"/>
  <c r="R24" i="254"/>
  <c r="Q24" i="254"/>
  <c r="P24" i="254"/>
  <c r="O24" i="254"/>
  <c r="N24" i="254"/>
  <c r="M24" i="254"/>
  <c r="L24" i="254"/>
  <c r="K24" i="254"/>
  <c r="J24" i="254"/>
  <c r="I24" i="254"/>
  <c r="H24" i="254"/>
  <c r="G24" i="254"/>
  <c r="F24" i="254"/>
  <c r="E24" i="254"/>
  <c r="D24" i="254"/>
  <c r="C24" i="254"/>
  <c r="B24" i="254"/>
  <c r="AI23" i="254"/>
  <c r="AH23" i="254"/>
  <c r="AG23" i="254"/>
  <c r="AF23" i="254"/>
  <c r="AE23" i="254"/>
  <c r="AD23" i="254"/>
  <c r="AC23" i="254"/>
  <c r="AB23" i="254"/>
  <c r="AA23" i="254"/>
  <c r="Z23" i="254"/>
  <c r="Y23" i="254"/>
  <c r="X23" i="254"/>
  <c r="W23" i="254"/>
  <c r="V23" i="254"/>
  <c r="U23" i="254"/>
  <c r="T23" i="254"/>
  <c r="S23" i="254"/>
  <c r="R23" i="254"/>
  <c r="Q23" i="254"/>
  <c r="P23" i="254"/>
  <c r="O23" i="254"/>
  <c r="N23" i="254"/>
  <c r="M23" i="254"/>
  <c r="L23" i="254"/>
  <c r="K23" i="254"/>
  <c r="J23" i="254"/>
  <c r="I23" i="254"/>
  <c r="H23" i="254"/>
  <c r="G23" i="254"/>
  <c r="F23" i="254"/>
  <c r="E23" i="254"/>
  <c r="D23" i="254"/>
  <c r="C23" i="254"/>
  <c r="B23" i="254"/>
  <c r="AI22" i="254"/>
  <c r="AH22" i="254"/>
  <c r="AG22" i="254"/>
  <c r="AF22" i="254"/>
  <c r="AE22" i="254"/>
  <c r="AD22" i="254"/>
  <c r="AC22" i="254"/>
  <c r="AB22" i="254"/>
  <c r="AA22" i="254"/>
  <c r="Z22" i="254"/>
  <c r="Y22" i="254"/>
  <c r="X22" i="254"/>
  <c r="W22" i="254"/>
  <c r="V22" i="254"/>
  <c r="U22" i="254"/>
  <c r="T22" i="254"/>
  <c r="S22" i="254"/>
  <c r="R22" i="254"/>
  <c r="Q22" i="254"/>
  <c r="P22" i="254"/>
  <c r="O22" i="254"/>
  <c r="N22" i="254"/>
  <c r="M22" i="254"/>
  <c r="L22" i="254"/>
  <c r="K22" i="254"/>
  <c r="J22" i="254"/>
  <c r="I22" i="254"/>
  <c r="H22" i="254"/>
  <c r="G22" i="254"/>
  <c r="F22" i="254"/>
  <c r="E22" i="254"/>
  <c r="D22" i="254"/>
  <c r="C22" i="254"/>
  <c r="B22" i="254"/>
  <c r="AI21" i="254"/>
  <c r="AH21" i="254"/>
  <c r="AG21" i="254"/>
  <c r="AF21" i="254"/>
  <c r="AE21" i="254"/>
  <c r="AD21" i="254"/>
  <c r="AC21" i="254"/>
  <c r="AB21" i="254"/>
  <c r="AA21" i="254"/>
  <c r="Z21" i="254"/>
  <c r="Y21" i="254"/>
  <c r="X21" i="254"/>
  <c r="W21" i="254"/>
  <c r="V21" i="254"/>
  <c r="U21" i="254"/>
  <c r="T21" i="254"/>
  <c r="S21" i="254"/>
  <c r="R21" i="254"/>
  <c r="Q21" i="254"/>
  <c r="P21" i="254"/>
  <c r="O21" i="254"/>
  <c r="N21" i="254"/>
  <c r="M21" i="254"/>
  <c r="L21" i="254"/>
  <c r="K21" i="254"/>
  <c r="J21" i="254"/>
  <c r="I21" i="254"/>
  <c r="H21" i="254"/>
  <c r="G21" i="254"/>
  <c r="F21" i="254"/>
  <c r="E21" i="254"/>
  <c r="D21" i="254"/>
  <c r="C21" i="254"/>
  <c r="B21" i="254"/>
  <c r="AI20" i="254"/>
  <c r="AH20" i="254"/>
  <c r="AG20" i="254"/>
  <c r="AF20" i="254"/>
  <c r="AE20" i="254"/>
  <c r="AD20" i="254"/>
  <c r="AC20" i="254"/>
  <c r="AB20" i="254"/>
  <c r="AA20" i="254"/>
  <c r="Z20" i="254"/>
  <c r="Y20" i="254"/>
  <c r="X20" i="254"/>
  <c r="W20" i="254"/>
  <c r="V20" i="254"/>
  <c r="U20" i="254"/>
  <c r="T20" i="254"/>
  <c r="S20" i="254"/>
  <c r="R20" i="254"/>
  <c r="Q20" i="254"/>
  <c r="P20" i="254"/>
  <c r="O20" i="254"/>
  <c r="N20" i="254"/>
  <c r="M20" i="254"/>
  <c r="L20" i="254"/>
  <c r="K20" i="254"/>
  <c r="J20" i="254"/>
  <c r="I20" i="254"/>
  <c r="H20" i="254"/>
  <c r="G20" i="254"/>
  <c r="F20" i="254"/>
  <c r="E20" i="254"/>
  <c r="D20" i="254"/>
  <c r="C20" i="254"/>
  <c r="B20" i="254"/>
  <c r="AI19" i="254"/>
  <c r="AH19" i="254"/>
  <c r="AG19" i="254"/>
  <c r="AF19" i="254"/>
  <c r="AE19" i="254"/>
  <c r="AD19" i="254"/>
  <c r="AC19" i="254"/>
  <c r="AB19" i="254"/>
  <c r="AA19" i="254"/>
  <c r="Z19" i="254"/>
  <c r="Y19" i="254"/>
  <c r="X19" i="254"/>
  <c r="W19" i="254"/>
  <c r="V19" i="254"/>
  <c r="U19" i="254"/>
  <c r="T19" i="254"/>
  <c r="S19" i="254"/>
  <c r="R19" i="254"/>
  <c r="Q19" i="254"/>
  <c r="P19" i="254"/>
  <c r="O19" i="254"/>
  <c r="N19" i="254"/>
  <c r="M19" i="254"/>
  <c r="L19" i="254"/>
  <c r="K19" i="254"/>
  <c r="J19" i="254"/>
  <c r="I19" i="254"/>
  <c r="H19" i="254"/>
  <c r="G19" i="254"/>
  <c r="F19" i="254"/>
  <c r="E19" i="254"/>
  <c r="D19" i="254"/>
  <c r="C19" i="254"/>
  <c r="B19" i="254"/>
  <c r="AI18" i="254"/>
  <c r="AH18" i="254"/>
  <c r="AG18" i="254"/>
  <c r="AF18" i="254"/>
  <c r="AE18" i="254"/>
  <c r="AD18" i="254"/>
  <c r="AC18" i="254"/>
  <c r="AB18" i="254"/>
  <c r="AA18" i="254"/>
  <c r="Z18" i="254"/>
  <c r="Y18" i="254"/>
  <c r="X18" i="254"/>
  <c r="W18" i="254"/>
  <c r="V18" i="254"/>
  <c r="U18" i="254"/>
  <c r="T18" i="254"/>
  <c r="S18" i="254"/>
  <c r="R18" i="254"/>
  <c r="Q18" i="254"/>
  <c r="P18" i="254"/>
  <c r="O18" i="254"/>
  <c r="N18" i="254"/>
  <c r="M18" i="254"/>
  <c r="L18" i="254"/>
  <c r="K18" i="254"/>
  <c r="J18" i="254"/>
  <c r="I18" i="254"/>
  <c r="H18" i="254"/>
  <c r="G18" i="254"/>
  <c r="F18" i="254"/>
  <c r="E18" i="254"/>
  <c r="D18" i="254"/>
  <c r="C18" i="254"/>
  <c r="B18" i="254"/>
  <c r="AI17" i="254"/>
  <c r="AH17" i="254"/>
  <c r="AG17" i="254"/>
  <c r="AF17" i="254"/>
  <c r="AE17" i="254"/>
  <c r="AD17" i="254"/>
  <c r="AC17" i="254"/>
  <c r="AB17" i="254"/>
  <c r="AA17" i="254"/>
  <c r="Z17" i="254"/>
  <c r="Y17" i="254"/>
  <c r="X17" i="254"/>
  <c r="W17" i="254"/>
  <c r="V17" i="254"/>
  <c r="U17" i="254"/>
  <c r="T17" i="254"/>
  <c r="S17" i="254"/>
  <c r="R17" i="254"/>
  <c r="Q17" i="254"/>
  <c r="P17" i="254"/>
  <c r="O17" i="254"/>
  <c r="N17" i="254"/>
  <c r="M17" i="254"/>
  <c r="L17" i="254"/>
  <c r="K17" i="254"/>
  <c r="J17" i="254"/>
  <c r="I17" i="254"/>
  <c r="H17" i="254"/>
  <c r="G17" i="254"/>
  <c r="F17" i="254"/>
  <c r="E17" i="254"/>
  <c r="D17" i="254"/>
  <c r="C17" i="254"/>
  <c r="B17" i="254"/>
  <c r="AI16" i="254"/>
  <c r="AH16" i="254"/>
  <c r="AG16" i="254"/>
  <c r="AF16" i="254"/>
  <c r="AE16" i="254"/>
  <c r="AD16" i="254"/>
  <c r="AC16" i="254"/>
  <c r="AB16" i="254"/>
  <c r="AA16" i="254"/>
  <c r="Z16" i="254"/>
  <c r="Y16" i="254"/>
  <c r="X16" i="254"/>
  <c r="W16" i="254"/>
  <c r="V16" i="254"/>
  <c r="U16" i="254"/>
  <c r="T16" i="254"/>
  <c r="S16" i="254"/>
  <c r="R16" i="254"/>
  <c r="Q16" i="254"/>
  <c r="P16" i="254"/>
  <c r="O16" i="254"/>
  <c r="N16" i="254"/>
  <c r="M16" i="254"/>
  <c r="L16" i="254"/>
  <c r="K16" i="254"/>
  <c r="J16" i="254"/>
  <c r="I16" i="254"/>
  <c r="H16" i="254"/>
  <c r="G16" i="254"/>
  <c r="F16" i="254"/>
  <c r="E16" i="254"/>
  <c r="D16" i="254"/>
  <c r="C16" i="254"/>
  <c r="B16" i="254"/>
  <c r="AI15" i="254"/>
  <c r="AH15" i="254"/>
  <c r="AG15" i="254"/>
  <c r="AF15" i="254"/>
  <c r="AE15" i="254"/>
  <c r="AD15" i="254"/>
  <c r="AC15" i="254"/>
  <c r="AB15" i="254"/>
  <c r="AA15" i="254"/>
  <c r="Z15" i="254"/>
  <c r="Y15" i="254"/>
  <c r="X15" i="254"/>
  <c r="W15" i="254"/>
  <c r="V15" i="254"/>
  <c r="U15" i="254"/>
  <c r="T15" i="254"/>
  <c r="S15" i="254"/>
  <c r="R15" i="254"/>
  <c r="Q15" i="254"/>
  <c r="P15" i="254"/>
  <c r="O15" i="254"/>
  <c r="N15" i="254"/>
  <c r="M15" i="254"/>
  <c r="L15" i="254"/>
  <c r="K15" i="254"/>
  <c r="J15" i="254"/>
  <c r="I15" i="254"/>
  <c r="H15" i="254"/>
  <c r="G15" i="254"/>
  <c r="F15" i="254"/>
  <c r="E15" i="254"/>
  <c r="D15" i="254"/>
  <c r="C15" i="254"/>
  <c r="B15" i="254"/>
  <c r="AI14" i="254"/>
  <c r="AH14" i="254"/>
  <c r="AG14" i="254"/>
  <c r="AF14" i="254"/>
  <c r="AE14" i="254"/>
  <c r="AD14" i="254"/>
  <c r="AC14" i="254"/>
  <c r="AB14" i="254"/>
  <c r="AA14" i="254"/>
  <c r="Z14" i="254"/>
  <c r="Y14" i="254"/>
  <c r="X14" i="254"/>
  <c r="W14" i="254"/>
  <c r="V14" i="254"/>
  <c r="U14" i="254"/>
  <c r="T14" i="254"/>
  <c r="S14" i="254"/>
  <c r="R14" i="254"/>
  <c r="Q14" i="254"/>
  <c r="P14" i="254"/>
  <c r="O14" i="254"/>
  <c r="N14" i="254"/>
  <c r="M14" i="254"/>
  <c r="L14" i="254"/>
  <c r="K14" i="254"/>
  <c r="J14" i="254"/>
  <c r="I14" i="254"/>
  <c r="H14" i="254"/>
  <c r="G14" i="254"/>
  <c r="F14" i="254"/>
  <c r="E14" i="254"/>
  <c r="D14" i="254"/>
  <c r="C14" i="254"/>
  <c r="B14" i="254"/>
  <c r="AI13" i="254"/>
  <c r="AH13" i="254"/>
  <c r="AG13" i="254"/>
  <c r="AF13" i="254"/>
  <c r="AE13" i="254"/>
  <c r="AD13" i="254"/>
  <c r="AC13" i="254"/>
  <c r="AB13" i="254"/>
  <c r="AA13" i="254"/>
  <c r="Z13" i="254"/>
  <c r="Y13" i="254"/>
  <c r="X13" i="254"/>
  <c r="W13" i="254"/>
  <c r="V13" i="254"/>
  <c r="U13" i="254"/>
  <c r="T13" i="254"/>
  <c r="S13" i="254"/>
  <c r="R13" i="254"/>
  <c r="Q13" i="254"/>
  <c r="P13" i="254"/>
  <c r="O13" i="254"/>
  <c r="N13" i="254"/>
  <c r="M13" i="254"/>
  <c r="L13" i="254"/>
  <c r="K13" i="254"/>
  <c r="J13" i="254"/>
  <c r="I13" i="254"/>
  <c r="H13" i="254"/>
  <c r="G13" i="254"/>
  <c r="F13" i="254"/>
  <c r="E13" i="254"/>
  <c r="D13" i="254"/>
  <c r="C13" i="254"/>
  <c r="B13" i="254"/>
  <c r="AI12" i="254"/>
  <c r="AH12" i="254"/>
  <c r="AG12" i="254"/>
  <c r="AF12" i="254"/>
  <c r="AE12" i="254"/>
  <c r="AD12" i="254"/>
  <c r="AC12" i="254"/>
  <c r="AB12" i="254"/>
  <c r="AA12" i="254"/>
  <c r="Z12" i="254"/>
  <c r="Y12" i="254"/>
  <c r="X12" i="254"/>
  <c r="W12" i="254"/>
  <c r="V12" i="254"/>
  <c r="U12" i="254"/>
  <c r="T12" i="254"/>
  <c r="S12" i="254"/>
  <c r="R12" i="254"/>
  <c r="Q12" i="254"/>
  <c r="P12" i="254"/>
  <c r="O12" i="254"/>
  <c r="N12" i="254"/>
  <c r="M12" i="254"/>
  <c r="L12" i="254"/>
  <c r="K12" i="254"/>
  <c r="J12" i="254"/>
  <c r="I12" i="254"/>
  <c r="H12" i="254"/>
  <c r="G12" i="254"/>
  <c r="F12" i="254"/>
  <c r="E12" i="254"/>
  <c r="D12" i="254"/>
  <c r="C12" i="254"/>
  <c r="B12" i="254"/>
  <c r="AI11" i="254"/>
  <c r="AH11" i="254"/>
  <c r="AG11" i="254"/>
  <c r="AF11" i="254"/>
  <c r="AE11" i="254"/>
  <c r="AD11" i="254"/>
  <c r="AC11" i="254"/>
  <c r="AB11" i="254"/>
  <c r="AA11" i="254"/>
  <c r="Z11" i="254"/>
  <c r="Y11" i="254"/>
  <c r="X11" i="254"/>
  <c r="W11" i="254"/>
  <c r="V11" i="254"/>
  <c r="U11" i="254"/>
  <c r="T11" i="254"/>
  <c r="S11" i="254"/>
  <c r="R11" i="254"/>
  <c r="Q11" i="254"/>
  <c r="P11" i="254"/>
  <c r="O11" i="254"/>
  <c r="N11" i="254"/>
  <c r="M11" i="254"/>
  <c r="L11" i="254"/>
  <c r="K11" i="254"/>
  <c r="J11" i="254"/>
  <c r="I11" i="254"/>
  <c r="H11" i="254"/>
  <c r="G11" i="254"/>
  <c r="F11" i="254"/>
  <c r="E11" i="254"/>
  <c r="D11" i="254"/>
  <c r="C11" i="254"/>
  <c r="B11" i="254"/>
  <c r="AI10" i="254"/>
  <c r="AH10" i="254"/>
  <c r="AG10" i="254"/>
  <c r="AF10" i="254"/>
  <c r="AE10" i="254"/>
  <c r="AD10" i="254"/>
  <c r="AC10" i="254"/>
  <c r="AB10" i="254"/>
  <c r="AA10" i="254"/>
  <c r="Z10" i="254"/>
  <c r="Y10" i="254"/>
  <c r="X10" i="254"/>
  <c r="W10" i="254"/>
  <c r="V10" i="254"/>
  <c r="U10" i="254"/>
  <c r="T10" i="254"/>
  <c r="S10" i="254"/>
  <c r="R10" i="254"/>
  <c r="Q10" i="254"/>
  <c r="P10" i="254"/>
  <c r="O10" i="254"/>
  <c r="N10" i="254"/>
  <c r="M10" i="254"/>
  <c r="L10" i="254"/>
  <c r="K10" i="254"/>
  <c r="J10" i="254"/>
  <c r="I10" i="254"/>
  <c r="H10" i="254"/>
  <c r="G10" i="254"/>
  <c r="F10" i="254"/>
  <c r="E10" i="254"/>
  <c r="D10" i="254"/>
  <c r="C10" i="254"/>
  <c r="B10" i="254"/>
  <c r="AI9" i="254"/>
  <c r="AH9" i="254"/>
  <c r="AG9" i="254"/>
  <c r="AF9" i="254"/>
  <c r="AE9" i="254"/>
  <c r="AD9" i="254"/>
  <c r="AC9" i="254"/>
  <c r="AB9" i="254"/>
  <c r="AA9" i="254"/>
  <c r="Z9" i="254"/>
  <c r="Y9" i="254"/>
  <c r="X9" i="254"/>
  <c r="W9" i="254"/>
  <c r="V9" i="254"/>
  <c r="U9" i="254"/>
  <c r="T9" i="254"/>
  <c r="S9" i="254"/>
  <c r="R9" i="254"/>
  <c r="Q9" i="254"/>
  <c r="P9" i="254"/>
  <c r="O9" i="254"/>
  <c r="N9" i="254"/>
  <c r="M9" i="254"/>
  <c r="L9" i="254"/>
  <c r="K9" i="254"/>
  <c r="J9" i="254"/>
  <c r="I9" i="254"/>
  <c r="H9" i="254"/>
  <c r="G9" i="254"/>
  <c r="F9" i="254"/>
  <c r="E9" i="254"/>
  <c r="D9" i="254"/>
  <c r="C9" i="254"/>
  <c r="B9" i="254"/>
  <c r="AI8" i="254"/>
  <c r="AH8" i="254"/>
  <c r="AG8" i="254"/>
  <c r="AF8" i="254"/>
  <c r="AE8" i="254"/>
  <c r="AD8" i="254"/>
  <c r="AC8" i="254"/>
  <c r="AB8" i="254"/>
  <c r="AA8" i="254"/>
  <c r="Z8" i="254"/>
  <c r="Y8" i="254"/>
  <c r="X8" i="254"/>
  <c r="W8" i="254"/>
  <c r="V8" i="254"/>
  <c r="U8" i="254"/>
  <c r="T8" i="254"/>
  <c r="S8" i="254"/>
  <c r="R8" i="254"/>
  <c r="Q8" i="254"/>
  <c r="P8" i="254"/>
  <c r="O8" i="254"/>
  <c r="N8" i="254"/>
  <c r="M8" i="254"/>
  <c r="L8" i="254"/>
  <c r="K8" i="254"/>
  <c r="J8" i="254"/>
  <c r="I8" i="254"/>
  <c r="H8" i="254"/>
  <c r="G8" i="254"/>
  <c r="F8" i="254"/>
  <c r="E8" i="254"/>
  <c r="D8" i="254"/>
  <c r="C8" i="254"/>
  <c r="B8" i="254"/>
  <c r="AI7" i="254"/>
  <c r="AH7" i="254"/>
  <c r="AG7" i="254"/>
  <c r="AF7" i="254"/>
  <c r="AE7" i="254"/>
  <c r="AD7" i="254"/>
  <c r="AC7" i="254"/>
  <c r="AB7" i="254"/>
  <c r="AA7" i="254"/>
  <c r="Z7" i="254"/>
  <c r="Y7" i="254"/>
  <c r="X7" i="254"/>
  <c r="W7" i="254"/>
  <c r="V7" i="254"/>
  <c r="U7" i="254"/>
  <c r="T7" i="254"/>
  <c r="S7" i="254"/>
  <c r="R7" i="254"/>
  <c r="Q7" i="254"/>
  <c r="P7" i="254"/>
  <c r="O7" i="254"/>
  <c r="N7" i="254"/>
  <c r="M7" i="254"/>
  <c r="L7" i="254"/>
  <c r="K7" i="254"/>
  <c r="J7" i="254"/>
  <c r="I7" i="254"/>
  <c r="H7" i="254"/>
  <c r="G7" i="254"/>
  <c r="F7" i="254"/>
  <c r="E7" i="254"/>
  <c r="D7" i="254"/>
  <c r="C7" i="254"/>
  <c r="B7" i="254"/>
  <c r="AI25" i="253"/>
  <c r="AH25" i="253"/>
  <c r="AG25" i="253"/>
  <c r="AF25" i="253"/>
  <c r="AE25" i="253"/>
  <c r="AD25" i="253"/>
  <c r="AC25" i="253"/>
  <c r="AB25" i="253"/>
  <c r="AA25" i="253"/>
  <c r="Z25" i="253"/>
  <c r="Y25" i="253"/>
  <c r="X25" i="253"/>
  <c r="W25" i="253"/>
  <c r="V25" i="253"/>
  <c r="U25" i="253"/>
  <c r="T25" i="253"/>
  <c r="S25" i="253"/>
  <c r="R25" i="253"/>
  <c r="Q25" i="253"/>
  <c r="P25" i="253"/>
  <c r="O25" i="253"/>
  <c r="N25" i="253"/>
  <c r="M25" i="253"/>
  <c r="L25" i="253"/>
  <c r="K25" i="253"/>
  <c r="J25" i="253"/>
  <c r="I25" i="253"/>
  <c r="H25" i="253"/>
  <c r="G25" i="253"/>
  <c r="F25" i="253"/>
  <c r="E25" i="253"/>
  <c r="D25" i="253"/>
  <c r="C25" i="253"/>
  <c r="B25" i="253"/>
  <c r="AI24" i="253"/>
  <c r="AH24" i="253"/>
  <c r="AG24" i="253"/>
  <c r="AF24" i="253"/>
  <c r="AE24" i="253"/>
  <c r="AD24" i="253"/>
  <c r="AC24" i="253"/>
  <c r="AB24" i="253"/>
  <c r="AA24" i="253"/>
  <c r="Z24" i="253"/>
  <c r="Y24" i="253"/>
  <c r="X24" i="253"/>
  <c r="W24" i="253"/>
  <c r="V24" i="253"/>
  <c r="U24" i="253"/>
  <c r="T24" i="253"/>
  <c r="S24" i="253"/>
  <c r="R24" i="253"/>
  <c r="Q24" i="253"/>
  <c r="P24" i="253"/>
  <c r="O24" i="253"/>
  <c r="N24" i="253"/>
  <c r="M24" i="253"/>
  <c r="L24" i="253"/>
  <c r="K24" i="253"/>
  <c r="J24" i="253"/>
  <c r="I24" i="253"/>
  <c r="H24" i="253"/>
  <c r="G24" i="253"/>
  <c r="F24" i="253"/>
  <c r="E24" i="253"/>
  <c r="D24" i="253"/>
  <c r="C24" i="253"/>
  <c r="B24" i="253"/>
  <c r="AI23" i="253"/>
  <c r="AH23" i="253"/>
  <c r="AG23" i="253"/>
  <c r="AF23" i="253"/>
  <c r="AE23" i="253"/>
  <c r="AD23" i="253"/>
  <c r="AC23" i="253"/>
  <c r="AB23" i="253"/>
  <c r="AA23" i="253"/>
  <c r="Z23" i="253"/>
  <c r="Y23" i="253"/>
  <c r="X23" i="253"/>
  <c r="W23" i="253"/>
  <c r="V23" i="253"/>
  <c r="U23" i="253"/>
  <c r="T23" i="253"/>
  <c r="S23" i="253"/>
  <c r="R23" i="253"/>
  <c r="Q23" i="253"/>
  <c r="P23" i="253"/>
  <c r="O23" i="253"/>
  <c r="N23" i="253"/>
  <c r="M23" i="253"/>
  <c r="L23" i="253"/>
  <c r="K23" i="253"/>
  <c r="J23" i="253"/>
  <c r="I23" i="253"/>
  <c r="H23" i="253"/>
  <c r="G23" i="253"/>
  <c r="F23" i="253"/>
  <c r="E23" i="253"/>
  <c r="D23" i="253"/>
  <c r="C23" i="253"/>
  <c r="B23" i="253"/>
  <c r="AI22" i="253"/>
  <c r="AH22" i="253"/>
  <c r="AG22" i="253"/>
  <c r="AF22" i="253"/>
  <c r="AE22" i="253"/>
  <c r="AD22" i="253"/>
  <c r="AC22" i="253"/>
  <c r="AB22" i="253"/>
  <c r="AA22" i="253"/>
  <c r="Z22" i="253"/>
  <c r="Y22" i="253"/>
  <c r="X22" i="253"/>
  <c r="W22" i="253"/>
  <c r="V22" i="253"/>
  <c r="U22" i="253"/>
  <c r="T22" i="253"/>
  <c r="S22" i="253"/>
  <c r="R22" i="253"/>
  <c r="Q22" i="253"/>
  <c r="P22" i="253"/>
  <c r="O22" i="253"/>
  <c r="N22" i="253"/>
  <c r="M22" i="253"/>
  <c r="L22" i="253"/>
  <c r="K22" i="253"/>
  <c r="J22" i="253"/>
  <c r="I22" i="253"/>
  <c r="H22" i="253"/>
  <c r="G22" i="253"/>
  <c r="F22" i="253"/>
  <c r="E22" i="253"/>
  <c r="D22" i="253"/>
  <c r="C22" i="253"/>
  <c r="B22" i="253"/>
  <c r="AI21" i="253"/>
  <c r="AH21" i="253"/>
  <c r="AG21" i="253"/>
  <c r="AF21" i="253"/>
  <c r="AE21" i="253"/>
  <c r="AD21" i="253"/>
  <c r="AC21" i="253"/>
  <c r="AB21" i="253"/>
  <c r="AA21" i="253"/>
  <c r="Z21" i="253"/>
  <c r="Y21" i="253"/>
  <c r="X21" i="253"/>
  <c r="W21" i="253"/>
  <c r="V21" i="253"/>
  <c r="U21" i="253"/>
  <c r="T21" i="253"/>
  <c r="S21" i="253"/>
  <c r="R21" i="253"/>
  <c r="Q21" i="253"/>
  <c r="P21" i="253"/>
  <c r="O21" i="253"/>
  <c r="N21" i="253"/>
  <c r="M21" i="253"/>
  <c r="L21" i="253"/>
  <c r="K21" i="253"/>
  <c r="J21" i="253"/>
  <c r="I21" i="253"/>
  <c r="H21" i="253"/>
  <c r="G21" i="253"/>
  <c r="F21" i="253"/>
  <c r="E21" i="253"/>
  <c r="D21" i="253"/>
  <c r="C21" i="253"/>
  <c r="B21" i="253"/>
  <c r="AI20" i="253"/>
  <c r="AH20" i="253"/>
  <c r="AG20" i="253"/>
  <c r="AF20" i="253"/>
  <c r="AE20" i="253"/>
  <c r="AD20" i="253"/>
  <c r="AC20" i="253"/>
  <c r="AB20" i="253"/>
  <c r="AA20" i="253"/>
  <c r="Z20" i="253"/>
  <c r="Y20" i="253"/>
  <c r="X20" i="253"/>
  <c r="W20" i="253"/>
  <c r="V20" i="253"/>
  <c r="U20" i="253"/>
  <c r="T20" i="253"/>
  <c r="S20" i="253"/>
  <c r="R20" i="253"/>
  <c r="Q20" i="253"/>
  <c r="P20" i="253"/>
  <c r="O20" i="253"/>
  <c r="N20" i="253"/>
  <c r="M20" i="253"/>
  <c r="L20" i="253"/>
  <c r="K20" i="253"/>
  <c r="J20" i="253"/>
  <c r="I20" i="253"/>
  <c r="H20" i="253"/>
  <c r="G20" i="253"/>
  <c r="F20" i="253"/>
  <c r="E20" i="253"/>
  <c r="D20" i="253"/>
  <c r="C20" i="253"/>
  <c r="B20" i="253"/>
  <c r="AI19" i="253"/>
  <c r="AH19" i="253"/>
  <c r="AG19" i="253"/>
  <c r="AF19" i="253"/>
  <c r="AE19" i="253"/>
  <c r="AD19" i="253"/>
  <c r="AC19" i="253"/>
  <c r="AB19" i="253"/>
  <c r="AA19" i="253"/>
  <c r="Z19" i="253"/>
  <c r="Y19" i="253"/>
  <c r="X19" i="253"/>
  <c r="W19" i="253"/>
  <c r="V19" i="253"/>
  <c r="U19" i="253"/>
  <c r="T19" i="253"/>
  <c r="S19" i="253"/>
  <c r="R19" i="253"/>
  <c r="Q19" i="253"/>
  <c r="P19" i="253"/>
  <c r="O19" i="253"/>
  <c r="N19" i="253"/>
  <c r="M19" i="253"/>
  <c r="L19" i="253"/>
  <c r="K19" i="253"/>
  <c r="J19" i="253"/>
  <c r="I19" i="253"/>
  <c r="H19" i="253"/>
  <c r="G19" i="253"/>
  <c r="F19" i="253"/>
  <c r="E19" i="253"/>
  <c r="D19" i="253"/>
  <c r="C19" i="253"/>
  <c r="B19" i="253"/>
  <c r="AI18" i="253"/>
  <c r="AH18" i="253"/>
  <c r="AG18" i="253"/>
  <c r="AF18" i="253"/>
  <c r="AE18" i="253"/>
  <c r="AD18" i="253"/>
  <c r="AC18" i="253"/>
  <c r="AB18" i="253"/>
  <c r="AA18" i="253"/>
  <c r="Z18" i="253"/>
  <c r="Y18" i="253"/>
  <c r="X18" i="253"/>
  <c r="W18" i="253"/>
  <c r="V18" i="253"/>
  <c r="U18" i="253"/>
  <c r="T18" i="253"/>
  <c r="S18" i="253"/>
  <c r="R18" i="253"/>
  <c r="Q18" i="253"/>
  <c r="P18" i="253"/>
  <c r="O18" i="253"/>
  <c r="N18" i="253"/>
  <c r="M18" i="253"/>
  <c r="L18" i="253"/>
  <c r="K18" i="253"/>
  <c r="J18" i="253"/>
  <c r="I18" i="253"/>
  <c r="H18" i="253"/>
  <c r="G18" i="253"/>
  <c r="F18" i="253"/>
  <c r="E18" i="253"/>
  <c r="D18" i="253"/>
  <c r="C18" i="253"/>
  <c r="B18" i="253"/>
  <c r="AI17" i="253"/>
  <c r="AH17" i="253"/>
  <c r="AG17" i="253"/>
  <c r="AF17" i="253"/>
  <c r="AE17" i="253"/>
  <c r="AD17" i="253"/>
  <c r="AC17" i="253"/>
  <c r="AB17" i="253"/>
  <c r="AA17" i="253"/>
  <c r="Z17" i="253"/>
  <c r="Y17" i="253"/>
  <c r="X17" i="253"/>
  <c r="W17" i="253"/>
  <c r="V17" i="253"/>
  <c r="U17" i="253"/>
  <c r="T17" i="253"/>
  <c r="S17" i="253"/>
  <c r="R17" i="253"/>
  <c r="Q17" i="253"/>
  <c r="P17" i="253"/>
  <c r="O17" i="253"/>
  <c r="N17" i="253"/>
  <c r="M17" i="253"/>
  <c r="L17" i="253"/>
  <c r="K17" i="253"/>
  <c r="J17" i="253"/>
  <c r="I17" i="253"/>
  <c r="H17" i="253"/>
  <c r="G17" i="253"/>
  <c r="F17" i="253"/>
  <c r="E17" i="253"/>
  <c r="D17" i="253"/>
  <c r="C17" i="253"/>
  <c r="B17" i="253"/>
  <c r="AI16" i="253"/>
  <c r="AH16" i="253"/>
  <c r="AG16" i="253"/>
  <c r="AF16" i="253"/>
  <c r="AE16" i="253"/>
  <c r="AD16" i="253"/>
  <c r="AC16" i="253"/>
  <c r="AB16" i="253"/>
  <c r="AA16" i="253"/>
  <c r="Z16" i="253"/>
  <c r="Y16" i="253"/>
  <c r="X16" i="253"/>
  <c r="W16" i="253"/>
  <c r="V16" i="253"/>
  <c r="U16" i="253"/>
  <c r="T16" i="253"/>
  <c r="S16" i="253"/>
  <c r="R16" i="253"/>
  <c r="Q16" i="253"/>
  <c r="P16" i="253"/>
  <c r="O16" i="253"/>
  <c r="N16" i="253"/>
  <c r="M16" i="253"/>
  <c r="L16" i="253"/>
  <c r="K16" i="253"/>
  <c r="J16" i="253"/>
  <c r="I16" i="253"/>
  <c r="H16" i="253"/>
  <c r="G16" i="253"/>
  <c r="F16" i="253"/>
  <c r="E16" i="253"/>
  <c r="D16" i="253"/>
  <c r="C16" i="253"/>
  <c r="B16" i="253"/>
  <c r="AI15" i="253"/>
  <c r="AH15" i="253"/>
  <c r="AG15" i="253"/>
  <c r="AF15" i="253"/>
  <c r="AE15" i="253"/>
  <c r="AD15" i="253"/>
  <c r="AC15" i="253"/>
  <c r="AB15" i="253"/>
  <c r="AA15" i="253"/>
  <c r="Z15" i="253"/>
  <c r="Y15" i="253"/>
  <c r="X15" i="253"/>
  <c r="W15" i="253"/>
  <c r="V15" i="253"/>
  <c r="U15" i="253"/>
  <c r="T15" i="253"/>
  <c r="S15" i="253"/>
  <c r="R15" i="253"/>
  <c r="Q15" i="253"/>
  <c r="P15" i="253"/>
  <c r="O15" i="253"/>
  <c r="N15" i="253"/>
  <c r="M15" i="253"/>
  <c r="L15" i="253"/>
  <c r="K15" i="253"/>
  <c r="J15" i="253"/>
  <c r="I15" i="253"/>
  <c r="H15" i="253"/>
  <c r="G15" i="253"/>
  <c r="F15" i="253"/>
  <c r="E15" i="253"/>
  <c r="D15" i="253"/>
  <c r="C15" i="253"/>
  <c r="B15" i="253"/>
  <c r="AI14" i="253"/>
  <c r="AH14" i="253"/>
  <c r="AG14" i="253"/>
  <c r="AF14" i="253"/>
  <c r="AE14" i="253"/>
  <c r="AD14" i="253"/>
  <c r="AC14" i="253"/>
  <c r="AB14" i="253"/>
  <c r="AA14" i="253"/>
  <c r="Z14" i="253"/>
  <c r="Y14" i="253"/>
  <c r="X14" i="253"/>
  <c r="W14" i="253"/>
  <c r="V14" i="253"/>
  <c r="U14" i="253"/>
  <c r="T14" i="253"/>
  <c r="S14" i="253"/>
  <c r="R14" i="253"/>
  <c r="Q14" i="253"/>
  <c r="P14" i="253"/>
  <c r="O14" i="253"/>
  <c r="N14" i="253"/>
  <c r="M14" i="253"/>
  <c r="L14" i="253"/>
  <c r="K14" i="253"/>
  <c r="J14" i="253"/>
  <c r="I14" i="253"/>
  <c r="H14" i="253"/>
  <c r="G14" i="253"/>
  <c r="F14" i="253"/>
  <c r="E14" i="253"/>
  <c r="D14" i="253"/>
  <c r="C14" i="253"/>
  <c r="B14" i="253"/>
  <c r="AI13" i="253"/>
  <c r="AH13" i="253"/>
  <c r="AG13" i="253"/>
  <c r="AF13" i="253"/>
  <c r="AE13" i="253"/>
  <c r="AD13" i="253"/>
  <c r="AC13" i="253"/>
  <c r="AB13" i="253"/>
  <c r="AA13" i="253"/>
  <c r="Z13" i="253"/>
  <c r="Y13" i="253"/>
  <c r="X13" i="253"/>
  <c r="W13" i="253"/>
  <c r="V13" i="253"/>
  <c r="U13" i="253"/>
  <c r="T13" i="253"/>
  <c r="S13" i="253"/>
  <c r="R13" i="253"/>
  <c r="Q13" i="253"/>
  <c r="P13" i="253"/>
  <c r="O13" i="253"/>
  <c r="N13" i="253"/>
  <c r="M13" i="253"/>
  <c r="L13" i="253"/>
  <c r="K13" i="253"/>
  <c r="J13" i="253"/>
  <c r="I13" i="253"/>
  <c r="H13" i="253"/>
  <c r="G13" i="253"/>
  <c r="F13" i="253"/>
  <c r="E13" i="253"/>
  <c r="D13" i="253"/>
  <c r="C13" i="253"/>
  <c r="B13" i="253"/>
  <c r="AI12" i="253"/>
  <c r="AH12" i="253"/>
  <c r="AG12" i="253"/>
  <c r="AF12" i="253"/>
  <c r="AE12" i="253"/>
  <c r="AD12" i="253"/>
  <c r="AC12" i="253"/>
  <c r="AB12" i="253"/>
  <c r="AA12" i="253"/>
  <c r="Z12" i="253"/>
  <c r="Y12" i="253"/>
  <c r="X12" i="253"/>
  <c r="W12" i="253"/>
  <c r="V12" i="253"/>
  <c r="U12" i="253"/>
  <c r="T12" i="253"/>
  <c r="S12" i="253"/>
  <c r="R12" i="253"/>
  <c r="Q12" i="253"/>
  <c r="P12" i="253"/>
  <c r="O12" i="253"/>
  <c r="N12" i="253"/>
  <c r="M12" i="253"/>
  <c r="L12" i="253"/>
  <c r="K12" i="253"/>
  <c r="J12" i="253"/>
  <c r="I12" i="253"/>
  <c r="H12" i="253"/>
  <c r="G12" i="253"/>
  <c r="F12" i="253"/>
  <c r="E12" i="253"/>
  <c r="D12" i="253"/>
  <c r="C12" i="253"/>
  <c r="B12" i="253"/>
  <c r="AI11" i="253"/>
  <c r="AH11" i="253"/>
  <c r="AG11" i="253"/>
  <c r="AF11" i="253"/>
  <c r="AE11" i="253"/>
  <c r="AD11" i="253"/>
  <c r="AC11" i="253"/>
  <c r="AB11" i="253"/>
  <c r="AA11" i="253"/>
  <c r="Z11" i="253"/>
  <c r="Y11" i="253"/>
  <c r="X11" i="253"/>
  <c r="W11" i="253"/>
  <c r="V11" i="253"/>
  <c r="U11" i="253"/>
  <c r="T11" i="253"/>
  <c r="S11" i="253"/>
  <c r="R11" i="253"/>
  <c r="Q11" i="253"/>
  <c r="P11" i="253"/>
  <c r="O11" i="253"/>
  <c r="N11" i="253"/>
  <c r="M11" i="253"/>
  <c r="L11" i="253"/>
  <c r="K11" i="253"/>
  <c r="J11" i="253"/>
  <c r="I11" i="253"/>
  <c r="H11" i="253"/>
  <c r="G11" i="253"/>
  <c r="F11" i="253"/>
  <c r="E11" i="253"/>
  <c r="D11" i="253"/>
  <c r="C11" i="253"/>
  <c r="B11" i="253"/>
  <c r="AI10" i="253"/>
  <c r="AH10" i="253"/>
  <c r="AG10" i="253"/>
  <c r="AF10" i="253"/>
  <c r="AE10" i="253"/>
  <c r="AD10" i="253"/>
  <c r="AC10" i="253"/>
  <c r="AB10" i="253"/>
  <c r="AA10" i="253"/>
  <c r="Z10" i="253"/>
  <c r="Y10" i="253"/>
  <c r="X10" i="253"/>
  <c r="W10" i="253"/>
  <c r="V10" i="253"/>
  <c r="U10" i="253"/>
  <c r="T10" i="253"/>
  <c r="S10" i="253"/>
  <c r="R10" i="253"/>
  <c r="Q10" i="253"/>
  <c r="P10" i="253"/>
  <c r="O10" i="253"/>
  <c r="N10" i="253"/>
  <c r="M10" i="253"/>
  <c r="L10" i="253"/>
  <c r="K10" i="253"/>
  <c r="J10" i="253"/>
  <c r="I10" i="253"/>
  <c r="H10" i="253"/>
  <c r="G10" i="253"/>
  <c r="F10" i="253"/>
  <c r="E10" i="253"/>
  <c r="D10" i="253"/>
  <c r="C10" i="253"/>
  <c r="B10" i="253"/>
  <c r="AI9" i="253"/>
  <c r="AH9" i="253"/>
  <c r="AG9" i="253"/>
  <c r="AF9" i="253"/>
  <c r="AE9" i="253"/>
  <c r="AD9" i="253"/>
  <c r="AC9" i="253"/>
  <c r="AB9" i="253"/>
  <c r="AA9" i="253"/>
  <c r="Z9" i="253"/>
  <c r="Y9" i="253"/>
  <c r="X9" i="253"/>
  <c r="W9" i="253"/>
  <c r="V9" i="253"/>
  <c r="U9" i="253"/>
  <c r="T9" i="253"/>
  <c r="S9" i="253"/>
  <c r="R9" i="253"/>
  <c r="Q9" i="253"/>
  <c r="P9" i="253"/>
  <c r="O9" i="253"/>
  <c r="N9" i="253"/>
  <c r="M9" i="253"/>
  <c r="L9" i="253"/>
  <c r="K9" i="253"/>
  <c r="J9" i="253"/>
  <c r="I9" i="253"/>
  <c r="H9" i="253"/>
  <c r="G9" i="253"/>
  <c r="F9" i="253"/>
  <c r="E9" i="253"/>
  <c r="D9" i="253"/>
  <c r="C9" i="253"/>
  <c r="B9" i="253"/>
  <c r="AI8" i="253"/>
  <c r="AH8" i="253"/>
  <c r="AG8" i="253"/>
  <c r="AF8" i="253"/>
  <c r="AE8" i="253"/>
  <c r="AD8" i="253"/>
  <c r="AC8" i="253"/>
  <c r="AB8" i="253"/>
  <c r="AA8" i="253"/>
  <c r="Z8" i="253"/>
  <c r="Y8" i="253"/>
  <c r="X8" i="253"/>
  <c r="W8" i="253"/>
  <c r="V8" i="253"/>
  <c r="U8" i="253"/>
  <c r="T8" i="253"/>
  <c r="S8" i="253"/>
  <c r="R8" i="253"/>
  <c r="Q8" i="253"/>
  <c r="P8" i="253"/>
  <c r="O8" i="253"/>
  <c r="N8" i="253"/>
  <c r="M8" i="253"/>
  <c r="L8" i="253"/>
  <c r="K8" i="253"/>
  <c r="J8" i="253"/>
  <c r="I8" i="253"/>
  <c r="H8" i="253"/>
  <c r="G8" i="253"/>
  <c r="F8" i="253"/>
  <c r="E8" i="253"/>
  <c r="D8" i="253"/>
  <c r="C8" i="253"/>
  <c r="B8" i="253"/>
  <c r="AI7" i="253"/>
  <c r="AH7" i="253"/>
  <c r="AG7" i="253"/>
  <c r="AF7" i="253"/>
  <c r="AE7" i="253"/>
  <c r="AD7" i="253"/>
  <c r="AC7" i="253"/>
  <c r="AB7" i="253"/>
  <c r="AA7" i="253"/>
  <c r="Z7" i="253"/>
  <c r="Y7" i="253"/>
  <c r="X7" i="253"/>
  <c r="W7" i="253"/>
  <c r="V7" i="253"/>
  <c r="U7" i="253"/>
  <c r="T7" i="253"/>
  <c r="S7" i="253"/>
  <c r="R7" i="253"/>
  <c r="Q7" i="253"/>
  <c r="P7" i="253"/>
  <c r="O7" i="253"/>
  <c r="N7" i="253"/>
  <c r="M7" i="253"/>
  <c r="L7" i="253"/>
  <c r="K7" i="253"/>
  <c r="J7" i="253"/>
  <c r="I7" i="253"/>
  <c r="H7" i="253"/>
  <c r="G7" i="253"/>
  <c r="F7" i="253"/>
  <c r="E7" i="253"/>
  <c r="D7" i="253"/>
  <c r="C7" i="253"/>
  <c r="B7" i="253"/>
  <c r="A66" i="251"/>
  <c r="A65" i="251"/>
  <c r="A64" i="251"/>
  <c r="A63" i="251"/>
  <c r="A62" i="251"/>
  <c r="A61" i="251"/>
  <c r="A60" i="251"/>
  <c r="A59" i="251"/>
  <c r="A58" i="251"/>
  <c r="A57" i="251"/>
  <c r="A56" i="251"/>
  <c r="A55" i="251"/>
  <c r="A54" i="251"/>
  <c r="A53" i="251"/>
  <c r="A52" i="251"/>
  <c r="A51" i="251"/>
  <c r="A50" i="251"/>
  <c r="A49" i="251"/>
  <c r="A48" i="251"/>
  <c r="A47" i="251"/>
  <c r="A46" i="251"/>
  <c r="A45" i="251"/>
  <c r="A44" i="251"/>
  <c r="A43" i="251"/>
  <c r="A42" i="251"/>
  <c r="A41" i="251"/>
  <c r="A40" i="251"/>
  <c r="A39" i="251"/>
  <c r="A38" i="251"/>
  <c r="A37" i="251"/>
  <c r="A36" i="251"/>
  <c r="A35" i="251"/>
  <c r="A34" i="251"/>
  <c r="A33" i="251"/>
  <c r="A32" i="251"/>
  <c r="A31" i="251"/>
  <c r="A30" i="251"/>
  <c r="A29" i="251"/>
  <c r="A28" i="251"/>
  <c r="A27" i="251"/>
  <c r="A26" i="251"/>
  <c r="A25" i="251"/>
  <c r="A24" i="251"/>
  <c r="A23" i="251"/>
  <c r="A22" i="251"/>
  <c r="A21" i="251"/>
  <c r="A20" i="251"/>
  <c r="A19" i="251"/>
  <c r="A18" i="251"/>
  <c r="A17" i="251"/>
  <c r="A16" i="251"/>
  <c r="A15" i="251"/>
  <c r="A14" i="251"/>
  <c r="A13" i="251"/>
  <c r="A12" i="251"/>
  <c r="A11" i="251"/>
  <c r="A10" i="251"/>
  <c r="A9" i="251"/>
  <c r="A8" i="251"/>
  <c r="A7" i="251"/>
  <c r="A6" i="251"/>
  <c r="A3" i="251"/>
  <c r="A5" i="252"/>
  <c r="A40" i="252"/>
  <c r="A38" i="252"/>
  <c r="A24" i="252"/>
</calcChain>
</file>

<file path=xl/sharedStrings.xml><?xml version="1.0" encoding="utf-8"?>
<sst xmlns="http://schemas.openxmlformats.org/spreadsheetml/2006/main" count="1182" uniqueCount="264">
  <si>
    <t xml:space="preserve">Columns may not add to 100% since multiple responses were allowed. </t>
  </si>
  <si>
    <t xml:space="preserve"> The Scottish Index of Multiple Deprivation is a relative measure of deprivation across 6,976 small areas (called data zones). If an area is identified as ‘deprived’, this can relate to people having a low income but it can also mean fewer resources or opportunities. SIMD looks at the extent to which an area is deprived across seven domains: income, employment, education, health, access to services, crime and housing.</t>
  </si>
  <si>
    <t xml:space="preserve"> The Scottish Government Urban Rural Classification provides a consistent way of defining urban and rural areas across Scotland. The classification is based upon two main criteria: (i) population, as defined by the National Records of Scotland (NRS), and (ii) accessibility, based on drive time analysis to differentiate between accessible and remote areas in Scotland.</t>
  </si>
  <si>
    <t>Note on change to methodology</t>
  </si>
  <si>
    <t>Estimates</t>
  </si>
  <si>
    <t>Base values</t>
  </si>
  <si>
    <t>Rounding</t>
  </si>
  <si>
    <t>Suppression</t>
  </si>
  <si>
    <t>The Representativeness of the Scottish Household Survey</t>
  </si>
  <si>
    <t>Confidence Intervals</t>
  </si>
  <si>
    <t>Statistically significant differences</t>
  </si>
  <si>
    <t>More information on Scottish Household Survey</t>
  </si>
  <si>
    <t>Contact details</t>
  </si>
  <si>
    <t>Publication</t>
  </si>
  <si>
    <t>[u]</t>
  </si>
  <si>
    <t>Rating of neighbourhood as a place to live by six-fold Urban Rural Classification, 2021</t>
  </si>
  <si>
    <t>The Scottish Government Urban Rural Classification provides a consistent way of defining urban and rural areas across Scotland. The classification is based upon two main criteria: (i) population, as defined by the National Records of Scotland (NRS), and (ii) accessibility, based on drive time analysis to differentiate between accessible and remote areas in Scotland.</t>
  </si>
  <si>
    <t>Answer</t>
  </si>
  <si>
    <t>Large urban areas</t>
  </si>
  <si>
    <t>Other urban areas</t>
  </si>
  <si>
    <t>Accessible small towns</t>
  </si>
  <si>
    <t>Remote small towns</t>
  </si>
  <si>
    <t>Accessible rural</t>
  </si>
  <si>
    <t>Remote rural</t>
  </si>
  <si>
    <t>All</t>
  </si>
  <si>
    <t>Very/fairly good</t>
  </si>
  <si>
    <t>Very good</t>
  </si>
  <si>
    <t>Fairly good</t>
  </si>
  <si>
    <t>Fairly poor</t>
  </si>
  <si>
    <t>Very poor</t>
  </si>
  <si>
    <t>No opinion</t>
  </si>
  <si>
    <t>Base</t>
  </si>
  <si>
    <t>Rating of neighbourhood as a place to live by two-fold Urban Rural Classification, 2021</t>
  </si>
  <si>
    <t xml:space="preserve"> In the two fold Urban Rural Classification, 'Rest of Scotland' includes Large urban areas, other urban areas, accessible small towns and remote small town and 'Rural Scotland' includes accesible rural and remote rural areas.</t>
  </si>
  <si>
    <t>Rest of Scotland</t>
  </si>
  <si>
    <t>Rural Scotland</t>
  </si>
  <si>
    <t>Rating of neighbourhood as a place to live by Scottish Index of Multiple Deprivation deciles, 2021</t>
  </si>
  <si>
    <t>The Scottish Index of Multiple Deprivation is a relative measure of deprivation across 6,976 small areas (called data zones). If an area is identified as ‘deprived’, this can relate to people having a low income but it can also mean fewer resources or opportunities. SIMD looks at the extent to which an area is deprived across seven domains: income, employment, education, health, access to services, crime and housing.</t>
  </si>
  <si>
    <t>Decile 1 - 10% most deprived</t>
  </si>
  <si>
    <t>Decile 2</t>
  </si>
  <si>
    <t>Decile 3</t>
  </si>
  <si>
    <t>Decile 4</t>
  </si>
  <si>
    <t>Decile 5</t>
  </si>
  <si>
    <t>Decile 6</t>
  </si>
  <si>
    <t>Decile 7</t>
  </si>
  <si>
    <t>Decile 8</t>
  </si>
  <si>
    <t>Decile 9</t>
  </si>
  <si>
    <t>Decile 1 - 10% least deprived</t>
  </si>
  <si>
    <t>Rating of neighbourhood as a place to live by Scottish Index of Multiple Deprivation quintiles, 2021</t>
  </si>
  <si>
    <t>Quintile 1 - 20% most deprived</t>
  </si>
  <si>
    <t>Quintile 2</t>
  </si>
  <si>
    <t>Quintile 3</t>
  </si>
  <si>
    <t>Quintile 4</t>
  </si>
  <si>
    <t>Quintile 5 - 20% least deprived</t>
  </si>
  <si>
    <t>Views on statements about neighbourhood strengths, 2021</t>
  </si>
  <si>
    <t>Strongly agree</t>
  </si>
  <si>
    <t>Tend to agree</t>
  </si>
  <si>
    <t>Neither agree nor disagree</t>
  </si>
  <si>
    <t>Tend to disagree</t>
  </si>
  <si>
    <t>Strongly disagree</t>
  </si>
  <si>
    <t>Don't know</t>
  </si>
  <si>
    <t>This is a neighbourhood where people are kind to each other</t>
  </si>
  <si>
    <t>This is a neighbourhood where most people can be trusted</t>
  </si>
  <si>
    <t>There are welcoming places and opportunities to meet new people</t>
  </si>
  <si>
    <t>There are places where people can meet up and socialise</t>
  </si>
  <si>
    <t>This is a neighbourhood where people from different backgrounds get on well
together</t>
  </si>
  <si>
    <t>This is a neighbourhood where local people take action to help improve the
neighbourhood</t>
  </si>
  <si>
    <t>Percentage of people agreeing with statements about their neighbourhood strengths by age, 2021</t>
  </si>
  <si>
    <t>16 to 24</t>
  </si>
  <si>
    <t>25 to 34</t>
  </si>
  <si>
    <t>35 to 44</t>
  </si>
  <si>
    <t>45 to 59</t>
  </si>
  <si>
    <t>60 to 74</t>
  </si>
  <si>
    <t>75 or over</t>
  </si>
  <si>
    <t>This is a neighbourhood where people from different backgrounds get on well together</t>
  </si>
  <si>
    <t>This is a neighbourhood where local people take action to help improve the neighbourhood</t>
  </si>
  <si>
    <t>Percentage of people agreeing with statements about their neighbourhood strengths by six-fold Urban Rural Classification, 2021</t>
  </si>
  <si>
    <t>Percentage of people agreeing with statements about their neighbourhood strengths by Scottish Index of Multiple Deprivation quintiles, 2021</t>
  </si>
  <si>
    <t>Percentage of people agreeing with statements about their neighbourhood strengths by tenure, 2021</t>
  </si>
  <si>
    <t>Owner occupied</t>
  </si>
  <si>
    <t>Social rented</t>
  </si>
  <si>
    <t>Private rented</t>
  </si>
  <si>
    <t>Other</t>
  </si>
  <si>
    <t>Strength of feeling of belonging to community by gender, 2021</t>
  </si>
  <si>
    <t>Man</t>
  </si>
  <si>
    <t>Woman</t>
  </si>
  <si>
    <t>Gender described in another way</t>
  </si>
  <si>
    <t>Refused</t>
  </si>
  <si>
    <t>Very strongly</t>
  </si>
  <si>
    <t>Fairly strongly</t>
  </si>
  <si>
    <t>Not very strongly</t>
  </si>
  <si>
    <t>Not at all strongly</t>
  </si>
  <si>
    <t>Strength of feeling of belonging to community by age, 2021</t>
  </si>
  <si>
    <t>Strength of feeling of belonging to community by ethnicity, 2021</t>
  </si>
  <si>
    <t>For the purposes of the analysis presented in this table, ‘White: Other’ includes Irish, Gypsy/Traveller, Polish and other white ethnic groups and ‘Minority ethnic groups’ includes mixed or multiple, Asian, African, Caribbean or Black, Arab or any other ethnic groups</t>
  </si>
  <si>
    <t>White: Scottish</t>
  </si>
  <si>
    <t>White: Other British</t>
  </si>
  <si>
    <t>White: Other</t>
  </si>
  <si>
    <t>Minority Ethnic Groups</t>
  </si>
  <si>
    <t>Strength of feeling of belonging to community by Scottish Index of Multiple Deprivation quintiles, 2021</t>
  </si>
  <si>
    <t>Strength of feeling of belonging to community by tenure, 2021</t>
  </si>
  <si>
    <t>Percentage of people agreeing with statements about their involvement with other people in the neighbourhood by age, 2021</t>
  </si>
  <si>
    <t>If I was alone and needed help, I could rely on someone in this neighbourhood to help me</t>
  </si>
  <si>
    <t>If my home was empty, I could count on someone in this neighbourhood to keep an eye on my home</t>
  </si>
  <si>
    <t>I feel I could turn to someone in this neighbourhood for advice or support</t>
  </si>
  <si>
    <t>In an emergency, such as a flood, I would offer to help people in my neighbourhood who might not be
able to cope well</t>
  </si>
  <si>
    <t>Percentage of people agreeing with statements about their involvement with other people in the neighbourhood by gender, 2021</t>
  </si>
  <si>
    <t>If my home was empty, I could count on someone in this neighbourhood to keep an eye on my
home</t>
  </si>
  <si>
    <t>In an emergency, such as a flood, I would offer to help people in my neighbourhood who might
not be able to cope well</t>
  </si>
  <si>
    <t>Percentage of people agreeing with statements about their involvement with other people in the neighbourhood by six-fold Urban Rural Classification, 2021</t>
  </si>
  <si>
    <t>If I was alone and needed help, I could rely on someone in this neighbourhood
to help me</t>
  </si>
  <si>
    <t>If my home was empty, I could count on someone in this neighbourhood to
keep an eye on my home</t>
  </si>
  <si>
    <t>In an emergency, such as a flood, I would offer to help people in my
neighbourhood who might not be able to cope well</t>
  </si>
  <si>
    <t>Percentage of people agreeing with statements about their involvement with other people in the neighbourhood by Scottish Index of Multiple Deprivation quintiles, 2021</t>
  </si>
  <si>
    <t>If I was alone and needed help, I could rely on someone in this neighbourhood to help
me</t>
  </si>
  <si>
    <t>If my home was empty, I could count on someone in this neighbourhood to keep an
eye on my home</t>
  </si>
  <si>
    <t>In an emergency, such as a flood, I would offer to help people in my neighbourhood
who might not be able to cope well</t>
  </si>
  <si>
    <t>Percentage of adults saying a problem is very/fairly common in their neighbourhood by Scottish Index of Multiple Deprivation deciles, 2021</t>
  </si>
  <si>
    <t>Another Scottish Government population survey, the Scottish Crime and Justice Survey (SCJS), also collects information on perceptions of a range of neighbourhood issues, including feeling of safety, how common specific crimes are believed to be in the local area, alongside respondents’ views on neighbourhood cohesion and community support. As questions are asked in a different survey context, any similar measures should not be directly compared to SHS findings.</t>
  </si>
  <si>
    <t>Noisy neighbours or regular loud parties</t>
  </si>
  <si>
    <t>Vandalism, graffiti or other deliberate damage to property</t>
  </si>
  <si>
    <t>Rubbish or litter lying around</t>
  </si>
  <si>
    <t>Neighbour disputes</t>
  </si>
  <si>
    <t>Groups or individuals intimidating or harassing others</t>
  </si>
  <si>
    <t>Drug misuse or dealing</t>
  </si>
  <si>
    <t>Rowdy behaviour e.g. drunkenness, hooliganism or loutish
behaviour</t>
  </si>
  <si>
    <t>Abandoned or burnt out vehicles</t>
  </si>
  <si>
    <t>Animal nuisance such as noise or dog fouling</t>
  </si>
  <si>
    <t>Any of the above</t>
  </si>
  <si>
    <t>Percentage of adults saying a problem is very/fairly common in their neighbourhood by Scottish Index of Multiple Deprivation quintiles, 2021</t>
  </si>
  <si>
    <t>Rowdy behaviour e.g. drunkenness, hooliganism or loutish behaviour</t>
  </si>
  <si>
    <t>Percentage of adults saying a problem is very/fairly common in their neighbourhood by tenure of household, 2021</t>
  </si>
  <si>
    <t>Another Scottish Government population survey, the Scottish Crime and Justice Survey (SCJS), also collects information on perceptions of a range of neighbourhood issues, including feeling of safety, how common specific crimes are believed to be in the local area, alongside respondents’ views on neighbourhood cohesion and community support. As questions are asked in a different survey context, any similar measures should not be directly compared to SHS findings</t>
  </si>
  <si>
    <t>Percentage of adults saying a problem is very/fairly common in their neighbourhood by age of respondent, 2021</t>
  </si>
  <si>
    <t>Percentage of adults saying a problem is very/fairly common in their neighbourhood by six-fold Urban Rural classification, 2021</t>
  </si>
  <si>
    <t>Percentage of adults saying a problem is very/fairly common in their neighbourhood and the percentage of adults who have personally experienced these problems in the past 12 months, 2021</t>
  </si>
  <si>
    <t>Perception</t>
  </si>
  <si>
    <t>Experience</t>
  </si>
  <si>
    <t>Percentage of adults who have personally experienced neighbourhood problems in the past 12 months by Scottish Index of Multiple Deprivation quintiles, 2021</t>
  </si>
  <si>
    <t>Vandalism, graffiti or other deliberate damage to your property</t>
  </si>
  <si>
    <t>Groups or individuals intimidating or harassing you</t>
  </si>
  <si>
    <t>Seen any instances of drug misuse or dealing</t>
  </si>
  <si>
    <t>Percentage of adults who have personally experienced neighbourhood problems in the past 12 months by tenure, 2021</t>
  </si>
  <si>
    <t>Percentage of adults who have personally experienced neighbourhood problems in the past 12 months by six-fold Urban Rural Classification, 2021</t>
  </si>
  <si>
    <t>Percentage of adults who have experienced discrimination in the last 12 months by gender, 2021</t>
  </si>
  <si>
    <t>Has experienced discrimination</t>
  </si>
  <si>
    <t>Has not experienced discrimination</t>
  </si>
  <si>
    <t>Percentage of adults who have experienced discrimination in the last 12 months by age, 2021</t>
  </si>
  <si>
    <t>16 to 34</t>
  </si>
  <si>
    <t>35 to 59</t>
  </si>
  <si>
    <t>60 or over</t>
  </si>
  <si>
    <t>Percentage of adults who have experienced discrimination in the last 12 months by Scottish Index of Multiple Deprivation quintiles, 2021</t>
  </si>
  <si>
    <t>Percentage of adults who have experienced discrimination in the last 12 months by sexual orientation, 2021</t>
  </si>
  <si>
    <t>Heterosexual/Straight</t>
  </si>
  <si>
    <t>Gay, Lesbian or Bisexual</t>
  </si>
  <si>
    <t>Refused/prefer not to say</t>
  </si>
  <si>
    <t>Percentage of adults who have experienced discrimination in the last 12 months by ethnicity, 2021</t>
  </si>
  <si>
    <t>Percentage of adults who have experienced discrimination in the last 12 months by religious belonging, 2021</t>
  </si>
  <si>
    <t>Respondents were asked the question 'what religion, religious denomination or body do you belong to?' which measures belonging – that is both loose self-identification and active or formal belonging to a religious group</t>
  </si>
  <si>
    <t>None</t>
  </si>
  <si>
    <t>Church of Scotland</t>
  </si>
  <si>
    <t>Roman Catholic</t>
  </si>
  <si>
    <t>Other Christian</t>
  </si>
  <si>
    <t>Another religion</t>
  </si>
  <si>
    <t>Percentage of adults who have experienced discrimination in the last 12 months by disability, 2021</t>
  </si>
  <si>
    <t>For the purposes of the analysis presented in this table, a disability is a long-term limiting physical or mental health condition</t>
  </si>
  <si>
    <t>Disabled</t>
  </si>
  <si>
    <t>Non disabled</t>
  </si>
  <si>
    <t>Refusal</t>
  </si>
  <si>
    <t>Perceived reasons for which adults believe they have experienced discrimination in the last 12 months, 2020- 2021</t>
  </si>
  <si>
    <t>Columns may not add to 100% since multiple responses were allowed.</t>
  </si>
  <si>
    <t>2020</t>
  </si>
  <si>
    <t>2021</t>
  </si>
  <si>
    <t>Your age</t>
  </si>
  <si>
    <t>Your sex or gender</t>
  </si>
  <si>
    <t>Where you live</t>
  </si>
  <si>
    <t>Your language</t>
  </si>
  <si>
    <t>Your ethnicity</t>
  </si>
  <si>
    <t>Your nationality</t>
  </si>
  <si>
    <t>Your accent</t>
  </si>
  <si>
    <t>Your social or educational background</t>
  </si>
  <si>
    <t>Your sexual orientation</t>
  </si>
  <si>
    <t>Your trans status, including non-binary identities</t>
  </si>
  <si>
    <t>Sectarian reasons</t>
  </si>
  <si>
    <t>Your religious belief or faith</t>
  </si>
  <si>
    <t>Your mental ill-health</t>
  </si>
  <si>
    <t>Any other health problems or disability</t>
  </si>
  <si>
    <t>Other reason</t>
  </si>
  <si>
    <t>Percentage of adults who have experienced harassment in the last 12 months by gender, 2021</t>
  </si>
  <si>
    <t>Another Scottish Government population survey, the Scottish Crime and Justice Survey (SCJS), also collects information on experiences of harassment. As questions are asked in a different survey context, any similar measures should not be directly compared to SHS findings</t>
  </si>
  <si>
    <t>Has experienced harassment</t>
  </si>
  <si>
    <t>Has not experienced harassment</t>
  </si>
  <si>
    <t>Percentage of adults who have experienced harassment in the last 12 months by age, 2021</t>
  </si>
  <si>
    <t>Percentage of adults who have experienced harassment in the last 12 months by Scottish Index of Multiple Deprivation quintiles, 2021</t>
  </si>
  <si>
    <t>Another Scottish Government population survey, the Scottish Crime and Justice Survey (SCJS), also collects information on experiences of harassment. As questions are asked in a different survey context, any similar measures should not be directly compared to SHS findings.</t>
  </si>
  <si>
    <t>Percentage of adults who have experienced harassment in the last 12 months by sexual orientation, 2021</t>
  </si>
  <si>
    <t>Percentage of adults who have experienced harassment in the last 12 months by ethnicity, 2021</t>
  </si>
  <si>
    <t>Percentage of adults who have experienced harassment in the last 12 months by religious belonging, 2021</t>
  </si>
  <si>
    <t xml:space="preserve"> Respondents were asked the question 'what religion, religious denomination or body do you belong to?' which measures belonging – that is both loose self-identification and active or formal belonging to a religious group</t>
  </si>
  <si>
    <t>Percentage of adults who have experienced harassment in the last 12 months by disability, 2021</t>
  </si>
  <si>
    <t>Perceived reasons for which adults believe they have experienced harassment in the last 12 months, 2021</t>
  </si>
  <si>
    <t>Perceptions of safety when walking alone in their neighbourhood after dark by gender, 2021</t>
  </si>
  <si>
    <t>Very/Fairly safe</t>
  </si>
  <si>
    <t>Very/A bit unsafe</t>
  </si>
  <si>
    <t>Dont Know</t>
  </si>
  <si>
    <t>Not applicable</t>
  </si>
  <si>
    <t>Perceptions of safety when walking alone in their neighbourhood after dark by age, 2021</t>
  </si>
  <si>
    <t>Perceptions of safety when walking alone in their neighbourhood after dark by Scottish Index of Multiple Deprivation quintiles, 2021</t>
  </si>
  <si>
    <t>Perceptions of safety when walking alone in their neighbourhood after dark by sexual orientation, 2021</t>
  </si>
  <si>
    <t>Perceptions of safety when walking alone in their neighbourhood after dark by ethnicity, 2021</t>
  </si>
  <si>
    <t>Perceptions of safety when walking alone in their neighbourhood after dark by religious belonging, 2021</t>
  </si>
  <si>
    <t>Perceptions of safety when walking alone in their neighbourhood after dark by disability, 2021</t>
  </si>
  <si>
    <t>Perceptions of safety when walking alone in their neighbourhood after dark by experience of discrimination and harassment, 2021</t>
  </si>
  <si>
    <t>Yes</t>
  </si>
  <si>
    <t>No</t>
  </si>
  <si>
    <t>Perceptions of safety when walking alone in their neighbourhood after dark by rating of neighbourhood as a place to live, 2021</t>
  </si>
  <si>
    <t>Very good/ fairly good</t>
  </si>
  <si>
    <t>Perceptions of safety when in their home alone at night by gender, 2021</t>
  </si>
  <si>
    <t>Perceptions of safety when in their home alone at night by age, 2021</t>
  </si>
  <si>
    <t>Perceptions of safety when in their home alone at night by Scottish Index of Multiple Deprivation quintiles, 2021</t>
  </si>
  <si>
    <t>Perceptions of safety when in their home alone at night by sexual orientation, 2021</t>
  </si>
  <si>
    <t>Perceptions of safety when in their home alone at night by ethnicity, 2021</t>
  </si>
  <si>
    <t>Perceptions of safety when in their home alone at night by religious belonging, 2021</t>
  </si>
  <si>
    <t>Perceptions of safety when in their home alone at night by disability, 2021</t>
  </si>
  <si>
    <t>Perceptions of safety when in their home alone at night by experience of discrimination and harassment, 2021</t>
  </si>
  <si>
    <t>Perceptions of safety when in their home alone at night by rating of neighbourhood as a place to live, 2021</t>
  </si>
  <si>
    <t>Contents</t>
  </si>
  <si>
    <t>Worksheet</t>
  </si>
  <si>
    <t>Title</t>
  </si>
  <si>
    <t>Scottish Household Survey (SHS) Neighbourhoods and Communities data tables, Scotland, 2021</t>
  </si>
  <si>
    <t>This spreadsheet contains a selection of data tables from the Scottish Household Survey 2021. These tables refer to the Neighbourhoods and communities topic covered by the survey.</t>
  </si>
  <si>
    <t>The data tables in this spreadsheet were originally published on 25 April 2023 and are available on the Scottish Household Survey publications webpage.</t>
  </si>
  <si>
    <t>Due to the coronavirus (COVID-19) pandemic, all face to face interviewing for the Scottish Household Survey was suspended and replaced with telephone/ video interviewing for both the 2020 survey and the 2021 survey. As a consequence the results from 2020 and 2021 are not directly comparable to SHS results from previous years. Comparisons can be drawn between results from 2020 and results from 2021, however some differences may be due to seasonal effects, as the 2020 data was collected in October 2020 and January-March of 2021, while the 2021 data was collected over the course of a whole year, between April 2021 and March 2022. The change in methodology has also required a change to the weighting methodology from previous years. Further information on the changes is in the 'Scottish Household Survey 2020: Methodology and Impact of Change in Mode'  report and the 'Scottish Household Survey 2021: Methodology and fieldwork outcomes' report, available from the Scottish Household Survey publications webpage.</t>
  </si>
  <si>
    <t>The SHS is a sample survey and therefore all figures provided are estimates rather than precise percentages.</t>
  </si>
  <si>
    <t>The base values are the sub sample sizes.  While all results have been calculated using weighted data, the bases shown give the unweighted counts.</t>
  </si>
  <si>
    <t>Percentages in tables have been rounded to the nearest whole number. Base values have been rounded to the nearest 10.  Columns or rows may not add to 100 percent because of rounding or where multiple responses to a question are possible.</t>
  </si>
  <si>
    <t>In some tables percentages may have been removed from cells and replaced with [u]. This is where the base is less than 50 and such data are judged to be insufficiently reliable for publication.  Estimates with base numbers close to 50 should also be treated with caution, as even though these estimates have been published, they are subject to high levels of sampling error and have a high degree of uncertainty around them.</t>
  </si>
  <si>
    <t>Although the Scottish Household Survey sample is chosen at random, the people who take part in the survey will not necessarily be a representative cross-section of the population. Like all sample surveys, the results of the SHS are estimates for the whole population and these results might vary from the true values in the population for three main reasons:</t>
  </si>
  <si>
    <t>1. The sample frame does not completely cover the population because accommodation in hospitals, prisons, military bases, larger student halls etc. are excluded from the sampling frame. The SHS provides a sample of private households rather than all households.</t>
  </si>
  <si>
    <t>2. Some people refuse to take part in the survey and some cannot be contacted by interviewers. If these people are systematically different from the people who are interviewed, this represents a potential source of bias in the data.</t>
  </si>
  <si>
    <t>3. Samples always have some natural variability because of the random selection of households and people within households.</t>
  </si>
  <si>
    <t>Each of these sources of variability becomes much more important when small sub-samples of the population are examined.</t>
  </si>
  <si>
    <t>The likely extent of sampling variability can be quantified by calculating the 'standard error' associated with an estimate produced from a random sample. From the Office for National Statistics: 'The '95 percent confidence interval' is defined as the estimate plus or minus around twice the standard error. If we drew 20 random samples and calculated a 95% confidence interval for each sample using the data in that sample, we would expect that, on average, 19 out of the 20 (95%) resulting confidence intervals would contain the true population value and 1 in 20 (5%) would not.'</t>
  </si>
  <si>
    <t>The standard error of the estimate of a percentage depends upon several things:</t>
  </si>
  <si>
    <t>The value of the percentage itself;</t>
  </si>
  <si>
    <t>The size of the sample (or sub-sample) from which it was calculated;</t>
  </si>
  <si>
    <t>The sampling fraction (i.e. the fraction of the relevant population that is included in the sample); and</t>
  </si>
  <si>
    <t>The 'design effect' associated with the way in which the sample was selected (for example, a clustered random sample would be expected to have larger standard errors than a simple random sample of the same size).</t>
  </si>
  <si>
    <t>The margin of error is the standard error multiplied by 1.96. The upper bound of the confidence interval is calculated by adding the margin of error to the estimate. The lower bound is the the estimate minus the margin of error. Margins of error for a range of estimates and sample sizes are given in the tables on the sheets confidence_intervals_2020 and confidence_intervals_2021 of this workbook. These standard errors are calculated with a design factor of 1.34 for the 2020 estimates and 1.24 for the 2021 estimates to account for the survey design.</t>
  </si>
  <si>
    <t>To estimate the potential variability for an estimate from the survey you should read along the row with the value closest to the estimate until you reach the column for the value closest to the sub-sample. This gives a value which, when added and subtracted from the estimate, gives the range (the 95 per cent confidence interval) within which the true value is likely to lie. Where the exact value is not given in the table, we recommend using the closest value in the table. Otherwise, you may also derive more precise estimates through using standard formulas for confidence intervals from survey estimates, incorporating the design factor of either 1.34 or 1.24 depending on the year.</t>
  </si>
  <si>
    <t>Because the survey's estimates may be affected by sampling errors, apparent differences of a few percentage points between sub-samples may not reflect real differences in the population. It might be that the true values in the population are similar but the random selection of households for the survey has, by chance, produced a sample which gives a high estimate for one sub-sample and a low estimate for the other.</t>
  </si>
  <si>
    <t>A difference between two estimates is significant if it is so large that a difference of that size (or greater) is unlikely to have occurred purely by chance. Conventionally, significance is tested at the five per cent level, which means that a difference is considered significant if it would only have occurred once in 20 different samples. Testing significance involves comparing the difference between the two estimates with the 95 per cent confidence limits for each of the two estimates.</t>
  </si>
  <si>
    <t>Statistical sampling theory suggests that the absolute value of the difference between the two estimates is significant if it is greater than the square root of the sum of the squares of the limits for the two estimates.</t>
  </si>
  <si>
    <t>It should be noted that the estimates published in this report have been rounded  to the nearest whole number, and this can affect the apparent significance of some of the results. For this reason, caution should be exercised where differences are on the margins of significance.</t>
  </si>
  <si>
    <t>2020 Margins of error by sample (or sub sample) size and estimate value</t>
  </si>
  <si>
    <t xml:space="preserve">This table gives the margins of error associated with a range of sample or sub sample values (in the top row) and estimate percentages (in the first column). </t>
  </si>
  <si>
    <t>The margins of error are calculated with a design factor of 1.34.</t>
  </si>
  <si>
    <t xml:space="preserve">The cover sheet provides guidance on how the margins of error should be used. </t>
  </si>
  <si>
    <t xml:space="preserve">Values presented here are percentage points. </t>
  </si>
  <si>
    <t>Estimate</t>
  </si>
  <si>
    <t>2021 Margins of error by sample (or sub sample) size and estimate value</t>
  </si>
  <si>
    <t>The margins of error are calculated with a design factor of 1.24.</t>
  </si>
  <si>
    <t>Confidence_intervals_2020</t>
  </si>
  <si>
    <t>Confidence_intervals_2021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</si>
</sst>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rgb="FF000000"/>
      <name val="Calibri"/>
      <family val="2"/>
      <scheme val="minor"/>
    </font>
    <font>
      <b/>
      <sz val="15"/>
      <color theme="3"/>
      <name val="Calibri"/>
      <family val="2"/>
      <scheme val="minor"/>
    </font>
    <font>
      <b/>
      <sz val="13"/>
      <color theme="3"/>
      <name val="Calibri"/>
      <family val="2"/>
      <scheme val="minor"/>
    </font>
    <font>
      <b/>
      <sz val="15"/>
      <name val="Calibri"/>
      <family val="2"/>
      <scheme val="minor"/>
    </font>
    <font>
      <sz val="12"/>
      <name val="Segoe UI"/>
      <family val="2"/>
    </font>
    <font>
      <b/>
      <sz val="13"/>
      <name val="Calibri"/>
      <family val="2"/>
      <scheme val="minor"/>
    </font>
    <font>
      <sz val="11"/>
      <name val="Calibri"/>
      <family val="2"/>
      <scheme val="minor"/>
    </font>
    <font>
      <sz val="12"/>
      <name val="Arial"/>
      <family val="2"/>
    </font>
    <font>
      <u/>
      <sz val="12"/>
      <color rgb="FF3333FF"/>
      <name val="Segoe UI"/>
      <family val="2"/>
    </font>
    <font>
      <sz val="9"/>
      <color rgb="FF000000"/>
      <name val="Arial"/>
      <family val="2"/>
    </font>
    <font>
      <sz val="14"/>
      <color rgb="FF000000"/>
      <name val="Segoe UI Semibold"/>
      <family val="2"/>
    </font>
    <font>
      <sz val="12"/>
      <color rgb="FF000000"/>
      <name val="Segoe UI"/>
      <family val="2"/>
    </font>
    <font>
      <b/>
      <sz val="12"/>
      <color rgb="FF000000"/>
      <name val="Arial"/>
      <family val="2"/>
    </font>
    <font>
      <sz val="12"/>
      <color rgb="FF000000"/>
      <name val="Arial"/>
      <family val="2"/>
    </font>
    <font>
      <b/>
      <sz val="12"/>
      <color theme="1"/>
      <name val="Arial"/>
      <family val="2"/>
    </font>
  </fonts>
  <fills count="2">
    <fill>
      <patternFill patternType="none"/>
    </fill>
    <fill>
      <patternFill patternType="gray125"/>
    </fill>
  </fills>
  <borders count="6">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s>
  <cellStyleXfs count="5">
    <xf numFmtId="0" fontId="0" fillId="0" borderId="0"/>
    <xf numFmtId="0" fontId="8" fillId="0" borderId="0" applyNumberFormat="0" applyFill="0" applyBorder="0" applyAlignment="0" applyProtection="0"/>
    <xf numFmtId="0" fontId="1" fillId="0" borderId="0" applyNumberFormat="0" applyFill="0" applyAlignment="0" applyProtection="0"/>
    <xf numFmtId="0" fontId="2" fillId="0" borderId="0" applyNumberFormat="0" applyFill="0" applyAlignment="0" applyProtection="0"/>
    <xf numFmtId="0" fontId="9" fillId="0" borderId="0"/>
  </cellStyleXfs>
  <cellXfs count="26">
    <xf numFmtId="0" fontId="0" fillId="0" borderId="0" xfId="0"/>
    <xf numFmtId="0" fontId="3" fillId="0" borderId="0" xfId="2" applyFont="1" applyAlignment="1">
      <alignment horizontal="left"/>
    </xf>
    <xf numFmtId="0" fontId="4" fillId="0" borderId="0" xfId="0" applyFont="1" applyAlignment="1">
      <alignment horizontal="left" wrapText="1"/>
    </xf>
    <xf numFmtId="0" fontId="5" fillId="0" borderId="0" xfId="3" applyFont="1"/>
    <xf numFmtId="0" fontId="8" fillId="0" borderId="0" xfId="1" applyAlignment="1">
      <alignment horizontal="left" wrapText="1"/>
    </xf>
    <xf numFmtId="0" fontId="6" fillId="0" borderId="0" xfId="0" applyFont="1"/>
    <xf numFmtId="0" fontId="4" fillId="0" borderId="0" xfId="0" applyFont="1" applyAlignment="1">
      <alignment horizontal="left" vertical="top" wrapText="1"/>
    </xf>
    <xf numFmtId="0" fontId="8" fillId="0" borderId="0" xfId="1" applyAlignment="1">
      <alignment horizontal="left" vertical="top" wrapText="1"/>
    </xf>
    <xf numFmtId="0" fontId="7" fillId="0" borderId="1" xfId="0" applyFont="1" applyBorder="1" applyAlignment="1">
      <alignment horizontal="left" wrapText="1"/>
    </xf>
    <xf numFmtId="0" fontId="7" fillId="0" borderId="1" xfId="0" applyFont="1" applyBorder="1" applyAlignment="1">
      <alignment horizontal="right" wrapText="1"/>
    </xf>
    <xf numFmtId="9" fontId="7" fillId="0" borderId="0" xfId="0" applyNumberFormat="1" applyFont="1" applyAlignment="1">
      <alignment horizontal="left"/>
    </xf>
    <xf numFmtId="9" fontId="7" fillId="0" borderId="0" xfId="0" applyNumberFormat="1" applyFont="1" applyAlignment="1">
      <alignment horizontal="right"/>
    </xf>
    <xf numFmtId="9" fontId="7" fillId="0" borderId="1" xfId="0" applyNumberFormat="1" applyFont="1" applyBorder="1" applyAlignment="1">
      <alignment horizontal="left"/>
    </xf>
    <xf numFmtId="3" fontId="7" fillId="0" borderId="1" xfId="0" applyNumberFormat="1" applyFont="1" applyBorder="1" applyAlignment="1">
      <alignment horizontal="right"/>
    </xf>
    <xf numFmtId="9" fontId="7" fillId="0" borderId="0" xfId="0" applyNumberFormat="1" applyFont="1"/>
    <xf numFmtId="3" fontId="7" fillId="0" borderId="2" xfId="0" applyNumberFormat="1" applyFont="1" applyBorder="1" applyAlignment="1">
      <alignment horizontal="right" wrapText="1"/>
    </xf>
    <xf numFmtId="3" fontId="7" fillId="0" borderId="3" xfId="0" applyNumberFormat="1" applyFont="1" applyBorder="1" applyAlignment="1">
      <alignment horizontal="right"/>
    </xf>
    <xf numFmtId="9" fontId="7" fillId="0" borderId="4" xfId="0" applyNumberFormat="1" applyFont="1" applyBorder="1" applyAlignment="1">
      <alignment horizontal="left"/>
    </xf>
    <xf numFmtId="9" fontId="7" fillId="0" borderId="4" xfId="0" applyNumberFormat="1" applyFont="1" applyBorder="1" applyAlignment="1">
      <alignment horizontal="right"/>
    </xf>
    <xf numFmtId="3" fontId="7" fillId="0" borderId="5" xfId="0" applyNumberFormat="1" applyFont="1" applyBorder="1" applyAlignment="1">
      <alignment horizontal="right"/>
    </xf>
    <xf numFmtId="0" fontId="10" fillId="0" borderId="0" xfId="4" applyFont="1" applyAlignment="1">
      <alignment horizontal="left"/>
    </xf>
    <xf numFmtId="0" fontId="9" fillId="0" borderId="0" xfId="4"/>
    <xf numFmtId="0" fontId="11" fillId="0" borderId="0" xfId="4" applyFont="1" applyAlignment="1">
      <alignment horizontal="left"/>
    </xf>
    <xf numFmtId="0" fontId="12" fillId="0" borderId="0" xfId="4" applyFont="1"/>
    <xf numFmtId="164" fontId="13" fillId="0" borderId="0" xfId="4" applyNumberFormat="1" applyFont="1"/>
    <xf numFmtId="0" fontId="14" fillId="0" borderId="1" xfId="4" applyFont="1" applyBorder="1" applyAlignment="1">
      <alignment horizontal="left" wrapText="1"/>
    </xf>
  </cellXfs>
  <cellStyles count="5">
    <cellStyle name="Heading 1" xfId="2" builtinId="16" customBuiltin="1"/>
    <cellStyle name="Heading 2" xfId="3" builtinId="17" customBuiltin="1"/>
    <cellStyle name="Hyperlink" xfId="1" builtinId="8" customBuiltin="1"/>
    <cellStyle name="Normal" xfId="0" builtinId="0"/>
    <cellStyle name="Normal 2" xfId="4" xr:uid="{CFCDCF6C-9413-4271-B1CC-3C0CA4641899}"/>
  </cellStyles>
  <dxfs count="527">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00000000}" name="contents" displayName="contents" ref="A2:B66" totalsRowShown="0" headerRowDxfId="526" dataDxfId="525">
  <tableColumns count="2">
    <tableColumn id="1" xr3:uid="{00000000-0010-0000-0000-000001000000}" name="Worksheet" dataCellStyle="Hyperlink"/>
    <tableColumn id="2" xr3:uid="{00000000-0010-0000-0000-000002000000}" name="Title" dataDxfId="524"/>
  </tableColumns>
  <tableStyleInfo name="TableStyleLight1" showFirstColumn="1"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09000000}" name="table_2_9" displayName="table_2_9" ref="A2:F9" totalsRowShown="0" headerRowDxfId="445" dataDxfId="444">
  <tableColumns count="6">
    <tableColumn id="1" xr3:uid="{00000000-0010-0000-0900-000001000000}" name="Answer" dataDxfId="443"/>
    <tableColumn id="2" xr3:uid="{00000000-0010-0000-0900-000002000000}" name="Owner occupied" dataDxfId="442"/>
    <tableColumn id="3" xr3:uid="{00000000-0010-0000-0900-000003000000}" name="Social rented" dataDxfId="441"/>
    <tableColumn id="4" xr3:uid="{00000000-0010-0000-0900-000004000000}" name="Private rented" dataDxfId="440"/>
    <tableColumn id="5" xr3:uid="{00000000-0010-0000-0900-000005000000}" name="Other" dataDxfId="439"/>
    <tableColumn id="6" xr3:uid="{00000000-0010-0000-0900-000006000000}" name="All" dataDxfId="438"/>
  </tableColumns>
  <tableStyleInfo name="TableStyleLight1" showFirstColumn="1"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0A000000}" name="table_2_10" displayName="table_2_10" ref="A2:F9" totalsRowShown="0" headerRowDxfId="437" dataDxfId="436">
  <tableColumns count="6">
    <tableColumn id="1" xr3:uid="{00000000-0010-0000-0A00-000001000000}" name="Answer" dataDxfId="435"/>
    <tableColumn id="2" xr3:uid="{00000000-0010-0000-0A00-000002000000}" name="Man" dataDxfId="434"/>
    <tableColumn id="3" xr3:uid="{00000000-0010-0000-0A00-000003000000}" name="Woman" dataDxfId="433"/>
    <tableColumn id="4" xr3:uid="{00000000-0010-0000-0A00-000004000000}" name="Gender described in another way" dataDxfId="432"/>
    <tableColumn id="5" xr3:uid="{00000000-0010-0000-0A00-000005000000}" name="Refused" dataDxfId="431"/>
    <tableColumn id="6" xr3:uid="{00000000-0010-0000-0A00-000006000000}" name="All" dataDxfId="430"/>
  </tableColumns>
  <tableStyleInfo name="TableStyleLight1" showFirstColumn="1"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0B000000}" name="table_2_11" displayName="table_2_11" ref="A2:H9" totalsRowShown="0" headerRowDxfId="429" dataDxfId="428">
  <tableColumns count="8">
    <tableColumn id="1" xr3:uid="{00000000-0010-0000-0B00-000001000000}" name="Answer" dataDxfId="427"/>
    <tableColumn id="2" xr3:uid="{00000000-0010-0000-0B00-000002000000}" name="16 to 24" dataDxfId="426"/>
    <tableColumn id="3" xr3:uid="{00000000-0010-0000-0B00-000003000000}" name="25 to 34" dataDxfId="425"/>
    <tableColumn id="4" xr3:uid="{00000000-0010-0000-0B00-000004000000}" name="35 to 44" dataDxfId="424"/>
    <tableColumn id="5" xr3:uid="{00000000-0010-0000-0B00-000005000000}" name="45 to 59" dataDxfId="423"/>
    <tableColumn id="6" xr3:uid="{00000000-0010-0000-0B00-000006000000}" name="60 to 74" dataDxfId="422"/>
    <tableColumn id="7" xr3:uid="{00000000-0010-0000-0B00-000007000000}" name="75 or over" dataDxfId="421"/>
    <tableColumn id="8" xr3:uid="{00000000-0010-0000-0B00-000008000000}" name="All" dataDxfId="420"/>
  </tableColumns>
  <tableStyleInfo name="TableStyleLight1" showFirstColumn="1"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0C000000}" name="table_2_12" displayName="table_2_12" ref="A3:H10" totalsRowShown="0" headerRowDxfId="419" dataDxfId="418">
  <tableColumns count="8">
    <tableColumn id="1" xr3:uid="{00000000-0010-0000-0C00-000001000000}" name="Answer" dataDxfId="417"/>
    <tableColumn id="2" xr3:uid="{00000000-0010-0000-0C00-000002000000}" name="White: Scottish" dataDxfId="416"/>
    <tableColumn id="3" xr3:uid="{00000000-0010-0000-0C00-000003000000}" name="White: Other British" dataDxfId="415"/>
    <tableColumn id="4" xr3:uid="{00000000-0010-0000-0C00-000004000000}" name="White: Other" dataDxfId="414"/>
    <tableColumn id="5" xr3:uid="{00000000-0010-0000-0C00-000005000000}" name="Minority Ethnic Groups" dataDxfId="413"/>
    <tableColumn id="6" xr3:uid="{00000000-0010-0000-0C00-000006000000}" name="Don't know" dataDxfId="412"/>
    <tableColumn id="7" xr3:uid="{00000000-0010-0000-0C00-000007000000}" name="Refused" dataDxfId="411"/>
    <tableColumn id="8" xr3:uid="{00000000-0010-0000-0C00-000008000000}" name="All" dataDxfId="410"/>
  </tableColumns>
  <tableStyleInfo name="TableStyleLight1" showFirstColumn="1"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0D000000}" name="table_2_13" displayName="table_2_13" ref="A3:G10" totalsRowShown="0" headerRowDxfId="409" dataDxfId="408">
  <tableColumns count="7">
    <tableColumn id="1" xr3:uid="{00000000-0010-0000-0D00-000001000000}" name="Answer" dataDxfId="407"/>
    <tableColumn id="2" xr3:uid="{00000000-0010-0000-0D00-000002000000}" name="Quintile 1 - 20% most deprived" dataDxfId="406"/>
    <tableColumn id="3" xr3:uid="{00000000-0010-0000-0D00-000003000000}" name="Quintile 2" dataDxfId="405"/>
    <tableColumn id="4" xr3:uid="{00000000-0010-0000-0D00-000004000000}" name="Quintile 3" dataDxfId="404"/>
    <tableColumn id="5" xr3:uid="{00000000-0010-0000-0D00-000005000000}" name="Quintile 4" dataDxfId="403"/>
    <tableColumn id="6" xr3:uid="{00000000-0010-0000-0D00-000006000000}" name="Quintile 5 - 20% least deprived" dataDxfId="402"/>
    <tableColumn id="7" xr3:uid="{00000000-0010-0000-0D00-000007000000}" name="All" dataDxfId="401"/>
  </tableColumns>
  <tableStyleInfo name="TableStyleLight1" showFirstColumn="1"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0E000000}" name="table_2_14" displayName="table_2_14" ref="A2:F9" totalsRowShown="0" headerRowDxfId="400" dataDxfId="399">
  <tableColumns count="6">
    <tableColumn id="1" xr3:uid="{00000000-0010-0000-0E00-000001000000}" name="Answer" dataDxfId="398"/>
    <tableColumn id="2" xr3:uid="{00000000-0010-0000-0E00-000002000000}" name="Owner occupied" dataDxfId="397"/>
    <tableColumn id="3" xr3:uid="{00000000-0010-0000-0E00-000003000000}" name="Social rented" dataDxfId="396"/>
    <tableColumn id="4" xr3:uid="{00000000-0010-0000-0E00-000004000000}" name="Private rented" dataDxfId="395"/>
    <tableColumn id="5" xr3:uid="{00000000-0010-0000-0E00-000005000000}" name="Other" dataDxfId="394"/>
    <tableColumn id="6" xr3:uid="{00000000-0010-0000-0E00-000006000000}" name="All" dataDxfId="393"/>
  </tableColumns>
  <tableStyleInfo name="TableStyleLight1" showFirstColumn="1"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0F000000}" name="table_2_15" displayName="table_2_15" ref="A2:H7" totalsRowShown="0" headerRowDxfId="392" dataDxfId="391">
  <tableColumns count="8">
    <tableColumn id="1" xr3:uid="{00000000-0010-0000-0F00-000001000000}" name="Answer" dataDxfId="390"/>
    <tableColumn id="2" xr3:uid="{00000000-0010-0000-0F00-000002000000}" name="16 to 24" dataDxfId="389"/>
    <tableColumn id="3" xr3:uid="{00000000-0010-0000-0F00-000003000000}" name="25 to 34" dataDxfId="388"/>
    <tableColumn id="4" xr3:uid="{00000000-0010-0000-0F00-000004000000}" name="35 to 44" dataDxfId="387"/>
    <tableColumn id="5" xr3:uid="{00000000-0010-0000-0F00-000005000000}" name="45 to 59" dataDxfId="386"/>
    <tableColumn id="6" xr3:uid="{00000000-0010-0000-0F00-000006000000}" name="60 to 74" dataDxfId="385"/>
    <tableColumn id="7" xr3:uid="{00000000-0010-0000-0F00-000007000000}" name="75 or over" dataDxfId="384"/>
    <tableColumn id="8" xr3:uid="{00000000-0010-0000-0F00-000008000000}" name="All" dataDxfId="383"/>
  </tableColumns>
  <tableStyleInfo name="TableStyleLight1" showFirstColumn="1"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10000000}" name="table_2_16" displayName="table_2_16" ref="A2:F7" totalsRowShown="0" headerRowDxfId="382" dataDxfId="381">
  <tableColumns count="6">
    <tableColumn id="1" xr3:uid="{00000000-0010-0000-1000-000001000000}" name="Answer" dataDxfId="380"/>
    <tableColumn id="2" xr3:uid="{00000000-0010-0000-1000-000002000000}" name="Man" dataDxfId="379"/>
    <tableColumn id="3" xr3:uid="{00000000-0010-0000-1000-000003000000}" name="Woman" dataDxfId="378"/>
    <tableColumn id="4" xr3:uid="{00000000-0010-0000-1000-000004000000}" name="Gender described in another way" dataDxfId="377"/>
    <tableColumn id="5" xr3:uid="{00000000-0010-0000-1000-000005000000}" name="Refused" dataDxfId="376"/>
    <tableColumn id="6" xr3:uid="{00000000-0010-0000-1000-000006000000}" name="All" dataDxfId="375"/>
  </tableColumns>
  <tableStyleInfo name="TableStyleLight1" showFirstColumn="1"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11000000}" name="table_2_17" displayName="table_2_17" ref="A3:H8" totalsRowShown="0" headerRowDxfId="374" dataDxfId="373">
  <tableColumns count="8">
    <tableColumn id="1" xr3:uid="{00000000-0010-0000-1100-000001000000}" name="Answer" dataDxfId="372"/>
    <tableColumn id="2" xr3:uid="{00000000-0010-0000-1100-000002000000}" name="Large urban areas" dataDxfId="371"/>
    <tableColumn id="3" xr3:uid="{00000000-0010-0000-1100-000003000000}" name="Other urban areas" dataDxfId="370"/>
    <tableColumn id="4" xr3:uid="{00000000-0010-0000-1100-000004000000}" name="Accessible small towns" dataDxfId="369"/>
    <tableColumn id="5" xr3:uid="{00000000-0010-0000-1100-000005000000}" name="Remote small towns" dataDxfId="368"/>
    <tableColumn id="6" xr3:uid="{00000000-0010-0000-1100-000006000000}" name="Accessible rural" dataDxfId="367"/>
    <tableColumn id="7" xr3:uid="{00000000-0010-0000-1100-000007000000}" name="Remote rural" dataDxfId="366"/>
    <tableColumn id="8" xr3:uid="{00000000-0010-0000-1100-000008000000}" name="All" dataDxfId="365"/>
  </tableColumns>
  <tableStyleInfo name="TableStyleLight1" showFirstColumn="1"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12000000}" name="table_2_18" displayName="table_2_18" ref="A3:G8" totalsRowShown="0" headerRowDxfId="364" dataDxfId="363">
  <tableColumns count="7">
    <tableColumn id="1" xr3:uid="{00000000-0010-0000-1200-000001000000}" name="Answer" dataDxfId="362"/>
    <tableColumn id="2" xr3:uid="{00000000-0010-0000-1200-000002000000}" name="Quintile 1 - 20% most deprived" dataDxfId="361"/>
    <tableColumn id="3" xr3:uid="{00000000-0010-0000-1200-000003000000}" name="Quintile 2" dataDxfId="360"/>
    <tableColumn id="4" xr3:uid="{00000000-0010-0000-1200-000004000000}" name="Quintile 3" dataDxfId="359"/>
    <tableColumn id="5" xr3:uid="{00000000-0010-0000-1200-000005000000}" name="Quintile 4" dataDxfId="358"/>
    <tableColumn id="6" xr3:uid="{00000000-0010-0000-1200-000006000000}" name="Quintile 5 - 20% least deprived" dataDxfId="357"/>
    <tableColumn id="7" xr3:uid="{00000000-0010-0000-1200-000007000000}" name="All" dataDxfId="356"/>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01000000}" name="table_2_1" displayName="table_2_1" ref="A3:H11" totalsRowShown="0" headerRowDxfId="523" dataDxfId="522">
  <tableColumns count="8">
    <tableColumn id="1" xr3:uid="{00000000-0010-0000-0100-000001000000}" name="Answer" dataDxfId="521"/>
    <tableColumn id="2" xr3:uid="{00000000-0010-0000-0100-000002000000}" name="Large urban areas" dataDxfId="520"/>
    <tableColumn id="3" xr3:uid="{00000000-0010-0000-0100-000003000000}" name="Other urban areas" dataDxfId="519"/>
    <tableColumn id="4" xr3:uid="{00000000-0010-0000-0100-000004000000}" name="Accessible small towns" dataDxfId="518"/>
    <tableColumn id="5" xr3:uid="{00000000-0010-0000-0100-000005000000}" name="Remote small towns" dataDxfId="517"/>
    <tableColumn id="6" xr3:uid="{00000000-0010-0000-0100-000006000000}" name="Accessible rural" dataDxfId="516"/>
    <tableColumn id="7" xr3:uid="{00000000-0010-0000-0100-000007000000}" name="Remote rural" dataDxfId="515"/>
    <tableColumn id="8" xr3:uid="{00000000-0010-0000-0100-000008000000}" name="All" dataDxfId="514"/>
  </tableColumns>
  <tableStyleInfo name="TableStyleLight1" showFirstColumn="1"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13000000}" name="table_2_19" displayName="table_2_19" ref="A5:L16" totalsRowShown="0" headerRowDxfId="355" dataDxfId="354">
  <tableColumns count="12">
    <tableColumn id="1" xr3:uid="{00000000-0010-0000-1300-000001000000}" name="Answer" dataDxfId="353"/>
    <tableColumn id="2" xr3:uid="{00000000-0010-0000-1300-000002000000}" name="Decile 1 - 10% most deprived" dataDxfId="352"/>
    <tableColumn id="3" xr3:uid="{00000000-0010-0000-1300-000003000000}" name="Decile 2" dataDxfId="351"/>
    <tableColumn id="4" xr3:uid="{00000000-0010-0000-1300-000004000000}" name="Decile 3" dataDxfId="350"/>
    <tableColumn id="5" xr3:uid="{00000000-0010-0000-1300-000005000000}" name="Decile 4" dataDxfId="349"/>
    <tableColumn id="6" xr3:uid="{00000000-0010-0000-1300-000006000000}" name="Decile 5" dataDxfId="348"/>
    <tableColumn id="7" xr3:uid="{00000000-0010-0000-1300-000007000000}" name="Decile 6" dataDxfId="347"/>
    <tableColumn id="8" xr3:uid="{00000000-0010-0000-1300-000008000000}" name="Decile 7" dataDxfId="346"/>
    <tableColumn id="9" xr3:uid="{00000000-0010-0000-1300-000009000000}" name="Decile 8" dataDxfId="345"/>
    <tableColumn id="10" xr3:uid="{00000000-0010-0000-1300-00000A000000}" name="Decile 9" dataDxfId="344"/>
    <tableColumn id="11" xr3:uid="{00000000-0010-0000-1300-00000B000000}" name="Decile 1 - 10% least deprived" dataDxfId="343"/>
    <tableColumn id="12" xr3:uid="{00000000-0010-0000-1300-00000C000000}" name="All" dataDxfId="342"/>
  </tableColumns>
  <tableStyleInfo name="TableStyleLight1" showFirstColumn="1"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14000000}" name="table_2_20" displayName="table_2_20" ref="A5:G16" totalsRowShown="0" headerRowDxfId="341" dataDxfId="340">
  <tableColumns count="7">
    <tableColumn id="1" xr3:uid="{00000000-0010-0000-1400-000001000000}" name="Answer" dataDxfId="339"/>
    <tableColumn id="2" xr3:uid="{00000000-0010-0000-1400-000002000000}" name="Quintile 1 - 20% most deprived" dataDxfId="338"/>
    <tableColumn id="3" xr3:uid="{00000000-0010-0000-1400-000003000000}" name="Quintile 2" dataDxfId="337"/>
    <tableColumn id="4" xr3:uid="{00000000-0010-0000-1400-000004000000}" name="Quintile 3" dataDxfId="336"/>
    <tableColumn id="5" xr3:uid="{00000000-0010-0000-1400-000005000000}" name="Quintile 4" dataDxfId="335"/>
    <tableColumn id="6" xr3:uid="{00000000-0010-0000-1400-000006000000}" name="Quintile 5 - 20% least deprived" dataDxfId="334"/>
    <tableColumn id="7" xr3:uid="{00000000-0010-0000-1400-000007000000}" name="All" dataDxfId="333"/>
  </tableColumns>
  <tableStyleInfo name="TableStyleLight1" showFirstColumn="1"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15000000}" name="table_2_21" displayName="table_2_21" ref="A4:F15" totalsRowShown="0" headerRowDxfId="332" dataDxfId="331">
  <tableColumns count="6">
    <tableColumn id="1" xr3:uid="{00000000-0010-0000-1500-000001000000}" name="Answer" dataDxfId="330"/>
    <tableColumn id="2" xr3:uid="{00000000-0010-0000-1500-000002000000}" name="Owner occupied" dataDxfId="329"/>
    <tableColumn id="3" xr3:uid="{00000000-0010-0000-1500-000003000000}" name="Social rented" dataDxfId="328"/>
    <tableColumn id="4" xr3:uid="{00000000-0010-0000-1500-000004000000}" name="Private rented" dataDxfId="327"/>
    <tableColumn id="5" xr3:uid="{00000000-0010-0000-1500-000005000000}" name="Other" dataDxfId="326"/>
    <tableColumn id="6" xr3:uid="{00000000-0010-0000-1500-000006000000}" name="All" dataDxfId="325"/>
  </tableColumns>
  <tableStyleInfo name="TableStyleLight1" showFirstColumn="1"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16000000}" name="table_2_22" displayName="table_2_22" ref="A4:H15" totalsRowShown="0" headerRowDxfId="324" dataDxfId="323">
  <tableColumns count="8">
    <tableColumn id="1" xr3:uid="{00000000-0010-0000-1600-000001000000}" name="Answer" dataDxfId="322"/>
    <tableColumn id="2" xr3:uid="{00000000-0010-0000-1600-000002000000}" name="16 to 24" dataDxfId="321"/>
    <tableColumn id="3" xr3:uid="{00000000-0010-0000-1600-000003000000}" name="25 to 34" dataDxfId="320"/>
    <tableColumn id="4" xr3:uid="{00000000-0010-0000-1600-000004000000}" name="35 to 44" dataDxfId="319"/>
    <tableColumn id="5" xr3:uid="{00000000-0010-0000-1600-000005000000}" name="45 to 59" dataDxfId="318"/>
    <tableColumn id="6" xr3:uid="{00000000-0010-0000-1600-000006000000}" name="60 to 74" dataDxfId="317"/>
    <tableColumn id="7" xr3:uid="{00000000-0010-0000-1600-000007000000}" name="75 or over" dataDxfId="316"/>
    <tableColumn id="8" xr3:uid="{00000000-0010-0000-1600-000008000000}" name="All" dataDxfId="315"/>
  </tableColumns>
  <tableStyleInfo name="TableStyleLight1" showFirstColumn="1"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17000000}" name="table_2_23" displayName="table_2_23" ref="A5:H16" totalsRowShown="0" headerRowDxfId="314" dataDxfId="313">
  <tableColumns count="8">
    <tableColumn id="1" xr3:uid="{00000000-0010-0000-1700-000001000000}" name="Answer" dataDxfId="312"/>
    <tableColumn id="2" xr3:uid="{00000000-0010-0000-1700-000002000000}" name="Large urban areas" dataDxfId="311"/>
    <tableColumn id="3" xr3:uid="{00000000-0010-0000-1700-000003000000}" name="Other urban areas" dataDxfId="310"/>
    <tableColumn id="4" xr3:uid="{00000000-0010-0000-1700-000004000000}" name="Accessible small towns" dataDxfId="309"/>
    <tableColumn id="5" xr3:uid="{00000000-0010-0000-1700-000005000000}" name="Remote small towns" dataDxfId="308"/>
    <tableColumn id="6" xr3:uid="{00000000-0010-0000-1700-000006000000}" name="Accessible rural" dataDxfId="307"/>
    <tableColumn id="7" xr3:uid="{00000000-0010-0000-1700-000007000000}" name="Remote rural" dataDxfId="306"/>
    <tableColumn id="8" xr3:uid="{00000000-0010-0000-1700-000008000000}" name="All" dataDxfId="305"/>
  </tableColumns>
  <tableStyleInfo name="TableStyleLight1" showFirstColumn="1"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18000000}" name="table_2_24" displayName="table_2_24" ref="A4:C15" totalsRowShown="0" headerRowDxfId="304" dataDxfId="303">
  <tableColumns count="3">
    <tableColumn id="1" xr3:uid="{00000000-0010-0000-1800-000001000000}" name="Answer" dataDxfId="302"/>
    <tableColumn id="2" xr3:uid="{00000000-0010-0000-1800-000002000000}" name="Perception" dataDxfId="301"/>
    <tableColumn id="3" xr3:uid="{00000000-0010-0000-1800-000003000000}" name="Experience" dataDxfId="300"/>
  </tableColumns>
  <tableStyleInfo name="TableStyleLight1" showFirstColumn="1"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19000000}" name="table_2_25" displayName="table_2_25" ref="A5:G16" totalsRowShown="0" headerRowDxfId="299" dataDxfId="298">
  <tableColumns count="7">
    <tableColumn id="1" xr3:uid="{00000000-0010-0000-1900-000001000000}" name="Answer" dataDxfId="297"/>
    <tableColumn id="2" xr3:uid="{00000000-0010-0000-1900-000002000000}" name="Quintile 1 - 20% most deprived" dataDxfId="296"/>
    <tableColumn id="3" xr3:uid="{00000000-0010-0000-1900-000003000000}" name="Quintile 2" dataDxfId="295"/>
    <tableColumn id="4" xr3:uid="{00000000-0010-0000-1900-000004000000}" name="Quintile 3" dataDxfId="294"/>
    <tableColumn id="5" xr3:uid="{00000000-0010-0000-1900-000005000000}" name="Quintile 4" dataDxfId="293"/>
    <tableColumn id="6" xr3:uid="{00000000-0010-0000-1900-000006000000}" name="Quintile 5 - 20% least deprived" dataDxfId="292"/>
    <tableColumn id="7" xr3:uid="{00000000-0010-0000-1900-000007000000}" name="All" dataDxfId="291"/>
  </tableColumns>
  <tableStyleInfo name="TableStyleLight1" showFirstColumn="1"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1A000000}" name="table_2_26" displayName="table_2_26" ref="A4:F15" totalsRowShown="0" headerRowDxfId="290" dataDxfId="289">
  <tableColumns count="6">
    <tableColumn id="1" xr3:uid="{00000000-0010-0000-1A00-000001000000}" name="Answer" dataDxfId="288"/>
    <tableColumn id="2" xr3:uid="{00000000-0010-0000-1A00-000002000000}" name="Owner occupied" dataDxfId="287"/>
    <tableColumn id="3" xr3:uid="{00000000-0010-0000-1A00-000003000000}" name="Social rented" dataDxfId="286"/>
    <tableColumn id="4" xr3:uid="{00000000-0010-0000-1A00-000004000000}" name="Private rented" dataDxfId="285"/>
    <tableColumn id="5" xr3:uid="{00000000-0010-0000-1A00-000005000000}" name="Other" dataDxfId="284"/>
    <tableColumn id="6" xr3:uid="{00000000-0010-0000-1A00-000006000000}" name="All" dataDxfId="283"/>
  </tableColumns>
  <tableStyleInfo name="TableStyleLight1" showFirstColumn="1"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1B000000}" name="table_2_27" displayName="table_2_27" ref="A5:H16" totalsRowShown="0" headerRowDxfId="282" dataDxfId="281">
  <tableColumns count="8">
    <tableColumn id="1" xr3:uid="{00000000-0010-0000-1B00-000001000000}" name="Answer" dataDxfId="280"/>
    <tableColumn id="2" xr3:uid="{00000000-0010-0000-1B00-000002000000}" name="Large urban areas" dataDxfId="279"/>
    <tableColumn id="3" xr3:uid="{00000000-0010-0000-1B00-000003000000}" name="Other urban areas" dataDxfId="278"/>
    <tableColumn id="4" xr3:uid="{00000000-0010-0000-1B00-000004000000}" name="Accessible small towns" dataDxfId="277"/>
    <tableColumn id="5" xr3:uid="{00000000-0010-0000-1B00-000005000000}" name="Remote small towns" dataDxfId="276"/>
    <tableColumn id="6" xr3:uid="{00000000-0010-0000-1B00-000006000000}" name="Accessible rural" dataDxfId="275"/>
    <tableColumn id="7" xr3:uid="{00000000-0010-0000-1B00-000007000000}" name="Remote rural" dataDxfId="274"/>
    <tableColumn id="8" xr3:uid="{00000000-0010-0000-1B00-000008000000}" name="All" dataDxfId="273"/>
  </tableColumns>
  <tableStyleInfo name="TableStyleLight1" showFirstColumn="1"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1C000000}" name="table_2_28" displayName="table_2_28" ref="A2:F5" totalsRowShown="0" headerRowDxfId="272" dataDxfId="271">
  <tableColumns count="6">
    <tableColumn id="1" xr3:uid="{00000000-0010-0000-1C00-000001000000}" name="Answer" dataDxfId="270"/>
    <tableColumn id="2" xr3:uid="{00000000-0010-0000-1C00-000002000000}" name="Man" dataDxfId="269"/>
    <tableColumn id="3" xr3:uid="{00000000-0010-0000-1C00-000003000000}" name="Woman" dataDxfId="268"/>
    <tableColumn id="4" xr3:uid="{00000000-0010-0000-1C00-000004000000}" name="Gender described in another way" dataDxfId="267"/>
    <tableColumn id="5" xr3:uid="{00000000-0010-0000-1C00-000005000000}" name="Refused" dataDxfId="266"/>
    <tableColumn id="6" xr3:uid="{00000000-0010-0000-1C00-000006000000}" name="All" dataDxfId="265"/>
  </tableColumns>
  <tableStyleInfo name="TableStyleLight1" showFirstColumn="1"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02000000}" name="table_2_2" displayName="table_2_2" ref="A4:D12" totalsRowShown="0" headerRowDxfId="513" dataDxfId="512">
  <tableColumns count="4">
    <tableColumn id="1" xr3:uid="{00000000-0010-0000-0200-000001000000}" name="Answer" dataDxfId="511"/>
    <tableColumn id="2" xr3:uid="{00000000-0010-0000-0200-000002000000}" name="Rest of Scotland" dataDxfId="510"/>
    <tableColumn id="3" xr3:uid="{00000000-0010-0000-0200-000003000000}" name="Rural Scotland" dataDxfId="509"/>
    <tableColumn id="4" xr3:uid="{00000000-0010-0000-0200-000004000000}" name="All" dataDxfId="508"/>
  </tableColumns>
  <tableStyleInfo name="TableStyleLight1" showFirstColumn="1"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1D000000}" name="table_2_29" displayName="table_2_29" ref="A2:E5" totalsRowShown="0" headerRowDxfId="264" dataDxfId="263">
  <tableColumns count="5">
    <tableColumn id="1" xr3:uid="{00000000-0010-0000-1D00-000001000000}" name="Answer" dataDxfId="262"/>
    <tableColumn id="2" xr3:uid="{00000000-0010-0000-1D00-000002000000}" name="16 to 34" dataDxfId="261"/>
    <tableColumn id="3" xr3:uid="{00000000-0010-0000-1D00-000003000000}" name="35 to 59" dataDxfId="260"/>
    <tableColumn id="4" xr3:uid="{00000000-0010-0000-1D00-000004000000}" name="60 or over" dataDxfId="259"/>
    <tableColumn id="5" xr3:uid="{00000000-0010-0000-1D00-000005000000}" name="All" dataDxfId="258"/>
  </tableColumns>
  <tableStyleInfo name="TableStyleLight1" showFirstColumn="1"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1E000000}" name="table_2_30" displayName="table_2_30" ref="A3:G6" totalsRowShown="0" headerRowDxfId="257" dataDxfId="256">
  <tableColumns count="7">
    <tableColumn id="1" xr3:uid="{00000000-0010-0000-1E00-000001000000}" name="Answer" dataDxfId="255"/>
    <tableColumn id="2" xr3:uid="{00000000-0010-0000-1E00-000002000000}" name="Quintile 1 - 20% most deprived" dataDxfId="254"/>
    <tableColumn id="3" xr3:uid="{00000000-0010-0000-1E00-000003000000}" name="Quintile 2" dataDxfId="253"/>
    <tableColumn id="4" xr3:uid="{00000000-0010-0000-1E00-000004000000}" name="Quintile 3" dataDxfId="252"/>
    <tableColumn id="5" xr3:uid="{00000000-0010-0000-1E00-000005000000}" name="Quintile 4" dataDxfId="251"/>
    <tableColumn id="6" xr3:uid="{00000000-0010-0000-1E00-000006000000}" name="Quintile 5 - 20% least deprived" dataDxfId="250"/>
    <tableColumn id="7" xr3:uid="{00000000-0010-0000-1E00-000007000000}" name="All" dataDxfId="249"/>
  </tableColumns>
  <tableStyleInfo name="TableStyleLight1" showFirstColumn="1"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1F000000}" name="table_2_31" displayName="table_2_31" ref="A2:F5" totalsRowShown="0" headerRowDxfId="248" dataDxfId="247">
  <tableColumns count="6">
    <tableColumn id="1" xr3:uid="{00000000-0010-0000-1F00-000001000000}" name="Answer" dataDxfId="246"/>
    <tableColumn id="2" xr3:uid="{00000000-0010-0000-1F00-000002000000}" name="Heterosexual/Straight" dataDxfId="245"/>
    <tableColumn id="3" xr3:uid="{00000000-0010-0000-1F00-000003000000}" name="Gay, Lesbian or Bisexual" dataDxfId="244"/>
    <tableColumn id="4" xr3:uid="{00000000-0010-0000-1F00-000004000000}" name="Other" dataDxfId="243"/>
    <tableColumn id="5" xr3:uid="{00000000-0010-0000-1F00-000005000000}" name="Refused/prefer not to say" dataDxfId="242"/>
    <tableColumn id="6" xr3:uid="{00000000-0010-0000-1F00-000006000000}" name="All" dataDxfId="241"/>
  </tableColumns>
  <tableStyleInfo name="TableStyleLight1" showFirstColumn="1"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20000000}" name="table_2_32" displayName="table_2_32" ref="A3:H6" totalsRowShown="0" headerRowDxfId="240" dataDxfId="239">
  <tableColumns count="8">
    <tableColumn id="1" xr3:uid="{00000000-0010-0000-2000-000001000000}" name="Answer" dataDxfId="238"/>
    <tableColumn id="2" xr3:uid="{00000000-0010-0000-2000-000002000000}" name="White: Scottish" dataDxfId="237"/>
    <tableColumn id="3" xr3:uid="{00000000-0010-0000-2000-000003000000}" name="White: Other British" dataDxfId="236"/>
    <tableColumn id="4" xr3:uid="{00000000-0010-0000-2000-000004000000}" name="White: Other" dataDxfId="235"/>
    <tableColumn id="5" xr3:uid="{00000000-0010-0000-2000-000005000000}" name="Minority Ethnic Groups" dataDxfId="234"/>
    <tableColumn id="6" xr3:uid="{00000000-0010-0000-2000-000006000000}" name="Don't know" dataDxfId="233"/>
    <tableColumn id="7" xr3:uid="{00000000-0010-0000-2000-000007000000}" name="Refused" dataDxfId="232"/>
    <tableColumn id="8" xr3:uid="{00000000-0010-0000-2000-000008000000}" name="All" dataDxfId="231"/>
  </tableColumns>
  <tableStyleInfo name="TableStyleLight1" showFirstColumn="1"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21000000}" name="table_2_33" displayName="table_2_33" ref="A3:G6" totalsRowShown="0" headerRowDxfId="230" dataDxfId="229">
  <tableColumns count="7">
    <tableColumn id="1" xr3:uid="{00000000-0010-0000-2100-000001000000}" name="Answer" dataDxfId="228"/>
    <tableColumn id="2" xr3:uid="{00000000-0010-0000-2100-000002000000}" name="None" dataDxfId="227"/>
    <tableColumn id="3" xr3:uid="{00000000-0010-0000-2100-000003000000}" name="Church of Scotland" dataDxfId="226"/>
    <tableColumn id="4" xr3:uid="{00000000-0010-0000-2100-000004000000}" name="Roman Catholic" dataDxfId="225"/>
    <tableColumn id="5" xr3:uid="{00000000-0010-0000-2100-000005000000}" name="Other Christian" dataDxfId="224"/>
    <tableColumn id="6" xr3:uid="{00000000-0010-0000-2100-000006000000}" name="Another religion" dataDxfId="223"/>
    <tableColumn id="7" xr3:uid="{00000000-0010-0000-2100-000007000000}" name="All" dataDxfId="222"/>
  </tableColumns>
  <tableStyleInfo name="TableStyleLight1" showFirstColumn="1"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22000000}" name="table_2_34" displayName="table_2_34" ref="A3:F6" totalsRowShown="0" headerRowDxfId="221" dataDxfId="220">
  <tableColumns count="6">
    <tableColumn id="1" xr3:uid="{00000000-0010-0000-2200-000001000000}" name="Answer" dataDxfId="219"/>
    <tableColumn id="2" xr3:uid="{00000000-0010-0000-2200-000002000000}" name="Disabled" dataDxfId="218"/>
    <tableColumn id="3" xr3:uid="{00000000-0010-0000-2200-000003000000}" name="Non disabled" dataDxfId="217"/>
    <tableColumn id="4" xr3:uid="{00000000-0010-0000-2200-000004000000}" name="Don't know" dataDxfId="216"/>
    <tableColumn id="5" xr3:uid="{00000000-0010-0000-2200-000005000000}" name="Refusal" dataDxfId="215"/>
    <tableColumn id="6" xr3:uid="{00000000-0010-0000-2200-000006000000}" name="All" dataDxfId="214"/>
  </tableColumns>
  <tableStyleInfo name="TableStyleLight1" showFirstColumn="1"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23000000}" name="table_2_35" displayName="table_2_35" ref="A3:C19" totalsRowShown="0" headerRowDxfId="213" dataDxfId="212">
  <tableColumns count="3">
    <tableColumn id="1" xr3:uid="{00000000-0010-0000-2300-000001000000}" name="Answer" dataDxfId="211"/>
    <tableColumn id="2" xr3:uid="{00000000-0010-0000-2300-000002000000}" name="2020" dataDxfId="210"/>
    <tableColumn id="3" xr3:uid="{00000000-0010-0000-2300-000003000000}" name="2021" dataDxfId="209"/>
  </tableColumns>
  <tableStyleInfo name="TableStyleLight1" showFirstColumn="1"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24000000}" name="table_2_36" displayName="table_2_36" ref="A3:F6" totalsRowShown="0" headerRowDxfId="208" dataDxfId="207">
  <tableColumns count="6">
    <tableColumn id="1" xr3:uid="{00000000-0010-0000-2400-000001000000}" name="Answer" dataDxfId="206"/>
    <tableColumn id="2" xr3:uid="{00000000-0010-0000-2400-000002000000}" name="Man" dataDxfId="205"/>
    <tableColumn id="3" xr3:uid="{00000000-0010-0000-2400-000003000000}" name="Woman" dataDxfId="204"/>
    <tableColumn id="4" xr3:uid="{00000000-0010-0000-2400-000004000000}" name="Gender described in another way" dataDxfId="203"/>
    <tableColumn id="5" xr3:uid="{00000000-0010-0000-2400-000005000000}" name="Refused" dataDxfId="202"/>
    <tableColumn id="6" xr3:uid="{00000000-0010-0000-2400-000006000000}" name="All" dataDxfId="201"/>
  </tableColumns>
  <tableStyleInfo name="TableStyleLight1" showFirstColumn="1"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25000000}" name="table_2_37" displayName="table_2_37" ref="A3:E6" totalsRowShown="0" headerRowDxfId="200" dataDxfId="199">
  <tableColumns count="5">
    <tableColumn id="1" xr3:uid="{00000000-0010-0000-2500-000001000000}" name="Answer" dataDxfId="198"/>
    <tableColumn id="2" xr3:uid="{00000000-0010-0000-2500-000002000000}" name="16 to 34" dataDxfId="197"/>
    <tableColumn id="3" xr3:uid="{00000000-0010-0000-2500-000003000000}" name="35 to 59" dataDxfId="196"/>
    <tableColumn id="4" xr3:uid="{00000000-0010-0000-2500-000004000000}" name="60 or over" dataDxfId="195"/>
    <tableColumn id="5" xr3:uid="{00000000-0010-0000-2500-000005000000}" name="All" dataDxfId="194"/>
  </tableColumns>
  <tableStyleInfo name="TableStyleLight1" showFirstColumn="1"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26000000}" name="table_2_38" displayName="table_2_38" ref="A4:G7" totalsRowShown="0" headerRowDxfId="193" dataDxfId="192">
  <tableColumns count="7">
    <tableColumn id="1" xr3:uid="{00000000-0010-0000-2600-000001000000}" name="Answer" dataDxfId="191"/>
    <tableColumn id="2" xr3:uid="{00000000-0010-0000-2600-000002000000}" name="Quintile 1 - 20% most deprived" dataDxfId="190"/>
    <tableColumn id="3" xr3:uid="{00000000-0010-0000-2600-000003000000}" name="Quintile 2" dataDxfId="189"/>
    <tableColumn id="4" xr3:uid="{00000000-0010-0000-2600-000004000000}" name="Quintile 3" dataDxfId="188"/>
    <tableColumn id="5" xr3:uid="{00000000-0010-0000-2600-000005000000}" name="Quintile 4" dataDxfId="187"/>
    <tableColumn id="6" xr3:uid="{00000000-0010-0000-2600-000006000000}" name="Quintile 5 - 20% least deprived" dataDxfId="186"/>
    <tableColumn id="7" xr3:uid="{00000000-0010-0000-2600-000007000000}" name="All" dataDxfId="185"/>
  </tableColumns>
  <tableStyleInfo name="TableStyleLight1"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03000000}" name="table_2_3" displayName="table_2_3" ref="A3:L11" totalsRowShown="0" headerRowDxfId="507" dataDxfId="506">
  <tableColumns count="12">
    <tableColumn id="1" xr3:uid="{00000000-0010-0000-0300-000001000000}" name="Answer" dataDxfId="505"/>
    <tableColumn id="2" xr3:uid="{00000000-0010-0000-0300-000002000000}" name="Decile 1 - 10% most deprived" dataDxfId="504"/>
    <tableColumn id="3" xr3:uid="{00000000-0010-0000-0300-000003000000}" name="Decile 2" dataDxfId="503"/>
    <tableColumn id="4" xr3:uid="{00000000-0010-0000-0300-000004000000}" name="Decile 3" dataDxfId="502"/>
    <tableColumn id="5" xr3:uid="{00000000-0010-0000-0300-000005000000}" name="Decile 4" dataDxfId="501"/>
    <tableColumn id="6" xr3:uid="{00000000-0010-0000-0300-000006000000}" name="Decile 5" dataDxfId="500"/>
    <tableColumn id="7" xr3:uid="{00000000-0010-0000-0300-000007000000}" name="Decile 6" dataDxfId="499"/>
    <tableColumn id="8" xr3:uid="{00000000-0010-0000-0300-000008000000}" name="Decile 7" dataDxfId="498"/>
    <tableColumn id="9" xr3:uid="{00000000-0010-0000-0300-000009000000}" name="Decile 8" dataDxfId="497"/>
    <tableColumn id="10" xr3:uid="{00000000-0010-0000-0300-00000A000000}" name="Decile 9" dataDxfId="496"/>
    <tableColumn id="11" xr3:uid="{00000000-0010-0000-0300-00000B000000}" name="Decile 1 - 10% least deprived" dataDxfId="495"/>
    <tableColumn id="12" xr3:uid="{00000000-0010-0000-0300-00000C000000}" name="All" dataDxfId="494"/>
  </tableColumns>
  <tableStyleInfo name="TableStyleLight1" showFirstColumn="1"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27000000}" name="table_2_39" displayName="table_2_39" ref="A3:F6" totalsRowShown="0" headerRowDxfId="184" dataDxfId="183">
  <tableColumns count="6">
    <tableColumn id="1" xr3:uid="{00000000-0010-0000-2700-000001000000}" name="Answer" dataDxfId="182"/>
    <tableColumn id="2" xr3:uid="{00000000-0010-0000-2700-000002000000}" name="Heterosexual/Straight" dataDxfId="181"/>
    <tableColumn id="3" xr3:uid="{00000000-0010-0000-2700-000003000000}" name="Gay, Lesbian or Bisexual" dataDxfId="180"/>
    <tableColumn id="4" xr3:uid="{00000000-0010-0000-2700-000004000000}" name="Other" dataDxfId="179"/>
    <tableColumn id="5" xr3:uid="{00000000-0010-0000-2700-000005000000}" name="Refused/prefer not to say" dataDxfId="178"/>
    <tableColumn id="6" xr3:uid="{00000000-0010-0000-2700-000006000000}" name="All" dataDxfId="177"/>
  </tableColumns>
  <tableStyleInfo name="TableStyleLight1" showFirstColumn="1"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28000000}" name="table_2_40" displayName="table_2_40" ref="A4:H7" totalsRowShown="0" headerRowDxfId="176" dataDxfId="175">
  <tableColumns count="8">
    <tableColumn id="1" xr3:uid="{00000000-0010-0000-2800-000001000000}" name="Answer" dataDxfId="174"/>
    <tableColumn id="2" xr3:uid="{00000000-0010-0000-2800-000002000000}" name="White: Scottish" dataDxfId="173"/>
    <tableColumn id="3" xr3:uid="{00000000-0010-0000-2800-000003000000}" name="White: Other British" dataDxfId="172"/>
    <tableColumn id="4" xr3:uid="{00000000-0010-0000-2800-000004000000}" name="White: Other" dataDxfId="171"/>
    <tableColumn id="5" xr3:uid="{00000000-0010-0000-2800-000005000000}" name="Minority Ethnic Groups" dataDxfId="170"/>
    <tableColumn id="6" xr3:uid="{00000000-0010-0000-2800-000006000000}" name="Don't know" dataDxfId="169"/>
    <tableColumn id="7" xr3:uid="{00000000-0010-0000-2800-000007000000}" name="Refused" dataDxfId="168"/>
    <tableColumn id="8" xr3:uid="{00000000-0010-0000-2800-000008000000}" name="All" dataDxfId="167"/>
  </tableColumns>
  <tableStyleInfo name="TableStyleLight1" showFirstColumn="1"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29000000}" name="table_2_41" displayName="table_2_41" ref="A4:G7" totalsRowShown="0" headerRowDxfId="166" dataDxfId="165">
  <tableColumns count="7">
    <tableColumn id="1" xr3:uid="{00000000-0010-0000-2900-000001000000}" name="Answer" dataDxfId="164"/>
    <tableColumn id="2" xr3:uid="{00000000-0010-0000-2900-000002000000}" name="None" dataDxfId="163"/>
    <tableColumn id="3" xr3:uid="{00000000-0010-0000-2900-000003000000}" name="Church of Scotland" dataDxfId="162"/>
    <tableColumn id="4" xr3:uid="{00000000-0010-0000-2900-000004000000}" name="Roman Catholic" dataDxfId="161"/>
    <tableColumn id="5" xr3:uid="{00000000-0010-0000-2900-000005000000}" name="Other Christian" dataDxfId="160"/>
    <tableColumn id="6" xr3:uid="{00000000-0010-0000-2900-000006000000}" name="Another religion" dataDxfId="159"/>
    <tableColumn id="7" xr3:uid="{00000000-0010-0000-2900-000007000000}" name="All" dataDxfId="158"/>
  </tableColumns>
  <tableStyleInfo name="TableStyleLight1" showFirstColumn="1"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2A000000}" name="table_2_42" displayName="table_2_42" ref="A4:F7" totalsRowShown="0" headerRowDxfId="157" dataDxfId="156">
  <tableColumns count="6">
    <tableColumn id="1" xr3:uid="{00000000-0010-0000-2A00-000001000000}" name="Answer" dataDxfId="155"/>
    <tableColumn id="2" xr3:uid="{00000000-0010-0000-2A00-000002000000}" name="Disabled" dataDxfId="154"/>
    <tableColumn id="3" xr3:uid="{00000000-0010-0000-2A00-000003000000}" name="Non disabled" dataDxfId="153"/>
    <tableColumn id="4" xr3:uid="{00000000-0010-0000-2A00-000004000000}" name="Don't know" dataDxfId="152"/>
    <tableColumn id="5" xr3:uid="{00000000-0010-0000-2A00-000005000000}" name="Refusal" dataDxfId="151"/>
    <tableColumn id="6" xr3:uid="{00000000-0010-0000-2A00-000006000000}" name="All" dataDxfId="150"/>
  </tableColumns>
  <tableStyleInfo name="TableStyleLight1" showFirstColumn="1"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2B000000}" name="table_2_43" displayName="table_2_43" ref="A4:B20" totalsRowShown="0" headerRowDxfId="149" dataDxfId="148">
  <tableColumns count="2">
    <tableColumn id="1" xr3:uid="{00000000-0010-0000-2B00-000001000000}" name="Answer" dataDxfId="147"/>
    <tableColumn id="2" xr3:uid="{00000000-0010-0000-2B00-000002000000}" name="2021" dataDxfId="146"/>
  </tableColumns>
  <tableStyleInfo name="TableStyleLight1" showFirstColumn="1"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2C000000}" name="table_2_44" displayName="table_2_44" ref="A2:F8" totalsRowShown="0" headerRowDxfId="145" dataDxfId="144">
  <tableColumns count="6">
    <tableColumn id="1" xr3:uid="{00000000-0010-0000-2C00-000001000000}" name="Answer" dataDxfId="143"/>
    <tableColumn id="2" xr3:uid="{00000000-0010-0000-2C00-000002000000}" name="Man" dataDxfId="142"/>
    <tableColumn id="3" xr3:uid="{00000000-0010-0000-2C00-000003000000}" name="Woman" dataDxfId="141"/>
    <tableColumn id="4" xr3:uid="{00000000-0010-0000-2C00-000004000000}" name="Gender described in another way" dataDxfId="140"/>
    <tableColumn id="5" xr3:uid="{00000000-0010-0000-2C00-000005000000}" name="Refused" dataDxfId="139"/>
    <tableColumn id="6" xr3:uid="{00000000-0010-0000-2C00-000006000000}" name="All" dataDxfId="138"/>
  </tableColumns>
  <tableStyleInfo name="TableStyleLight1" showFirstColumn="1"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2D000000}" name="table_2_45" displayName="table_2_45" ref="A2:E8" totalsRowShown="0" headerRowDxfId="137" dataDxfId="136">
  <tableColumns count="5">
    <tableColumn id="1" xr3:uid="{00000000-0010-0000-2D00-000001000000}" name="Answer" dataDxfId="135"/>
    <tableColumn id="2" xr3:uid="{00000000-0010-0000-2D00-000002000000}" name="16 to 34" dataDxfId="134"/>
    <tableColumn id="3" xr3:uid="{00000000-0010-0000-2D00-000003000000}" name="35 to 59" dataDxfId="133"/>
    <tableColumn id="4" xr3:uid="{00000000-0010-0000-2D00-000004000000}" name="60 or over" dataDxfId="132"/>
    <tableColumn id="5" xr3:uid="{00000000-0010-0000-2D00-000005000000}" name="All" dataDxfId="131"/>
  </tableColumns>
  <tableStyleInfo name="TableStyleLight1" showFirstColumn="1"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2E000000}" name="table_2_46" displayName="table_2_46" ref="A3:G9" totalsRowShown="0" headerRowDxfId="130" dataDxfId="129">
  <tableColumns count="7">
    <tableColumn id="1" xr3:uid="{00000000-0010-0000-2E00-000001000000}" name="Answer" dataDxfId="128"/>
    <tableColumn id="2" xr3:uid="{00000000-0010-0000-2E00-000002000000}" name="Quintile 1 - 20% most deprived" dataDxfId="127"/>
    <tableColumn id="3" xr3:uid="{00000000-0010-0000-2E00-000003000000}" name="Quintile 2" dataDxfId="126"/>
    <tableColumn id="4" xr3:uid="{00000000-0010-0000-2E00-000004000000}" name="Quintile 3" dataDxfId="125"/>
    <tableColumn id="5" xr3:uid="{00000000-0010-0000-2E00-000005000000}" name="Quintile 4" dataDxfId="124"/>
    <tableColumn id="6" xr3:uid="{00000000-0010-0000-2E00-000006000000}" name="Quintile 5 - 20% least deprived" dataDxfId="123"/>
    <tableColumn id="7" xr3:uid="{00000000-0010-0000-2E00-000007000000}" name="All" dataDxfId="122"/>
  </tableColumns>
  <tableStyleInfo name="TableStyleLight1" showFirstColumn="1"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2F000000}" name="table_2_47" displayName="table_2_47" ref="A2:F8" totalsRowShown="0" headerRowDxfId="121" dataDxfId="120">
  <tableColumns count="6">
    <tableColumn id="1" xr3:uid="{00000000-0010-0000-2F00-000001000000}" name="Answer" dataDxfId="119"/>
    <tableColumn id="2" xr3:uid="{00000000-0010-0000-2F00-000002000000}" name="Heterosexual/Straight" dataDxfId="118"/>
    <tableColumn id="3" xr3:uid="{00000000-0010-0000-2F00-000003000000}" name="Gay, Lesbian or Bisexual" dataDxfId="117"/>
    <tableColumn id="4" xr3:uid="{00000000-0010-0000-2F00-000004000000}" name="Other" dataDxfId="116"/>
    <tableColumn id="5" xr3:uid="{00000000-0010-0000-2F00-000005000000}" name="Refused/prefer not to say" dataDxfId="115"/>
    <tableColumn id="6" xr3:uid="{00000000-0010-0000-2F00-000006000000}" name="All" dataDxfId="114"/>
  </tableColumns>
  <tableStyleInfo name="TableStyleLight1" showFirstColumn="1"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30000000}" name="table_2_48" displayName="table_2_48" ref="A3:H9" totalsRowShown="0" headerRowDxfId="113" dataDxfId="112">
  <tableColumns count="8">
    <tableColumn id="1" xr3:uid="{00000000-0010-0000-3000-000001000000}" name="Answer" dataDxfId="111"/>
    <tableColumn id="2" xr3:uid="{00000000-0010-0000-3000-000002000000}" name="White: Scottish" dataDxfId="110"/>
    <tableColumn id="3" xr3:uid="{00000000-0010-0000-3000-000003000000}" name="White: Other British" dataDxfId="109"/>
    <tableColumn id="4" xr3:uid="{00000000-0010-0000-3000-000004000000}" name="White: Other" dataDxfId="108"/>
    <tableColumn id="5" xr3:uid="{00000000-0010-0000-3000-000005000000}" name="Minority Ethnic Groups" dataDxfId="107"/>
    <tableColumn id="6" xr3:uid="{00000000-0010-0000-3000-000006000000}" name="Don't know" dataDxfId="106"/>
    <tableColumn id="7" xr3:uid="{00000000-0010-0000-3000-000007000000}" name="Refused" dataDxfId="105"/>
    <tableColumn id="8" xr3:uid="{00000000-0010-0000-3000-000008000000}" name="All" dataDxfId="104"/>
  </tableColumns>
  <tableStyleInfo name="TableStyleLight1"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4000000}" name="table_2_4" displayName="table_2_4" ref="A3:G11" totalsRowShown="0" headerRowDxfId="493" dataDxfId="492">
  <tableColumns count="7">
    <tableColumn id="1" xr3:uid="{00000000-0010-0000-0400-000001000000}" name="Answer" dataDxfId="491"/>
    <tableColumn id="2" xr3:uid="{00000000-0010-0000-0400-000002000000}" name="Quintile 1 - 20% most deprived" dataDxfId="490"/>
    <tableColumn id="3" xr3:uid="{00000000-0010-0000-0400-000003000000}" name="Quintile 2" dataDxfId="489"/>
    <tableColumn id="4" xr3:uid="{00000000-0010-0000-0400-000004000000}" name="Quintile 3" dataDxfId="488"/>
    <tableColumn id="5" xr3:uid="{00000000-0010-0000-0400-000005000000}" name="Quintile 4" dataDxfId="487"/>
    <tableColumn id="6" xr3:uid="{00000000-0010-0000-0400-000006000000}" name="Quintile 5 - 20% least deprived" dataDxfId="486"/>
    <tableColumn id="7" xr3:uid="{00000000-0010-0000-0400-000007000000}" name="All" dataDxfId="485"/>
  </tableColumns>
  <tableStyleInfo name="TableStyleLight1" showFirstColumn="1"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31000000}" name="table_2_49" displayName="table_2_49" ref="A3:G9" totalsRowShown="0" headerRowDxfId="103" dataDxfId="102">
  <tableColumns count="7">
    <tableColumn id="1" xr3:uid="{00000000-0010-0000-3100-000001000000}" name="Answer" dataDxfId="101"/>
    <tableColumn id="2" xr3:uid="{00000000-0010-0000-3100-000002000000}" name="None" dataDxfId="100"/>
    <tableColumn id="3" xr3:uid="{00000000-0010-0000-3100-000003000000}" name="Church of Scotland" dataDxfId="99"/>
    <tableColumn id="4" xr3:uid="{00000000-0010-0000-3100-000004000000}" name="Roman Catholic" dataDxfId="98"/>
    <tableColumn id="5" xr3:uid="{00000000-0010-0000-3100-000005000000}" name="Other Christian" dataDxfId="97"/>
    <tableColumn id="6" xr3:uid="{00000000-0010-0000-3100-000006000000}" name="Another religion" dataDxfId="96"/>
    <tableColumn id="7" xr3:uid="{00000000-0010-0000-3100-000007000000}" name="All" dataDxfId="95"/>
  </tableColumns>
  <tableStyleInfo name="TableStyleLight1" showFirstColumn="1"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32000000}" name="table_2_50" displayName="table_2_50" ref="A3:F9" totalsRowShown="0" headerRowDxfId="94" dataDxfId="93">
  <tableColumns count="6">
    <tableColumn id="1" xr3:uid="{00000000-0010-0000-3200-000001000000}" name="Answer" dataDxfId="92"/>
    <tableColumn id="2" xr3:uid="{00000000-0010-0000-3200-000002000000}" name="Disabled" dataDxfId="91"/>
    <tableColumn id="3" xr3:uid="{00000000-0010-0000-3200-000003000000}" name="Non disabled" dataDxfId="90"/>
    <tableColumn id="4" xr3:uid="{00000000-0010-0000-3200-000004000000}" name="Don't know" dataDxfId="89"/>
    <tableColumn id="5" xr3:uid="{00000000-0010-0000-3200-000005000000}" name="Refusal" dataDxfId="88"/>
    <tableColumn id="6" xr3:uid="{00000000-0010-0000-3200-000006000000}" name="All" dataDxfId="87"/>
  </tableColumns>
  <tableStyleInfo name="TableStyleLight1" showFirstColumn="1"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33000000}" name="table_2_51" displayName="table_2_51" ref="A2:D8" totalsRowShown="0" headerRowDxfId="86" dataDxfId="85">
  <tableColumns count="4">
    <tableColumn id="1" xr3:uid="{00000000-0010-0000-3300-000001000000}" name="Answer" dataDxfId="84"/>
    <tableColumn id="2" xr3:uid="{00000000-0010-0000-3300-000002000000}" name="Yes" dataDxfId="83"/>
    <tableColumn id="3" xr3:uid="{00000000-0010-0000-3300-000003000000}" name="No" dataDxfId="82"/>
    <tableColumn id="4" xr3:uid="{00000000-0010-0000-3300-000004000000}" name="All" dataDxfId="81"/>
  </tableColumns>
  <tableStyleInfo name="TableStyleLight1" showFirstColumn="1"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34000000}" name="table_2_52" displayName="table_2_52" ref="A2:F8" totalsRowShown="0" headerRowDxfId="80" dataDxfId="79">
  <tableColumns count="6">
    <tableColumn id="1" xr3:uid="{00000000-0010-0000-3400-000001000000}" name="Answer" dataDxfId="78"/>
    <tableColumn id="2" xr3:uid="{00000000-0010-0000-3400-000002000000}" name="Very good/ fairly good" dataDxfId="77"/>
    <tableColumn id="3" xr3:uid="{00000000-0010-0000-3400-000003000000}" name="Fairly poor" dataDxfId="76"/>
    <tableColumn id="4" xr3:uid="{00000000-0010-0000-3400-000004000000}" name="Very poor" dataDxfId="75"/>
    <tableColumn id="5" xr3:uid="{00000000-0010-0000-3400-000005000000}" name="No opinion" dataDxfId="74"/>
    <tableColumn id="6" xr3:uid="{00000000-0010-0000-3400-000006000000}" name="All" dataDxfId="73"/>
  </tableColumns>
  <tableStyleInfo name="TableStyleLight1" showFirstColumn="1"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35000000}" name="table_2_53" displayName="table_2_53" ref="A2:F8" totalsRowShown="0" headerRowDxfId="72" dataDxfId="71">
  <tableColumns count="6">
    <tableColumn id="1" xr3:uid="{00000000-0010-0000-3500-000001000000}" name="Answer" dataDxfId="70"/>
    <tableColumn id="2" xr3:uid="{00000000-0010-0000-3500-000002000000}" name="Man" dataDxfId="69"/>
    <tableColumn id="3" xr3:uid="{00000000-0010-0000-3500-000003000000}" name="Woman" dataDxfId="68"/>
    <tableColumn id="4" xr3:uid="{00000000-0010-0000-3500-000004000000}" name="Gender described in another way" dataDxfId="67"/>
    <tableColumn id="5" xr3:uid="{00000000-0010-0000-3500-000005000000}" name="Refused" dataDxfId="66"/>
    <tableColumn id="6" xr3:uid="{00000000-0010-0000-3500-000006000000}" name="All" dataDxfId="65"/>
  </tableColumns>
  <tableStyleInfo name="TableStyleLight1" showFirstColumn="1"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36000000}" name="table_2_54" displayName="table_2_54" ref="A2:E8" totalsRowShown="0" headerRowDxfId="64" dataDxfId="63">
  <tableColumns count="5">
    <tableColumn id="1" xr3:uid="{00000000-0010-0000-3600-000001000000}" name="Answer" dataDxfId="62"/>
    <tableColumn id="2" xr3:uid="{00000000-0010-0000-3600-000002000000}" name="16 to 34" dataDxfId="61"/>
    <tableColumn id="3" xr3:uid="{00000000-0010-0000-3600-000003000000}" name="35 to 59" dataDxfId="60"/>
    <tableColumn id="4" xr3:uid="{00000000-0010-0000-3600-000004000000}" name="60 or over" dataDxfId="59"/>
    <tableColumn id="5" xr3:uid="{00000000-0010-0000-3600-000005000000}" name="All" dataDxfId="58"/>
  </tableColumns>
  <tableStyleInfo name="TableStyleLight1" showFirstColumn="1"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37000000}" name="table_2_55" displayName="table_2_55" ref="A3:G9" totalsRowShown="0" headerRowDxfId="57" dataDxfId="56">
  <tableColumns count="7">
    <tableColumn id="1" xr3:uid="{00000000-0010-0000-3700-000001000000}" name="Answer" dataDxfId="55"/>
    <tableColumn id="2" xr3:uid="{00000000-0010-0000-3700-000002000000}" name="Quintile 1 - 20% most deprived" dataDxfId="54"/>
    <tableColumn id="3" xr3:uid="{00000000-0010-0000-3700-000003000000}" name="Quintile 2" dataDxfId="53"/>
    <tableColumn id="4" xr3:uid="{00000000-0010-0000-3700-000004000000}" name="Quintile 3" dataDxfId="52"/>
    <tableColumn id="5" xr3:uid="{00000000-0010-0000-3700-000005000000}" name="Quintile 4" dataDxfId="51"/>
    <tableColumn id="6" xr3:uid="{00000000-0010-0000-3700-000006000000}" name="Quintile 5 - 20% least deprived" dataDxfId="50"/>
    <tableColumn id="7" xr3:uid="{00000000-0010-0000-3700-000007000000}" name="All" dataDxfId="49"/>
  </tableColumns>
  <tableStyleInfo name="TableStyleLight1" showFirstColumn="1"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38000000}" name="table_2_56" displayName="table_2_56" ref="A2:F8" totalsRowShown="0" headerRowDxfId="48" dataDxfId="47">
  <tableColumns count="6">
    <tableColumn id="1" xr3:uid="{00000000-0010-0000-3800-000001000000}" name="Answer" dataDxfId="46"/>
    <tableColumn id="2" xr3:uid="{00000000-0010-0000-3800-000002000000}" name="Heterosexual/Straight" dataDxfId="45"/>
    <tableColumn id="3" xr3:uid="{00000000-0010-0000-3800-000003000000}" name="Gay, Lesbian or Bisexual" dataDxfId="44"/>
    <tableColumn id="4" xr3:uid="{00000000-0010-0000-3800-000004000000}" name="Other" dataDxfId="43"/>
    <tableColumn id="5" xr3:uid="{00000000-0010-0000-3800-000005000000}" name="Refused/prefer not to say" dataDxfId="42"/>
    <tableColumn id="6" xr3:uid="{00000000-0010-0000-3800-000006000000}" name="All" dataDxfId="41"/>
  </tableColumns>
  <tableStyleInfo name="TableStyleLight1" showFirstColumn="1"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39000000}" name="table_2_57" displayName="table_2_57" ref="A3:H9" totalsRowShown="0" headerRowDxfId="40" dataDxfId="39">
  <tableColumns count="8">
    <tableColumn id="1" xr3:uid="{00000000-0010-0000-3900-000001000000}" name="Answer" dataDxfId="38"/>
    <tableColumn id="2" xr3:uid="{00000000-0010-0000-3900-000002000000}" name="White: Scottish" dataDxfId="37"/>
    <tableColumn id="3" xr3:uid="{00000000-0010-0000-3900-000003000000}" name="White: Other British" dataDxfId="36"/>
    <tableColumn id="4" xr3:uid="{00000000-0010-0000-3900-000004000000}" name="White: Other" dataDxfId="35"/>
    <tableColumn id="5" xr3:uid="{00000000-0010-0000-3900-000005000000}" name="Minority Ethnic Groups" dataDxfId="34"/>
    <tableColumn id="6" xr3:uid="{00000000-0010-0000-3900-000006000000}" name="Don't know" dataDxfId="33"/>
    <tableColumn id="7" xr3:uid="{00000000-0010-0000-3900-000007000000}" name="Refused" dataDxfId="32"/>
    <tableColumn id="8" xr3:uid="{00000000-0010-0000-3900-000008000000}" name="All" dataDxfId="31"/>
  </tableColumns>
  <tableStyleInfo name="TableStyleLight1" showFirstColumn="1"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3A000000}" name="table_2_58" displayName="table_2_58" ref="A3:G9" totalsRowShown="0" headerRowDxfId="30" dataDxfId="29">
  <tableColumns count="7">
    <tableColumn id="1" xr3:uid="{00000000-0010-0000-3A00-000001000000}" name="Answer" dataDxfId="28"/>
    <tableColumn id="2" xr3:uid="{00000000-0010-0000-3A00-000002000000}" name="None" dataDxfId="27"/>
    <tableColumn id="3" xr3:uid="{00000000-0010-0000-3A00-000003000000}" name="Church of Scotland" dataDxfId="26"/>
    <tableColumn id="4" xr3:uid="{00000000-0010-0000-3A00-000004000000}" name="Roman Catholic" dataDxfId="25"/>
    <tableColumn id="5" xr3:uid="{00000000-0010-0000-3A00-000005000000}" name="Other Christian" dataDxfId="24"/>
    <tableColumn id="6" xr3:uid="{00000000-0010-0000-3A00-000006000000}" name="Another religion" dataDxfId="23"/>
    <tableColumn id="7" xr3:uid="{00000000-0010-0000-3A00-000007000000}" name="All" dataDxfId="22"/>
  </tableColumns>
  <tableStyleInfo name="TableStyleLight1"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05000000}" name="table_2_5" displayName="table_2_5" ref="A2:H8" totalsRowShown="0" headerRowDxfId="484" dataDxfId="483">
  <tableColumns count="8">
    <tableColumn id="1" xr3:uid="{00000000-0010-0000-0500-000001000000}" name="Answer" dataDxfId="482"/>
    <tableColumn id="2" xr3:uid="{00000000-0010-0000-0500-000002000000}" name="Strongly agree" dataDxfId="481"/>
    <tableColumn id="3" xr3:uid="{00000000-0010-0000-0500-000003000000}" name="Tend to agree" dataDxfId="480"/>
    <tableColumn id="4" xr3:uid="{00000000-0010-0000-0500-000004000000}" name="Neither agree nor disagree" dataDxfId="479"/>
    <tableColumn id="5" xr3:uid="{00000000-0010-0000-0500-000005000000}" name="Tend to disagree" dataDxfId="478"/>
    <tableColumn id="6" xr3:uid="{00000000-0010-0000-0500-000006000000}" name="Strongly disagree" dataDxfId="477"/>
    <tableColumn id="7" xr3:uid="{00000000-0010-0000-0500-000007000000}" name="Don't know" dataDxfId="476"/>
    <tableColumn id="8" xr3:uid="{00000000-0010-0000-0500-000008000000}" name="Base" dataDxfId="475"/>
  </tableColumns>
  <tableStyleInfo name="TableStyleLight1" showFirstColumn="1"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3B000000}" name="table_2_59" displayName="table_2_59" ref="A3:F9" totalsRowShown="0" headerRowDxfId="21" dataDxfId="20">
  <tableColumns count="6">
    <tableColumn id="1" xr3:uid="{00000000-0010-0000-3B00-000001000000}" name="Answer" dataDxfId="19"/>
    <tableColumn id="2" xr3:uid="{00000000-0010-0000-3B00-000002000000}" name="Disabled" dataDxfId="18"/>
    <tableColumn id="3" xr3:uid="{00000000-0010-0000-3B00-000003000000}" name="Non disabled" dataDxfId="17"/>
    <tableColumn id="4" xr3:uid="{00000000-0010-0000-3B00-000004000000}" name="Don't know" dataDxfId="16"/>
    <tableColumn id="5" xr3:uid="{00000000-0010-0000-3B00-000005000000}" name="Refusal" dataDxfId="15"/>
    <tableColumn id="6" xr3:uid="{00000000-0010-0000-3B00-000006000000}" name="All" dataDxfId="14"/>
  </tableColumns>
  <tableStyleInfo name="TableStyleLight1" showFirstColumn="1"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3C000000}" name="table_2_60" displayName="table_2_60" ref="A2:D8" totalsRowShown="0" headerRowDxfId="13" dataDxfId="12">
  <tableColumns count="4">
    <tableColumn id="1" xr3:uid="{00000000-0010-0000-3C00-000001000000}" name="Answer" dataDxfId="11"/>
    <tableColumn id="2" xr3:uid="{00000000-0010-0000-3C00-000002000000}" name="Yes" dataDxfId="10"/>
    <tableColumn id="3" xr3:uid="{00000000-0010-0000-3C00-000003000000}" name="No" dataDxfId="9"/>
    <tableColumn id="4" xr3:uid="{00000000-0010-0000-3C00-000004000000}" name="All" dataDxfId="8"/>
  </tableColumns>
  <tableStyleInfo name="TableStyleLight1" showFirstColumn="1"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3D000000}" name="table_2_61" displayName="table_2_61" ref="A2:F8" totalsRowShown="0" headerRowDxfId="7" dataDxfId="6">
  <tableColumns count="6">
    <tableColumn id="1" xr3:uid="{00000000-0010-0000-3D00-000001000000}" name="Answer" dataDxfId="5"/>
    <tableColumn id="2" xr3:uid="{00000000-0010-0000-3D00-000002000000}" name="Very good/ fairly good" dataDxfId="4"/>
    <tableColumn id="3" xr3:uid="{00000000-0010-0000-3D00-000003000000}" name="Fairly poor" dataDxfId="3"/>
    <tableColumn id="4" xr3:uid="{00000000-0010-0000-3D00-000004000000}" name="Very poor" dataDxfId="2"/>
    <tableColumn id="5" xr3:uid="{00000000-0010-0000-3D00-000005000000}" name="No opinion" dataDxfId="1"/>
    <tableColumn id="6" xr3:uid="{00000000-0010-0000-3D00-000006000000}" name="All" dataDxfId="0"/>
  </tableColumns>
  <tableStyleInfo name="TableStyleLight1" showFirstColumn="1"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06000000}" name="table_2_6" displayName="table_2_6" ref="A2:H9" totalsRowShown="0" headerRowDxfId="474" dataDxfId="473">
  <tableColumns count="8">
    <tableColumn id="1" xr3:uid="{00000000-0010-0000-0600-000001000000}" name="Answer" dataDxfId="472"/>
    <tableColumn id="2" xr3:uid="{00000000-0010-0000-0600-000002000000}" name="16 to 24" dataDxfId="471"/>
    <tableColumn id="3" xr3:uid="{00000000-0010-0000-0600-000003000000}" name="25 to 34" dataDxfId="470"/>
    <tableColumn id="4" xr3:uid="{00000000-0010-0000-0600-000004000000}" name="35 to 44" dataDxfId="469"/>
    <tableColumn id="5" xr3:uid="{00000000-0010-0000-0600-000005000000}" name="45 to 59" dataDxfId="468"/>
    <tableColumn id="6" xr3:uid="{00000000-0010-0000-0600-000006000000}" name="60 to 74" dataDxfId="467"/>
    <tableColumn id="7" xr3:uid="{00000000-0010-0000-0600-000007000000}" name="75 or over" dataDxfId="466"/>
    <tableColumn id="8" xr3:uid="{00000000-0010-0000-0600-000008000000}" name="All" dataDxfId="465"/>
  </tableColumns>
  <tableStyleInfo name="TableStyleLight1" showFirstColumn="1"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07000000}" name="table_2_7" displayName="table_2_7" ref="A3:H10" totalsRowShown="0" headerRowDxfId="464" dataDxfId="463">
  <tableColumns count="8">
    <tableColumn id="1" xr3:uid="{00000000-0010-0000-0700-000001000000}" name="Answer" dataDxfId="462"/>
    <tableColumn id="2" xr3:uid="{00000000-0010-0000-0700-000002000000}" name="Large urban areas" dataDxfId="461"/>
    <tableColumn id="3" xr3:uid="{00000000-0010-0000-0700-000003000000}" name="Other urban areas" dataDxfId="460"/>
    <tableColumn id="4" xr3:uid="{00000000-0010-0000-0700-000004000000}" name="Accessible small towns" dataDxfId="459"/>
    <tableColumn id="5" xr3:uid="{00000000-0010-0000-0700-000005000000}" name="Remote small towns" dataDxfId="458"/>
    <tableColumn id="6" xr3:uid="{00000000-0010-0000-0700-000006000000}" name="Accessible rural" dataDxfId="457"/>
    <tableColumn id="7" xr3:uid="{00000000-0010-0000-0700-000007000000}" name="Remote rural" dataDxfId="456"/>
    <tableColumn id="8" xr3:uid="{00000000-0010-0000-0700-000008000000}" name="All" dataDxfId="455"/>
  </tableColumns>
  <tableStyleInfo name="TableStyleLight1" showFirstColumn="1"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08000000}" name="table_2_8" displayName="table_2_8" ref="A3:G10" totalsRowShown="0" headerRowDxfId="454" dataDxfId="453">
  <tableColumns count="7">
    <tableColumn id="1" xr3:uid="{00000000-0010-0000-0800-000001000000}" name="Answer" dataDxfId="452"/>
    <tableColumn id="2" xr3:uid="{00000000-0010-0000-0800-000002000000}" name="Quintile 1 - 20% most deprived" dataDxfId="451"/>
    <tableColumn id="3" xr3:uid="{00000000-0010-0000-0800-000003000000}" name="Quintile 2" dataDxfId="450"/>
    <tableColumn id="4" xr3:uid="{00000000-0010-0000-0800-000004000000}" name="Quintile 3" dataDxfId="449"/>
    <tableColumn id="5" xr3:uid="{00000000-0010-0000-0800-000005000000}" name="Quintile 4" dataDxfId="448"/>
    <tableColumn id="6" xr3:uid="{00000000-0010-0000-0800-000006000000}" name="Quintile 5 - 20% least deprived" dataDxfId="447"/>
    <tableColumn id="7" xr3:uid="{00000000-0010-0000-0800-000007000000}" name="All" dataDxfId="446"/>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0.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showGridLines="0" tabSelected="1" topLeftCell="A17" workbookViewId="0"/>
  </sheetViews>
  <sheetFormatPr defaultColWidth="11.42578125" defaultRowHeight="15" x14ac:dyDescent="0.25"/>
  <cols>
    <col min="1" max="1" width="85.7109375" customWidth="1"/>
  </cols>
  <sheetData>
    <row r="1" spans="1:1" ht="30" customHeight="1" x14ac:dyDescent="0.3">
      <c r="A1" s="1" t="s">
        <v>229</v>
      </c>
    </row>
    <row r="2" spans="1:1" ht="51.75" x14ac:dyDescent="0.3">
      <c r="A2" s="2" t="s">
        <v>230</v>
      </c>
    </row>
    <row r="3" spans="1:1" ht="30" customHeight="1" x14ac:dyDescent="0.3">
      <c r="A3" s="3" t="s">
        <v>13</v>
      </c>
    </row>
    <row r="4" spans="1:1" ht="34.5" x14ac:dyDescent="0.3">
      <c r="A4" s="2" t="s">
        <v>231</v>
      </c>
    </row>
    <row r="5" spans="1:1" ht="17.25" x14ac:dyDescent="0.3">
      <c r="A5" s="4" t="str">
        <f>HYPERLINK("https://www.gov.scot/collections/scottish-household-survey-publications/", "(Link to Scottish Household Survey publications webpage)")</f>
        <v>(Link to Scottish Household Survey publications webpage)</v>
      </c>
    </row>
    <row r="6" spans="1:1" ht="30" customHeight="1" x14ac:dyDescent="0.3">
      <c r="A6" s="3" t="s">
        <v>3</v>
      </c>
    </row>
    <row r="7" spans="1:1" ht="241.5" x14ac:dyDescent="0.3">
      <c r="A7" s="2" t="s">
        <v>232</v>
      </c>
    </row>
    <row r="8" spans="1:1" ht="30" customHeight="1" x14ac:dyDescent="0.3">
      <c r="A8" s="3" t="s">
        <v>4</v>
      </c>
    </row>
    <row r="9" spans="1:1" ht="34.5" x14ac:dyDescent="0.3">
      <c r="A9" s="2" t="s">
        <v>233</v>
      </c>
    </row>
    <row r="10" spans="1:1" ht="30" customHeight="1" x14ac:dyDescent="0.3">
      <c r="A10" s="3" t="s">
        <v>5</v>
      </c>
    </row>
    <row r="11" spans="1:1" ht="34.5" x14ac:dyDescent="0.3">
      <c r="A11" s="2" t="s">
        <v>234</v>
      </c>
    </row>
    <row r="12" spans="1:1" ht="30" customHeight="1" x14ac:dyDescent="0.3">
      <c r="A12" s="3" t="s">
        <v>6</v>
      </c>
    </row>
    <row r="13" spans="1:1" ht="69" x14ac:dyDescent="0.3">
      <c r="A13" s="2" t="s">
        <v>235</v>
      </c>
    </row>
    <row r="14" spans="1:1" ht="30" customHeight="1" x14ac:dyDescent="0.3">
      <c r="A14" s="3" t="s">
        <v>7</v>
      </c>
    </row>
    <row r="15" spans="1:1" ht="103.5" x14ac:dyDescent="0.3">
      <c r="A15" s="2" t="s">
        <v>236</v>
      </c>
    </row>
    <row r="16" spans="1:1" ht="30" customHeight="1" x14ac:dyDescent="0.3">
      <c r="A16" s="3" t="s">
        <v>8</v>
      </c>
    </row>
    <row r="17" spans="1:1" ht="86.25" x14ac:dyDescent="0.3">
      <c r="A17" s="2" t="s">
        <v>237</v>
      </c>
    </row>
    <row r="18" spans="1:1" ht="69" x14ac:dyDescent="0.3">
      <c r="A18" s="2" t="s">
        <v>238</v>
      </c>
    </row>
    <row r="19" spans="1:1" ht="51.75" x14ac:dyDescent="0.3">
      <c r="A19" s="2" t="s">
        <v>239</v>
      </c>
    </row>
    <row r="20" spans="1:1" ht="34.5" x14ac:dyDescent="0.3">
      <c r="A20" s="2" t="s">
        <v>240</v>
      </c>
    </row>
    <row r="21" spans="1:1" ht="34.5" x14ac:dyDescent="0.3">
      <c r="A21" s="2" t="s">
        <v>241</v>
      </c>
    </row>
    <row r="22" spans="1:1" ht="30" customHeight="1" x14ac:dyDescent="0.3">
      <c r="A22" s="3" t="s">
        <v>9</v>
      </c>
    </row>
    <row r="23" spans="1:1" ht="138" x14ac:dyDescent="0.3">
      <c r="A23" s="2" t="s">
        <v>242</v>
      </c>
    </row>
    <row r="24" spans="1:1" ht="34.5" x14ac:dyDescent="0.3">
      <c r="A24" s="4" t="str">
        <f>HYPERLINK("https://www.ons.gov.uk/methodology/methodologytopicsandstatisticalconcepts/uncertaintyandhowwemeasureit#confidence-interval", "Uncertainty and how we measure it for our surveys - Office for National Statistics (ons.gov.uk)")</f>
        <v>Uncertainty and how we measure it for our surveys - Office for National Statistics (ons.gov.uk)</v>
      </c>
    </row>
    <row r="25" spans="1:1" ht="17.25" x14ac:dyDescent="0.3">
      <c r="A25" s="2" t="s">
        <v>243</v>
      </c>
    </row>
    <row r="26" spans="1:1" ht="17.25" x14ac:dyDescent="0.3">
      <c r="A26" s="2" t="s">
        <v>244</v>
      </c>
    </row>
    <row r="27" spans="1:1" ht="17.25" x14ac:dyDescent="0.3">
      <c r="A27" s="2" t="s">
        <v>245</v>
      </c>
    </row>
    <row r="28" spans="1:1" ht="34.5" x14ac:dyDescent="0.3">
      <c r="A28" s="2" t="s">
        <v>246</v>
      </c>
    </row>
    <row r="29" spans="1:1" ht="51.75" x14ac:dyDescent="0.3">
      <c r="A29" s="2" t="s">
        <v>247</v>
      </c>
    </row>
    <row r="30" spans="1:1" ht="120.75" x14ac:dyDescent="0.3">
      <c r="A30" s="2" t="s">
        <v>248</v>
      </c>
    </row>
    <row r="31" spans="1:1" ht="155.25" x14ac:dyDescent="0.3">
      <c r="A31" s="2" t="s">
        <v>249</v>
      </c>
    </row>
    <row r="32" spans="1:1" ht="30" customHeight="1" x14ac:dyDescent="0.3">
      <c r="A32" s="3" t="s">
        <v>10</v>
      </c>
    </row>
    <row r="33" spans="1:1" ht="103.5" x14ac:dyDescent="0.3">
      <c r="A33" s="2" t="s">
        <v>250</v>
      </c>
    </row>
    <row r="34" spans="1:1" ht="103.5" x14ac:dyDescent="0.3">
      <c r="A34" s="2" t="s">
        <v>251</v>
      </c>
    </row>
    <row r="35" spans="1:1" ht="51.75" x14ac:dyDescent="0.3">
      <c r="A35" s="2" t="s">
        <v>252</v>
      </c>
    </row>
    <row r="36" spans="1:1" ht="69" x14ac:dyDescent="0.3">
      <c r="A36" s="2" t="s">
        <v>253</v>
      </c>
    </row>
    <row r="37" spans="1:1" ht="30" customHeight="1" x14ac:dyDescent="0.3">
      <c r="A37" s="3" t="s">
        <v>11</v>
      </c>
    </row>
    <row r="38" spans="1:1" ht="17.25" x14ac:dyDescent="0.3">
      <c r="A38" s="4" t="str">
        <f>HYPERLINK("https://www.gov.scot/collections/scottish-household-survey/", "SHS main webpage")</f>
        <v>SHS main webpage</v>
      </c>
    </row>
    <row r="39" spans="1:1" ht="30" customHeight="1" x14ac:dyDescent="0.3">
      <c r="A39" s="3" t="s">
        <v>12</v>
      </c>
    </row>
    <row r="40" spans="1:1" ht="17.25" x14ac:dyDescent="0.3">
      <c r="A40" s="4" t="str">
        <f>HYPERLINK("mailto:shs@gov.scot", "shs@gov.scot")</f>
        <v>shs@gov.scot</v>
      </c>
    </row>
    <row r="41" spans="1:1" ht="17.25" x14ac:dyDescent="0.3">
      <c r="A41" s="2"/>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67</v>
      </c>
      <c r="B1" s="5"/>
      <c r="C1" s="5"/>
      <c r="D1" s="5"/>
      <c r="E1" s="5"/>
      <c r="F1" s="5"/>
      <c r="G1" s="5"/>
      <c r="H1" s="5"/>
    </row>
    <row r="2" spans="1:8" ht="15.75" x14ac:dyDescent="0.25">
      <c r="A2" s="8" t="s">
        <v>17</v>
      </c>
      <c r="B2" s="9" t="s">
        <v>68</v>
      </c>
      <c r="C2" s="9" t="s">
        <v>69</v>
      </c>
      <c r="D2" s="9" t="s">
        <v>70</v>
      </c>
      <c r="E2" s="9" t="s">
        <v>71</v>
      </c>
      <c r="F2" s="9" t="s">
        <v>72</v>
      </c>
      <c r="G2" s="9" t="s">
        <v>73</v>
      </c>
      <c r="H2" s="9" t="s">
        <v>24</v>
      </c>
    </row>
    <row r="3" spans="1:8" ht="15.75" x14ac:dyDescent="0.25">
      <c r="A3" s="10" t="s">
        <v>61</v>
      </c>
      <c r="B3" s="11">
        <v>0.86</v>
      </c>
      <c r="C3" s="11">
        <v>0.85</v>
      </c>
      <c r="D3" s="11">
        <v>0.87</v>
      </c>
      <c r="E3" s="11">
        <v>0.89</v>
      </c>
      <c r="F3" s="11">
        <v>0.89</v>
      </c>
      <c r="G3" s="11">
        <v>0.92</v>
      </c>
      <c r="H3" s="11">
        <v>0.88</v>
      </c>
    </row>
    <row r="4" spans="1:8" ht="15.75" x14ac:dyDescent="0.25">
      <c r="A4" s="10" t="s">
        <v>62</v>
      </c>
      <c r="B4" s="11">
        <v>0.78</v>
      </c>
      <c r="C4" s="11">
        <v>0.76</v>
      </c>
      <c r="D4" s="11">
        <v>0.84</v>
      </c>
      <c r="E4" s="11">
        <v>0.84</v>
      </c>
      <c r="F4" s="11">
        <v>0.88</v>
      </c>
      <c r="G4" s="11">
        <v>0.92</v>
      </c>
      <c r="H4" s="11">
        <v>0.84</v>
      </c>
    </row>
    <row r="5" spans="1:8" ht="15.75" x14ac:dyDescent="0.25">
      <c r="A5" s="10" t="s">
        <v>63</v>
      </c>
      <c r="B5" s="11">
        <v>0.53</v>
      </c>
      <c r="C5" s="11">
        <v>0.55000000000000004</v>
      </c>
      <c r="D5" s="11">
        <v>0.53</v>
      </c>
      <c r="E5" s="11">
        <v>0.51</v>
      </c>
      <c r="F5" s="11">
        <v>0.55000000000000004</v>
      </c>
      <c r="G5" s="11">
        <v>0.54</v>
      </c>
      <c r="H5" s="11">
        <v>0.54</v>
      </c>
    </row>
    <row r="6" spans="1:8" ht="15.75" x14ac:dyDescent="0.25">
      <c r="A6" s="10" t="s">
        <v>64</v>
      </c>
      <c r="B6" s="11">
        <v>0.62</v>
      </c>
      <c r="C6" s="11">
        <v>0.64</v>
      </c>
      <c r="D6" s="11">
        <v>0.61</v>
      </c>
      <c r="E6" s="11">
        <v>0.61</v>
      </c>
      <c r="F6" s="11">
        <v>0.63</v>
      </c>
      <c r="G6" s="11">
        <v>0.61</v>
      </c>
      <c r="H6" s="11">
        <v>0.62</v>
      </c>
    </row>
    <row r="7" spans="1:8" ht="15.75" x14ac:dyDescent="0.25">
      <c r="A7" s="10" t="s">
        <v>74</v>
      </c>
      <c r="B7" s="11">
        <v>0.78</v>
      </c>
      <c r="C7" s="11">
        <v>0.72</v>
      </c>
      <c r="D7" s="11">
        <v>0.74</v>
      </c>
      <c r="E7" s="11">
        <v>0.75</v>
      </c>
      <c r="F7" s="11">
        <v>0.78</v>
      </c>
      <c r="G7" s="11">
        <v>0.78</v>
      </c>
      <c r="H7" s="11">
        <v>0.76</v>
      </c>
    </row>
    <row r="8" spans="1:8" ht="15.75" x14ac:dyDescent="0.25">
      <c r="A8" s="10" t="s">
        <v>75</v>
      </c>
      <c r="B8" s="11">
        <v>0.59</v>
      </c>
      <c r="C8" s="11">
        <v>0.62</v>
      </c>
      <c r="D8" s="11">
        <v>0.69</v>
      </c>
      <c r="E8" s="11">
        <v>0.71</v>
      </c>
      <c r="F8" s="11">
        <v>0.72</v>
      </c>
      <c r="G8" s="11">
        <v>0.73</v>
      </c>
      <c r="H8" s="11">
        <v>0.68</v>
      </c>
    </row>
    <row r="9" spans="1:8" ht="15.75" x14ac:dyDescent="0.25">
      <c r="A9" s="12" t="s">
        <v>31</v>
      </c>
      <c r="B9" s="13">
        <v>400</v>
      </c>
      <c r="C9" s="13">
        <v>900</v>
      </c>
      <c r="D9" s="13">
        <v>1050</v>
      </c>
      <c r="E9" s="13">
        <v>2160</v>
      </c>
      <c r="F9" s="13">
        <v>3210</v>
      </c>
      <c r="G9" s="13">
        <v>1310</v>
      </c>
      <c r="H9" s="13">
        <v>9030</v>
      </c>
    </row>
    <row r="10" spans="1:8" ht="15.75" x14ac:dyDescent="0.25">
      <c r="A10" s="14"/>
      <c r="B10" s="14"/>
      <c r="C10" s="14"/>
      <c r="D10" s="14"/>
      <c r="E10" s="14"/>
      <c r="F10" s="14"/>
      <c r="G10" s="14"/>
      <c r="H10" s="14"/>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1"/>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76</v>
      </c>
      <c r="B1" s="5"/>
      <c r="C1" s="5"/>
      <c r="D1" s="5"/>
      <c r="E1" s="5"/>
      <c r="F1" s="5"/>
      <c r="G1" s="5"/>
      <c r="H1" s="5"/>
    </row>
    <row r="2" spans="1:8" ht="103.5" x14ac:dyDescent="0.3">
      <c r="A2" s="2" t="s">
        <v>16</v>
      </c>
      <c r="B2" s="5"/>
      <c r="C2" s="5"/>
      <c r="D2" s="5"/>
      <c r="E2" s="5"/>
      <c r="F2" s="5"/>
      <c r="G2" s="5"/>
      <c r="H2" s="5"/>
    </row>
    <row r="3" spans="1:8" ht="30.75" x14ac:dyDescent="0.25">
      <c r="A3" s="8" t="s">
        <v>17</v>
      </c>
      <c r="B3" s="9" t="s">
        <v>18</v>
      </c>
      <c r="C3" s="9" t="s">
        <v>19</v>
      </c>
      <c r="D3" s="9" t="s">
        <v>20</v>
      </c>
      <c r="E3" s="9" t="s">
        <v>21</v>
      </c>
      <c r="F3" s="9" t="s">
        <v>22</v>
      </c>
      <c r="G3" s="9" t="s">
        <v>23</v>
      </c>
      <c r="H3" s="9" t="s">
        <v>24</v>
      </c>
    </row>
    <row r="4" spans="1:8" ht="15.75" x14ac:dyDescent="0.25">
      <c r="A4" s="10" t="s">
        <v>61</v>
      </c>
      <c r="B4" s="11">
        <v>0.84</v>
      </c>
      <c r="C4" s="11">
        <v>0.87</v>
      </c>
      <c r="D4" s="11">
        <v>0.91</v>
      </c>
      <c r="E4" s="11">
        <v>0.94</v>
      </c>
      <c r="F4" s="11">
        <v>0.95</v>
      </c>
      <c r="G4" s="11">
        <v>0.96</v>
      </c>
      <c r="H4" s="11">
        <v>0.88</v>
      </c>
    </row>
    <row r="5" spans="1:8" ht="15.75" x14ac:dyDescent="0.25">
      <c r="A5" s="10" t="s">
        <v>62</v>
      </c>
      <c r="B5" s="11">
        <v>0.78</v>
      </c>
      <c r="C5" s="11">
        <v>0.82</v>
      </c>
      <c r="D5" s="11">
        <v>0.9</v>
      </c>
      <c r="E5" s="11">
        <v>0.94</v>
      </c>
      <c r="F5" s="11">
        <v>0.92</v>
      </c>
      <c r="G5" s="11">
        <v>0.97</v>
      </c>
      <c r="H5" s="11">
        <v>0.84</v>
      </c>
    </row>
    <row r="6" spans="1:8" ht="15.75" x14ac:dyDescent="0.25">
      <c r="A6" s="10" t="s">
        <v>63</v>
      </c>
      <c r="B6" s="11">
        <v>0.5</v>
      </c>
      <c r="C6" s="11">
        <v>0.5</v>
      </c>
      <c r="D6" s="11">
        <v>0.65</v>
      </c>
      <c r="E6" s="11">
        <v>0.56999999999999995</v>
      </c>
      <c r="F6" s="11">
        <v>0.62</v>
      </c>
      <c r="G6" s="11">
        <v>0.64</v>
      </c>
      <c r="H6" s="11">
        <v>0.54</v>
      </c>
    </row>
    <row r="7" spans="1:8" ht="15.75" x14ac:dyDescent="0.25">
      <c r="A7" s="10" t="s">
        <v>64</v>
      </c>
      <c r="B7" s="11">
        <v>0.62</v>
      </c>
      <c r="C7" s="11">
        <v>0.56000000000000005</v>
      </c>
      <c r="D7" s="11">
        <v>0.72</v>
      </c>
      <c r="E7" s="11">
        <v>0.65</v>
      </c>
      <c r="F7" s="11">
        <v>0.66</v>
      </c>
      <c r="G7" s="11">
        <v>0.68</v>
      </c>
      <c r="H7" s="11">
        <v>0.62</v>
      </c>
    </row>
    <row r="8" spans="1:8" ht="15.75" x14ac:dyDescent="0.25">
      <c r="A8" s="10" t="s">
        <v>65</v>
      </c>
      <c r="B8" s="11">
        <v>0.76</v>
      </c>
      <c r="C8" s="11">
        <v>0.74</v>
      </c>
      <c r="D8" s="11">
        <v>0.76</v>
      </c>
      <c r="E8" s="11">
        <v>0.83</v>
      </c>
      <c r="F8" s="11">
        <v>0.79</v>
      </c>
      <c r="G8" s="11">
        <v>0.8</v>
      </c>
      <c r="H8" s="11">
        <v>0.76</v>
      </c>
    </row>
    <row r="9" spans="1:8" ht="15.75" x14ac:dyDescent="0.25">
      <c r="A9" s="10" t="s">
        <v>66</v>
      </c>
      <c r="B9" s="11">
        <v>0.62</v>
      </c>
      <c r="C9" s="11">
        <v>0.63</v>
      </c>
      <c r="D9" s="11">
        <v>0.79</v>
      </c>
      <c r="E9" s="11">
        <v>0.73</v>
      </c>
      <c r="F9" s="11">
        <v>0.84</v>
      </c>
      <c r="G9" s="11">
        <v>0.85</v>
      </c>
      <c r="H9" s="11">
        <v>0.68</v>
      </c>
    </row>
    <row r="10" spans="1:8" ht="15.75" x14ac:dyDescent="0.25">
      <c r="A10" s="12" t="s">
        <v>31</v>
      </c>
      <c r="B10" s="13">
        <v>2950</v>
      </c>
      <c r="C10" s="13">
        <v>2670</v>
      </c>
      <c r="D10" s="13">
        <v>850</v>
      </c>
      <c r="E10" s="13">
        <v>370</v>
      </c>
      <c r="F10" s="13">
        <v>1210</v>
      </c>
      <c r="G10" s="13">
        <v>990</v>
      </c>
      <c r="H10" s="13">
        <v>9030</v>
      </c>
    </row>
    <row r="11" spans="1:8" ht="15.75" x14ac:dyDescent="0.25">
      <c r="A11" s="14"/>
      <c r="B11" s="14"/>
      <c r="C11" s="14"/>
      <c r="D11" s="14"/>
      <c r="E11" s="14"/>
      <c r="F11" s="14"/>
      <c r="G11" s="14"/>
      <c r="H11" s="14"/>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77</v>
      </c>
      <c r="B1" s="5"/>
      <c r="C1" s="5"/>
      <c r="D1" s="5"/>
      <c r="E1" s="5"/>
      <c r="F1" s="5"/>
      <c r="G1" s="5"/>
    </row>
    <row r="2" spans="1:7" ht="120.75" x14ac:dyDescent="0.3">
      <c r="A2" s="2" t="s">
        <v>37</v>
      </c>
      <c r="B2" s="5"/>
      <c r="C2" s="5"/>
      <c r="D2" s="5"/>
      <c r="E2" s="5"/>
      <c r="F2" s="5"/>
      <c r="G2" s="5"/>
    </row>
    <row r="3" spans="1:7" ht="45.75" x14ac:dyDescent="0.25">
      <c r="A3" s="8" t="s">
        <v>17</v>
      </c>
      <c r="B3" s="9" t="s">
        <v>49</v>
      </c>
      <c r="C3" s="9" t="s">
        <v>50</v>
      </c>
      <c r="D3" s="9" t="s">
        <v>51</v>
      </c>
      <c r="E3" s="9" t="s">
        <v>52</v>
      </c>
      <c r="F3" s="9" t="s">
        <v>53</v>
      </c>
      <c r="G3" s="9" t="s">
        <v>24</v>
      </c>
    </row>
    <row r="4" spans="1:7" ht="15.75" x14ac:dyDescent="0.25">
      <c r="A4" s="10" t="s">
        <v>61</v>
      </c>
      <c r="B4" s="11">
        <v>0.76</v>
      </c>
      <c r="C4" s="11">
        <v>0.85</v>
      </c>
      <c r="D4" s="11">
        <v>0.89</v>
      </c>
      <c r="E4" s="11">
        <v>0.93</v>
      </c>
      <c r="F4" s="11">
        <v>0.95</v>
      </c>
      <c r="G4" s="11">
        <v>0.88</v>
      </c>
    </row>
    <row r="5" spans="1:7" ht="15.75" x14ac:dyDescent="0.25">
      <c r="A5" s="10" t="s">
        <v>62</v>
      </c>
      <c r="B5" s="11">
        <v>0.64</v>
      </c>
      <c r="C5" s="11">
        <v>0.76</v>
      </c>
      <c r="D5" s="11">
        <v>0.88</v>
      </c>
      <c r="E5" s="11">
        <v>0.92</v>
      </c>
      <c r="F5" s="11">
        <v>0.93</v>
      </c>
      <c r="G5" s="11">
        <v>0.84</v>
      </c>
    </row>
    <row r="6" spans="1:7" ht="15.75" x14ac:dyDescent="0.25">
      <c r="A6" s="10" t="s">
        <v>63</v>
      </c>
      <c r="B6" s="11">
        <v>0.45</v>
      </c>
      <c r="C6" s="11">
        <v>0.5</v>
      </c>
      <c r="D6" s="11">
        <v>0.56999999999999995</v>
      </c>
      <c r="E6" s="11">
        <v>0.56999999999999995</v>
      </c>
      <c r="F6" s="11">
        <v>0.56999999999999995</v>
      </c>
      <c r="G6" s="11">
        <v>0.54</v>
      </c>
    </row>
    <row r="7" spans="1:7" ht="15.75" x14ac:dyDescent="0.25">
      <c r="A7" s="10" t="s">
        <v>64</v>
      </c>
      <c r="B7" s="11">
        <v>0.54</v>
      </c>
      <c r="C7" s="11">
        <v>0.57999999999999996</v>
      </c>
      <c r="D7" s="11">
        <v>0.66</v>
      </c>
      <c r="E7" s="11">
        <v>0.65</v>
      </c>
      <c r="F7" s="11">
        <v>0.65</v>
      </c>
      <c r="G7" s="11">
        <v>0.62</v>
      </c>
    </row>
    <row r="8" spans="1:7" ht="15.75" x14ac:dyDescent="0.25">
      <c r="A8" s="10" t="s">
        <v>74</v>
      </c>
      <c r="B8" s="11">
        <v>0.68</v>
      </c>
      <c r="C8" s="11">
        <v>0.74</v>
      </c>
      <c r="D8" s="11">
        <v>0.76</v>
      </c>
      <c r="E8" s="11">
        <v>0.79</v>
      </c>
      <c r="F8" s="11">
        <v>0.82</v>
      </c>
      <c r="G8" s="11">
        <v>0.76</v>
      </c>
    </row>
    <row r="9" spans="1:7" ht="15.75" x14ac:dyDescent="0.25">
      <c r="A9" s="10" t="s">
        <v>66</v>
      </c>
      <c r="B9" s="11">
        <v>0.52</v>
      </c>
      <c r="C9" s="11">
        <v>0.6</v>
      </c>
      <c r="D9" s="11">
        <v>0.71</v>
      </c>
      <c r="E9" s="11">
        <v>0.78</v>
      </c>
      <c r="F9" s="11">
        <v>0.76</v>
      </c>
      <c r="G9" s="11">
        <v>0.68</v>
      </c>
    </row>
    <row r="10" spans="1:7" ht="15.75" x14ac:dyDescent="0.25">
      <c r="A10" s="12" t="s">
        <v>31</v>
      </c>
      <c r="B10" s="13">
        <v>1180</v>
      </c>
      <c r="C10" s="13">
        <v>1540</v>
      </c>
      <c r="D10" s="13">
        <v>1980</v>
      </c>
      <c r="E10" s="13">
        <v>2230</v>
      </c>
      <c r="F10" s="13">
        <v>2110</v>
      </c>
      <c r="G10" s="13">
        <v>9030</v>
      </c>
    </row>
    <row r="11" spans="1:7" ht="15.75" x14ac:dyDescent="0.25">
      <c r="A11" s="14"/>
      <c r="B11" s="14"/>
      <c r="C11" s="14"/>
      <c r="D11" s="14"/>
      <c r="E11" s="14"/>
      <c r="F11" s="14"/>
      <c r="G11" s="14"/>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78</v>
      </c>
      <c r="B1" s="5"/>
      <c r="C1" s="5"/>
      <c r="D1" s="5"/>
      <c r="E1" s="5"/>
      <c r="F1" s="5"/>
    </row>
    <row r="2" spans="1:6" ht="30.75" x14ac:dyDescent="0.25">
      <c r="A2" s="8" t="s">
        <v>17</v>
      </c>
      <c r="B2" s="9" t="s">
        <v>79</v>
      </c>
      <c r="C2" s="9" t="s">
        <v>80</v>
      </c>
      <c r="D2" s="9" t="s">
        <v>81</v>
      </c>
      <c r="E2" s="9" t="s">
        <v>82</v>
      </c>
      <c r="F2" s="9" t="s">
        <v>24</v>
      </c>
    </row>
    <row r="3" spans="1:6" ht="15.75" x14ac:dyDescent="0.25">
      <c r="A3" s="10" t="s">
        <v>61</v>
      </c>
      <c r="B3" s="11">
        <v>0.91</v>
      </c>
      <c r="C3" s="11">
        <v>0.77</v>
      </c>
      <c r="D3" s="11">
        <v>0.79</v>
      </c>
      <c r="E3" s="11">
        <v>0.83</v>
      </c>
      <c r="F3" s="11">
        <v>0.88</v>
      </c>
    </row>
    <row r="4" spans="1:6" ht="15.75" x14ac:dyDescent="0.25">
      <c r="A4" s="10" t="s">
        <v>62</v>
      </c>
      <c r="B4" s="11">
        <v>0.89</v>
      </c>
      <c r="C4" s="11">
        <v>0.65</v>
      </c>
      <c r="D4" s="11">
        <v>0.69</v>
      </c>
      <c r="E4" s="11">
        <v>0.84</v>
      </c>
      <c r="F4" s="11">
        <v>0.84</v>
      </c>
    </row>
    <row r="5" spans="1:6" ht="15.75" x14ac:dyDescent="0.25">
      <c r="A5" s="10" t="s">
        <v>63</v>
      </c>
      <c r="B5" s="11">
        <v>0.55000000000000004</v>
      </c>
      <c r="C5" s="11">
        <v>0.46</v>
      </c>
      <c r="D5" s="11">
        <v>0.51</v>
      </c>
      <c r="E5" s="11">
        <v>0.43</v>
      </c>
      <c r="F5" s="11">
        <v>0.54</v>
      </c>
    </row>
    <row r="6" spans="1:6" ht="15.75" x14ac:dyDescent="0.25">
      <c r="A6" s="10" t="s">
        <v>64</v>
      </c>
      <c r="B6" s="11">
        <v>0.63</v>
      </c>
      <c r="C6" s="11">
        <v>0.54</v>
      </c>
      <c r="D6" s="11">
        <v>0.65</v>
      </c>
      <c r="E6" s="11">
        <v>0.53</v>
      </c>
      <c r="F6" s="11">
        <v>0.62</v>
      </c>
    </row>
    <row r="7" spans="1:6" ht="15.75" x14ac:dyDescent="0.25">
      <c r="A7" s="10" t="s">
        <v>74</v>
      </c>
      <c r="B7" s="11">
        <v>0.78</v>
      </c>
      <c r="C7" s="11">
        <v>0.68</v>
      </c>
      <c r="D7" s="11">
        <v>0.72</v>
      </c>
      <c r="E7" s="11">
        <v>0.66</v>
      </c>
      <c r="F7" s="11">
        <v>0.76</v>
      </c>
    </row>
    <row r="8" spans="1:6" ht="15.75" x14ac:dyDescent="0.25">
      <c r="A8" s="10" t="s">
        <v>75</v>
      </c>
      <c r="B8" s="11">
        <v>0.73</v>
      </c>
      <c r="C8" s="11">
        <v>0.56000000000000005</v>
      </c>
      <c r="D8" s="11">
        <v>0.54</v>
      </c>
      <c r="E8" s="11">
        <v>0.61</v>
      </c>
      <c r="F8" s="11">
        <v>0.68</v>
      </c>
    </row>
    <row r="9" spans="1:6" ht="15.75" x14ac:dyDescent="0.25">
      <c r="A9" s="12" t="s">
        <v>31</v>
      </c>
      <c r="B9" s="13">
        <v>7020</v>
      </c>
      <c r="C9" s="13">
        <v>1180</v>
      </c>
      <c r="D9" s="13">
        <v>750</v>
      </c>
      <c r="E9" s="13">
        <v>80</v>
      </c>
      <c r="F9" s="13">
        <v>9030</v>
      </c>
    </row>
    <row r="10" spans="1:6" ht="15.75" x14ac:dyDescent="0.25">
      <c r="A10" s="14"/>
      <c r="B10" s="14"/>
      <c r="C10" s="14"/>
      <c r="D10" s="14"/>
      <c r="E10" s="14"/>
      <c r="F10" s="14"/>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0"/>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83</v>
      </c>
      <c r="B1" s="5"/>
      <c r="C1" s="5"/>
      <c r="D1" s="5"/>
      <c r="E1" s="5"/>
      <c r="F1" s="5"/>
    </row>
    <row r="2" spans="1:6" ht="45.75" x14ac:dyDescent="0.25">
      <c r="A2" s="8" t="s">
        <v>17</v>
      </c>
      <c r="B2" s="9" t="s">
        <v>84</v>
      </c>
      <c r="C2" s="9" t="s">
        <v>85</v>
      </c>
      <c r="D2" s="9" t="s">
        <v>86</v>
      </c>
      <c r="E2" s="9" t="s">
        <v>87</v>
      </c>
      <c r="F2" s="9" t="s">
        <v>24</v>
      </c>
    </row>
    <row r="3" spans="1:6" ht="15.75" x14ac:dyDescent="0.25">
      <c r="A3" s="10" t="s">
        <v>88</v>
      </c>
      <c r="B3" s="11">
        <v>0.36</v>
      </c>
      <c r="C3" s="11">
        <v>0.4</v>
      </c>
      <c r="D3" s="11" t="s">
        <v>14</v>
      </c>
      <c r="E3" s="11" t="s">
        <v>14</v>
      </c>
      <c r="F3" s="11">
        <v>0.38</v>
      </c>
    </row>
    <row r="4" spans="1:6" ht="15.75" x14ac:dyDescent="0.25">
      <c r="A4" s="10" t="s">
        <v>89</v>
      </c>
      <c r="B4" s="11">
        <v>0.44</v>
      </c>
      <c r="C4" s="11">
        <v>0.42</v>
      </c>
      <c r="D4" s="11" t="s">
        <v>14</v>
      </c>
      <c r="E4" s="11" t="s">
        <v>14</v>
      </c>
      <c r="F4" s="11">
        <v>0.43</v>
      </c>
    </row>
    <row r="5" spans="1:6" ht="15.75" x14ac:dyDescent="0.25">
      <c r="A5" s="10" t="s">
        <v>90</v>
      </c>
      <c r="B5" s="11">
        <v>0.15</v>
      </c>
      <c r="C5" s="11">
        <v>0.14000000000000001</v>
      </c>
      <c r="D5" s="11" t="s">
        <v>14</v>
      </c>
      <c r="E5" s="11" t="s">
        <v>14</v>
      </c>
      <c r="F5" s="11">
        <v>0.15</v>
      </c>
    </row>
    <row r="6" spans="1:6" ht="15.75" x14ac:dyDescent="0.25">
      <c r="A6" s="10" t="s">
        <v>91</v>
      </c>
      <c r="B6" s="11">
        <v>0.04</v>
      </c>
      <c r="C6" s="11">
        <v>0.04</v>
      </c>
      <c r="D6" s="11" t="s">
        <v>14</v>
      </c>
      <c r="E6" s="11" t="s">
        <v>14</v>
      </c>
      <c r="F6" s="11">
        <v>0.04</v>
      </c>
    </row>
    <row r="7" spans="1:6" ht="15.75" x14ac:dyDescent="0.25">
      <c r="A7" s="10" t="s">
        <v>60</v>
      </c>
      <c r="B7" s="11">
        <v>0.01</v>
      </c>
      <c r="C7" s="11">
        <v>0</v>
      </c>
      <c r="D7" s="11" t="s">
        <v>14</v>
      </c>
      <c r="E7" s="11" t="s">
        <v>14</v>
      </c>
      <c r="F7" s="11">
        <v>0</v>
      </c>
    </row>
    <row r="8" spans="1:6" ht="15.75" x14ac:dyDescent="0.25">
      <c r="A8" s="10" t="s">
        <v>24</v>
      </c>
      <c r="B8" s="11">
        <v>1</v>
      </c>
      <c r="C8" s="11">
        <v>1</v>
      </c>
      <c r="D8" s="11" t="s">
        <v>14</v>
      </c>
      <c r="E8" s="11" t="s">
        <v>14</v>
      </c>
      <c r="F8" s="11">
        <v>1</v>
      </c>
    </row>
    <row r="9" spans="1:6" ht="15.75" x14ac:dyDescent="0.25">
      <c r="A9" s="12" t="s">
        <v>31</v>
      </c>
      <c r="B9" s="13">
        <v>3880</v>
      </c>
      <c r="C9" s="13">
        <v>5120</v>
      </c>
      <c r="D9" s="13">
        <v>30</v>
      </c>
      <c r="E9" s="13">
        <v>0</v>
      </c>
      <c r="F9" s="13">
        <v>9030</v>
      </c>
    </row>
    <row r="10" spans="1:6" ht="15.75" x14ac:dyDescent="0.25">
      <c r="A10" s="14"/>
      <c r="B10" s="14"/>
      <c r="C10" s="14"/>
      <c r="D10" s="14"/>
      <c r="E10" s="14"/>
      <c r="F10" s="14"/>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92</v>
      </c>
      <c r="B1" s="5"/>
      <c r="C1" s="5"/>
      <c r="D1" s="5"/>
      <c r="E1" s="5"/>
      <c r="F1" s="5"/>
      <c r="G1" s="5"/>
      <c r="H1" s="5"/>
    </row>
    <row r="2" spans="1:8" ht="15.75" x14ac:dyDescent="0.25">
      <c r="A2" s="8" t="s">
        <v>17</v>
      </c>
      <c r="B2" s="9" t="s">
        <v>68</v>
      </c>
      <c r="C2" s="9" t="s">
        <v>69</v>
      </c>
      <c r="D2" s="9" t="s">
        <v>70</v>
      </c>
      <c r="E2" s="9" t="s">
        <v>71</v>
      </c>
      <c r="F2" s="9" t="s">
        <v>72</v>
      </c>
      <c r="G2" s="9" t="s">
        <v>73</v>
      </c>
      <c r="H2" s="9" t="s">
        <v>24</v>
      </c>
    </row>
    <row r="3" spans="1:8" ht="15.75" x14ac:dyDescent="0.25">
      <c r="A3" s="10" t="s">
        <v>88</v>
      </c>
      <c r="B3" s="11">
        <v>0.33</v>
      </c>
      <c r="C3" s="11">
        <v>0.23</v>
      </c>
      <c r="D3" s="11">
        <v>0.3</v>
      </c>
      <c r="E3" s="11">
        <v>0.39</v>
      </c>
      <c r="F3" s="11">
        <v>0.48</v>
      </c>
      <c r="G3" s="11">
        <v>0.56000000000000005</v>
      </c>
      <c r="H3" s="11">
        <v>0.38</v>
      </c>
    </row>
    <row r="4" spans="1:8" ht="15.75" x14ac:dyDescent="0.25">
      <c r="A4" s="10" t="s">
        <v>89</v>
      </c>
      <c r="B4" s="11">
        <v>0.44</v>
      </c>
      <c r="C4" s="11">
        <v>0.47</v>
      </c>
      <c r="D4" s="11">
        <v>0.47</v>
      </c>
      <c r="E4" s="11">
        <v>0.44</v>
      </c>
      <c r="F4" s="11">
        <v>0.4</v>
      </c>
      <c r="G4" s="11">
        <v>0.34</v>
      </c>
      <c r="H4" s="11">
        <v>0.43</v>
      </c>
    </row>
    <row r="5" spans="1:8" ht="15.75" x14ac:dyDescent="0.25">
      <c r="A5" s="10" t="s">
        <v>90</v>
      </c>
      <c r="B5" s="11">
        <v>0.19</v>
      </c>
      <c r="C5" s="11">
        <v>0.23</v>
      </c>
      <c r="D5" s="11">
        <v>0.18</v>
      </c>
      <c r="E5" s="11">
        <v>0.12</v>
      </c>
      <c r="F5" s="11">
        <v>0.09</v>
      </c>
      <c r="G5" s="11">
        <v>0.09</v>
      </c>
      <c r="H5" s="11">
        <v>0.15</v>
      </c>
    </row>
    <row r="6" spans="1:8" ht="15.75" x14ac:dyDescent="0.25">
      <c r="A6" s="10" t="s">
        <v>91</v>
      </c>
      <c r="B6" s="11">
        <v>0.04</v>
      </c>
      <c r="C6" s="11">
        <v>0.06</v>
      </c>
      <c r="D6" s="11">
        <v>0.05</v>
      </c>
      <c r="E6" s="11">
        <v>0.04</v>
      </c>
      <c r="F6" s="11">
        <v>0.02</v>
      </c>
      <c r="G6" s="11">
        <v>0.01</v>
      </c>
      <c r="H6" s="11">
        <v>0.04</v>
      </c>
    </row>
    <row r="7" spans="1:8" ht="15.75" x14ac:dyDescent="0.25">
      <c r="A7" s="10" t="s">
        <v>60</v>
      </c>
      <c r="B7" s="11">
        <v>0</v>
      </c>
      <c r="C7" s="11">
        <v>0.01</v>
      </c>
      <c r="D7" s="11">
        <v>0</v>
      </c>
      <c r="E7" s="11">
        <v>0.01</v>
      </c>
      <c r="F7" s="11">
        <v>0</v>
      </c>
      <c r="G7" s="11">
        <v>0</v>
      </c>
      <c r="H7" s="11">
        <v>0</v>
      </c>
    </row>
    <row r="8" spans="1:8" ht="15.75" x14ac:dyDescent="0.25">
      <c r="A8" s="10" t="s">
        <v>24</v>
      </c>
      <c r="B8" s="11">
        <v>1</v>
      </c>
      <c r="C8" s="11">
        <v>1</v>
      </c>
      <c r="D8" s="11">
        <v>1</v>
      </c>
      <c r="E8" s="11">
        <v>1</v>
      </c>
      <c r="F8" s="11">
        <v>1</v>
      </c>
      <c r="G8" s="11">
        <v>1</v>
      </c>
      <c r="H8" s="11">
        <v>1</v>
      </c>
    </row>
    <row r="9" spans="1:8" ht="15.75" x14ac:dyDescent="0.25">
      <c r="A9" s="12" t="s">
        <v>31</v>
      </c>
      <c r="B9" s="13">
        <v>400</v>
      </c>
      <c r="C9" s="13">
        <v>900</v>
      </c>
      <c r="D9" s="13">
        <v>1050</v>
      </c>
      <c r="E9" s="13">
        <v>2160</v>
      </c>
      <c r="F9" s="13">
        <v>3210</v>
      </c>
      <c r="G9" s="13">
        <v>1310</v>
      </c>
      <c r="H9" s="13">
        <v>9030</v>
      </c>
    </row>
    <row r="10" spans="1:8" ht="15.75" x14ac:dyDescent="0.25">
      <c r="A10" s="14"/>
      <c r="B10" s="14"/>
      <c r="C10" s="14"/>
      <c r="D10" s="14"/>
      <c r="E10" s="14"/>
      <c r="F10" s="14"/>
      <c r="G10" s="14"/>
      <c r="H10" s="14"/>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93</v>
      </c>
      <c r="B1" s="5"/>
      <c r="C1" s="5"/>
      <c r="D1" s="5"/>
      <c r="E1" s="5"/>
      <c r="F1" s="5"/>
      <c r="G1" s="5"/>
      <c r="H1" s="5"/>
    </row>
    <row r="2" spans="1:8" ht="69" x14ac:dyDescent="0.3">
      <c r="A2" s="2" t="s">
        <v>94</v>
      </c>
      <c r="B2" s="5"/>
      <c r="C2" s="5"/>
      <c r="D2" s="5"/>
      <c r="E2" s="5"/>
      <c r="F2" s="5"/>
      <c r="G2" s="5"/>
      <c r="H2" s="5"/>
    </row>
    <row r="3" spans="1:8" ht="30.75" x14ac:dyDescent="0.25">
      <c r="A3" s="8" t="s">
        <v>17</v>
      </c>
      <c r="B3" s="9" t="s">
        <v>95</v>
      </c>
      <c r="C3" s="9" t="s">
        <v>96</v>
      </c>
      <c r="D3" s="9" t="s">
        <v>97</v>
      </c>
      <c r="E3" s="9" t="s">
        <v>98</v>
      </c>
      <c r="F3" s="9" t="s">
        <v>60</v>
      </c>
      <c r="G3" s="9" t="s">
        <v>87</v>
      </c>
      <c r="H3" s="9" t="s">
        <v>24</v>
      </c>
    </row>
    <row r="4" spans="1:8" ht="15.75" x14ac:dyDescent="0.25">
      <c r="A4" s="10" t="s">
        <v>88</v>
      </c>
      <c r="B4" s="11">
        <v>0.41</v>
      </c>
      <c r="C4" s="11">
        <v>0.34</v>
      </c>
      <c r="D4" s="11">
        <v>0.23</v>
      </c>
      <c r="E4" s="11">
        <v>0.19</v>
      </c>
      <c r="F4" s="11" t="s">
        <v>14</v>
      </c>
      <c r="G4" s="11" t="s">
        <v>14</v>
      </c>
      <c r="H4" s="11">
        <v>0.38</v>
      </c>
    </row>
    <row r="5" spans="1:8" ht="15.75" x14ac:dyDescent="0.25">
      <c r="A5" s="10" t="s">
        <v>89</v>
      </c>
      <c r="B5" s="11">
        <v>0.43</v>
      </c>
      <c r="C5" s="11">
        <v>0.46</v>
      </c>
      <c r="D5" s="11">
        <v>0.44</v>
      </c>
      <c r="E5" s="11">
        <v>0.46</v>
      </c>
      <c r="F5" s="11" t="s">
        <v>14</v>
      </c>
      <c r="G5" s="11" t="s">
        <v>14</v>
      </c>
      <c r="H5" s="11">
        <v>0.43</v>
      </c>
    </row>
    <row r="6" spans="1:8" ht="15.75" x14ac:dyDescent="0.25">
      <c r="A6" s="10" t="s">
        <v>90</v>
      </c>
      <c r="B6" s="11">
        <v>0.13</v>
      </c>
      <c r="C6" s="11">
        <v>0.15</v>
      </c>
      <c r="D6" s="11">
        <v>0.25</v>
      </c>
      <c r="E6" s="11">
        <v>0.25</v>
      </c>
      <c r="F6" s="11" t="s">
        <v>14</v>
      </c>
      <c r="G6" s="11" t="s">
        <v>14</v>
      </c>
      <c r="H6" s="11">
        <v>0.15</v>
      </c>
    </row>
    <row r="7" spans="1:8" ht="15.75" x14ac:dyDescent="0.25">
      <c r="A7" s="10" t="s">
        <v>91</v>
      </c>
      <c r="B7" s="11">
        <v>0.03</v>
      </c>
      <c r="C7" s="11">
        <v>0.04</v>
      </c>
      <c r="D7" s="11">
        <v>0.08</v>
      </c>
      <c r="E7" s="11">
        <v>0.1</v>
      </c>
      <c r="F7" s="11" t="s">
        <v>14</v>
      </c>
      <c r="G7" s="11" t="s">
        <v>14</v>
      </c>
      <c r="H7" s="11">
        <v>0.04</v>
      </c>
    </row>
    <row r="8" spans="1:8" ht="15.75" x14ac:dyDescent="0.25">
      <c r="A8" s="10" t="s">
        <v>60</v>
      </c>
      <c r="B8" s="11">
        <v>0</v>
      </c>
      <c r="C8" s="11">
        <v>0</v>
      </c>
      <c r="D8" s="11">
        <v>0</v>
      </c>
      <c r="E8" s="11">
        <v>0</v>
      </c>
      <c r="F8" s="11" t="s">
        <v>14</v>
      </c>
      <c r="G8" s="11" t="s">
        <v>14</v>
      </c>
      <c r="H8" s="11">
        <v>0</v>
      </c>
    </row>
    <row r="9" spans="1:8" ht="15.75" x14ac:dyDescent="0.25">
      <c r="A9" s="10" t="s">
        <v>24</v>
      </c>
      <c r="B9" s="11">
        <v>1</v>
      </c>
      <c r="C9" s="11">
        <v>1</v>
      </c>
      <c r="D9" s="11">
        <v>1</v>
      </c>
      <c r="E9" s="11">
        <v>1</v>
      </c>
      <c r="F9" s="11" t="s">
        <v>14</v>
      </c>
      <c r="G9" s="11" t="s">
        <v>14</v>
      </c>
      <c r="H9" s="11">
        <v>1</v>
      </c>
    </row>
    <row r="10" spans="1:8" ht="15.75" x14ac:dyDescent="0.25">
      <c r="A10" s="12" t="s">
        <v>31</v>
      </c>
      <c r="B10" s="13">
        <v>6510</v>
      </c>
      <c r="C10" s="13">
        <v>1810</v>
      </c>
      <c r="D10" s="13">
        <v>490</v>
      </c>
      <c r="E10" s="13">
        <v>210</v>
      </c>
      <c r="F10" s="13">
        <v>10</v>
      </c>
      <c r="G10" s="13">
        <v>10</v>
      </c>
      <c r="H10" s="13">
        <v>9030</v>
      </c>
    </row>
    <row r="11" spans="1:8" ht="15.75" x14ac:dyDescent="0.25">
      <c r="A11" s="14"/>
      <c r="B11" s="14"/>
      <c r="C11" s="14"/>
      <c r="D11" s="14"/>
      <c r="E11" s="14"/>
      <c r="F11" s="14"/>
      <c r="G11" s="14"/>
      <c r="H11" s="14"/>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99</v>
      </c>
      <c r="B1" s="5"/>
      <c r="C1" s="5"/>
      <c r="D1" s="5"/>
      <c r="E1" s="5"/>
      <c r="F1" s="5"/>
      <c r="G1" s="5"/>
    </row>
    <row r="2" spans="1:7" ht="120.75" x14ac:dyDescent="0.3">
      <c r="A2" s="2" t="s">
        <v>37</v>
      </c>
      <c r="B2" s="5"/>
      <c r="C2" s="5"/>
      <c r="D2" s="5"/>
      <c r="E2" s="5"/>
      <c r="F2" s="5"/>
      <c r="G2" s="5"/>
    </row>
    <row r="3" spans="1:7" ht="45.75" x14ac:dyDescent="0.25">
      <c r="A3" s="8" t="s">
        <v>17</v>
      </c>
      <c r="B3" s="9" t="s">
        <v>49</v>
      </c>
      <c r="C3" s="9" t="s">
        <v>50</v>
      </c>
      <c r="D3" s="9" t="s">
        <v>51</v>
      </c>
      <c r="E3" s="9" t="s">
        <v>52</v>
      </c>
      <c r="F3" s="9" t="s">
        <v>53</v>
      </c>
      <c r="G3" s="9" t="s">
        <v>24</v>
      </c>
    </row>
    <row r="4" spans="1:7" ht="15.75" x14ac:dyDescent="0.25">
      <c r="A4" s="10" t="s">
        <v>88</v>
      </c>
      <c r="B4" s="11">
        <v>0.28999999999999998</v>
      </c>
      <c r="C4" s="11">
        <v>0.34</v>
      </c>
      <c r="D4" s="11">
        <v>0.4</v>
      </c>
      <c r="E4" s="11">
        <v>0.42</v>
      </c>
      <c r="F4" s="11">
        <v>0.44</v>
      </c>
      <c r="G4" s="11">
        <v>0.38</v>
      </c>
    </row>
    <row r="5" spans="1:7" ht="15.75" x14ac:dyDescent="0.25">
      <c r="A5" s="10" t="s">
        <v>89</v>
      </c>
      <c r="B5" s="11">
        <v>0.38</v>
      </c>
      <c r="C5" s="11">
        <v>0.45</v>
      </c>
      <c r="D5" s="11">
        <v>0.45</v>
      </c>
      <c r="E5" s="11">
        <v>0.43</v>
      </c>
      <c r="F5" s="11">
        <v>0.45</v>
      </c>
      <c r="G5" s="11">
        <v>0.43</v>
      </c>
    </row>
    <row r="6" spans="1:7" ht="15.75" x14ac:dyDescent="0.25">
      <c r="A6" s="10" t="s">
        <v>90</v>
      </c>
      <c r="B6" s="11">
        <v>0.24</v>
      </c>
      <c r="C6" s="11">
        <v>0.16</v>
      </c>
      <c r="D6" s="11">
        <v>0.12</v>
      </c>
      <c r="E6" s="11">
        <v>0.13</v>
      </c>
      <c r="F6" s="11">
        <v>0.1</v>
      </c>
      <c r="G6" s="11">
        <v>0.15</v>
      </c>
    </row>
    <row r="7" spans="1:7" ht="15.75" x14ac:dyDescent="0.25">
      <c r="A7" s="10" t="s">
        <v>91</v>
      </c>
      <c r="B7" s="11">
        <v>0.09</v>
      </c>
      <c r="C7" s="11">
        <v>0.05</v>
      </c>
      <c r="D7" s="11">
        <v>0.02</v>
      </c>
      <c r="E7" s="11">
        <v>0.02</v>
      </c>
      <c r="F7" s="11">
        <v>0.01</v>
      </c>
      <c r="G7" s="11">
        <v>0.04</v>
      </c>
    </row>
    <row r="8" spans="1:7" ht="15.75" x14ac:dyDescent="0.25">
      <c r="A8" s="10" t="s">
        <v>60</v>
      </c>
      <c r="B8" s="11">
        <v>0.01</v>
      </c>
      <c r="C8" s="11">
        <v>0.01</v>
      </c>
      <c r="D8" s="11">
        <v>0</v>
      </c>
      <c r="E8" s="11">
        <v>0.01</v>
      </c>
      <c r="F8" s="11">
        <v>0</v>
      </c>
      <c r="G8" s="11">
        <v>0</v>
      </c>
    </row>
    <row r="9" spans="1:7" ht="15.75" x14ac:dyDescent="0.25">
      <c r="A9" s="10" t="s">
        <v>24</v>
      </c>
      <c r="B9" s="11">
        <v>1</v>
      </c>
      <c r="C9" s="11">
        <v>1</v>
      </c>
      <c r="D9" s="11">
        <v>1</v>
      </c>
      <c r="E9" s="11">
        <v>1</v>
      </c>
      <c r="F9" s="11">
        <v>1</v>
      </c>
      <c r="G9" s="11">
        <v>1</v>
      </c>
    </row>
    <row r="10" spans="1:7" ht="15.75" x14ac:dyDescent="0.25">
      <c r="A10" s="12" t="s">
        <v>31</v>
      </c>
      <c r="B10" s="13">
        <v>1180</v>
      </c>
      <c r="C10" s="13">
        <v>1540</v>
      </c>
      <c r="D10" s="13">
        <v>1980</v>
      </c>
      <c r="E10" s="13">
        <v>2230</v>
      </c>
      <c r="F10" s="13">
        <v>2110</v>
      </c>
      <c r="G10" s="13">
        <v>9030</v>
      </c>
    </row>
    <row r="11" spans="1:7" ht="15.75" x14ac:dyDescent="0.25">
      <c r="A11" s="14"/>
      <c r="B11" s="14"/>
      <c r="C11" s="14"/>
      <c r="D11" s="14"/>
      <c r="E11" s="14"/>
      <c r="F11" s="14"/>
      <c r="G11" s="14"/>
    </row>
  </sheetData>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0"/>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100</v>
      </c>
      <c r="B1" s="5"/>
      <c r="C1" s="5"/>
      <c r="D1" s="5"/>
      <c r="E1" s="5"/>
      <c r="F1" s="5"/>
    </row>
    <row r="2" spans="1:6" ht="30.75" x14ac:dyDescent="0.25">
      <c r="A2" s="8" t="s">
        <v>17</v>
      </c>
      <c r="B2" s="9" t="s">
        <v>79</v>
      </c>
      <c r="C2" s="9" t="s">
        <v>80</v>
      </c>
      <c r="D2" s="9" t="s">
        <v>81</v>
      </c>
      <c r="E2" s="9" t="s">
        <v>82</v>
      </c>
      <c r="F2" s="9" t="s">
        <v>24</v>
      </c>
    </row>
    <row r="3" spans="1:6" ht="15.75" x14ac:dyDescent="0.25">
      <c r="A3" s="10" t="s">
        <v>88</v>
      </c>
      <c r="B3" s="11">
        <v>0.42</v>
      </c>
      <c r="C3" s="11">
        <v>0.31</v>
      </c>
      <c r="D3" s="11">
        <v>0.18</v>
      </c>
      <c r="E3" s="11">
        <v>0.47</v>
      </c>
      <c r="F3" s="11">
        <v>0.38</v>
      </c>
    </row>
    <row r="4" spans="1:6" ht="15.75" x14ac:dyDescent="0.25">
      <c r="A4" s="10" t="s">
        <v>89</v>
      </c>
      <c r="B4" s="11">
        <v>0.44</v>
      </c>
      <c r="C4" s="11">
        <v>0.43</v>
      </c>
      <c r="D4" s="11">
        <v>0.4</v>
      </c>
      <c r="E4" s="11">
        <v>0.26</v>
      </c>
      <c r="F4" s="11">
        <v>0.43</v>
      </c>
    </row>
    <row r="5" spans="1:6" ht="15.75" x14ac:dyDescent="0.25">
      <c r="A5" s="10" t="s">
        <v>90</v>
      </c>
      <c r="B5" s="11">
        <v>0.12</v>
      </c>
      <c r="C5" s="11">
        <v>0.16</v>
      </c>
      <c r="D5" s="11">
        <v>0.31</v>
      </c>
      <c r="E5" s="11">
        <v>0.13</v>
      </c>
      <c r="F5" s="11">
        <v>0.15</v>
      </c>
    </row>
    <row r="6" spans="1:6" ht="15.75" x14ac:dyDescent="0.25">
      <c r="A6" s="10" t="s">
        <v>91</v>
      </c>
      <c r="B6" s="11">
        <v>0.02</v>
      </c>
      <c r="C6" s="11">
        <v>0.09</v>
      </c>
      <c r="D6" s="11">
        <v>0.1</v>
      </c>
      <c r="E6" s="11">
        <v>0.14000000000000001</v>
      </c>
      <c r="F6" s="11">
        <v>0.04</v>
      </c>
    </row>
    <row r="7" spans="1:6" ht="15.75" x14ac:dyDescent="0.25">
      <c r="A7" s="10" t="s">
        <v>60</v>
      </c>
      <c r="B7" s="11">
        <v>0</v>
      </c>
      <c r="C7" s="11">
        <v>0.01</v>
      </c>
      <c r="D7" s="11">
        <v>0.01</v>
      </c>
      <c r="E7" s="11">
        <v>0</v>
      </c>
      <c r="F7" s="11">
        <v>0</v>
      </c>
    </row>
    <row r="8" spans="1:6" ht="15.75" x14ac:dyDescent="0.25">
      <c r="A8" s="10" t="s">
        <v>24</v>
      </c>
      <c r="B8" s="11">
        <v>1</v>
      </c>
      <c r="C8" s="11">
        <v>1</v>
      </c>
      <c r="D8" s="11">
        <v>1</v>
      </c>
      <c r="E8" s="11">
        <v>1</v>
      </c>
      <c r="F8" s="11">
        <v>1</v>
      </c>
    </row>
    <row r="9" spans="1:6" ht="15.75" x14ac:dyDescent="0.25">
      <c r="A9" s="12" t="s">
        <v>31</v>
      </c>
      <c r="B9" s="13">
        <v>7020</v>
      </c>
      <c r="C9" s="13">
        <v>1180</v>
      </c>
      <c r="D9" s="13">
        <v>750</v>
      </c>
      <c r="E9" s="13">
        <v>80</v>
      </c>
      <c r="F9" s="13">
        <v>9030</v>
      </c>
    </row>
    <row r="10" spans="1:6" ht="15.75" x14ac:dyDescent="0.25">
      <c r="A10" s="14"/>
      <c r="B10" s="14"/>
      <c r="C10" s="14"/>
      <c r="D10" s="14"/>
      <c r="E10" s="14"/>
      <c r="F10" s="14"/>
    </row>
  </sheetData>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8"/>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101</v>
      </c>
      <c r="B1" s="5"/>
      <c r="C1" s="5"/>
      <c r="D1" s="5"/>
      <c r="E1" s="5"/>
      <c r="F1" s="5"/>
      <c r="G1" s="5"/>
      <c r="H1" s="5"/>
    </row>
    <row r="2" spans="1:8" ht="15.75" x14ac:dyDescent="0.25">
      <c r="A2" s="8" t="s">
        <v>17</v>
      </c>
      <c r="B2" s="9" t="s">
        <v>68</v>
      </c>
      <c r="C2" s="9" t="s">
        <v>69</v>
      </c>
      <c r="D2" s="9" t="s">
        <v>70</v>
      </c>
      <c r="E2" s="9" t="s">
        <v>71</v>
      </c>
      <c r="F2" s="9" t="s">
        <v>72</v>
      </c>
      <c r="G2" s="9" t="s">
        <v>73</v>
      </c>
      <c r="H2" s="9" t="s">
        <v>24</v>
      </c>
    </row>
    <row r="3" spans="1:8" ht="15.75" x14ac:dyDescent="0.25">
      <c r="A3" s="10" t="s">
        <v>102</v>
      </c>
      <c r="B3" s="11">
        <v>0.84</v>
      </c>
      <c r="C3" s="11">
        <v>0.84</v>
      </c>
      <c r="D3" s="11">
        <v>0.87</v>
      </c>
      <c r="E3" s="11">
        <v>0.91</v>
      </c>
      <c r="F3" s="11">
        <v>0.93</v>
      </c>
      <c r="G3" s="11">
        <v>0.94</v>
      </c>
      <c r="H3" s="11">
        <v>0.89</v>
      </c>
    </row>
    <row r="4" spans="1:8" ht="15.75" x14ac:dyDescent="0.25">
      <c r="A4" s="10" t="s">
        <v>103</v>
      </c>
      <c r="B4" s="11">
        <v>0.82</v>
      </c>
      <c r="C4" s="11">
        <v>0.84</v>
      </c>
      <c r="D4" s="11">
        <v>0.87</v>
      </c>
      <c r="E4" s="11">
        <v>0.9</v>
      </c>
      <c r="F4" s="11">
        <v>0.93</v>
      </c>
      <c r="G4" s="11">
        <v>0.95</v>
      </c>
      <c r="H4" s="11">
        <v>0.89</v>
      </c>
    </row>
    <row r="5" spans="1:8" ht="15.75" x14ac:dyDescent="0.25">
      <c r="A5" s="10" t="s">
        <v>104</v>
      </c>
      <c r="B5" s="11">
        <v>0.72</v>
      </c>
      <c r="C5" s="11">
        <v>0.73</v>
      </c>
      <c r="D5" s="11">
        <v>0.79</v>
      </c>
      <c r="E5" s="11">
        <v>0.83</v>
      </c>
      <c r="F5" s="11">
        <v>0.85</v>
      </c>
      <c r="G5" s="11">
        <v>0.88</v>
      </c>
      <c r="H5" s="11">
        <v>0.8</v>
      </c>
    </row>
    <row r="6" spans="1:8" ht="15.75" x14ac:dyDescent="0.25">
      <c r="A6" s="10" t="s">
        <v>105</v>
      </c>
      <c r="B6" s="11">
        <v>0.94</v>
      </c>
      <c r="C6" s="11">
        <v>0.96</v>
      </c>
      <c r="D6" s="11">
        <v>0.97</v>
      </c>
      <c r="E6" s="11">
        <v>0.95</v>
      </c>
      <c r="F6" s="11">
        <v>0.96</v>
      </c>
      <c r="G6" s="11">
        <v>0.89</v>
      </c>
      <c r="H6" s="11">
        <v>0.95</v>
      </c>
    </row>
    <row r="7" spans="1:8" ht="15.75" x14ac:dyDescent="0.25">
      <c r="A7" s="12" t="s">
        <v>31</v>
      </c>
      <c r="B7" s="13">
        <v>400</v>
      </c>
      <c r="C7" s="13">
        <v>900</v>
      </c>
      <c r="D7" s="13">
        <v>1050</v>
      </c>
      <c r="E7" s="13">
        <v>2160</v>
      </c>
      <c r="F7" s="13">
        <v>3210</v>
      </c>
      <c r="G7" s="13">
        <v>1310</v>
      </c>
      <c r="H7" s="13">
        <v>9030</v>
      </c>
    </row>
    <row r="8" spans="1:8" ht="15.75" x14ac:dyDescent="0.25">
      <c r="A8" s="14"/>
      <c r="B8" s="14"/>
      <c r="C8" s="14"/>
      <c r="D8" s="14"/>
      <c r="E8" s="14"/>
      <c r="F8" s="14"/>
      <c r="G8" s="14"/>
      <c r="H8" s="14"/>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6"/>
  <sheetViews>
    <sheetView showGridLines="0" workbookViewId="0">
      <selection activeCell="B22" sqref="B22"/>
    </sheetView>
  </sheetViews>
  <sheetFormatPr defaultColWidth="11.42578125" defaultRowHeight="15" x14ac:dyDescent="0.25"/>
  <cols>
    <col min="1" max="1" width="35" customWidth="1"/>
    <col min="2" max="2" width="120.7109375" customWidth="1"/>
  </cols>
  <sheetData>
    <row r="1" spans="1:2" ht="19.5" x14ac:dyDescent="0.3">
      <c r="A1" s="1" t="s">
        <v>226</v>
      </c>
      <c r="B1" s="5"/>
    </row>
    <row r="2" spans="1:2" ht="17.25" x14ac:dyDescent="0.25">
      <c r="A2" s="6" t="s">
        <v>227</v>
      </c>
      <c r="B2" s="6" t="s">
        <v>228</v>
      </c>
    </row>
    <row r="3" spans="1:2" ht="17.25" x14ac:dyDescent="0.25">
      <c r="A3" s="7" t="str">
        <f>HYPERLINK("#'Cover'!A1", "Cover")</f>
        <v>Cover</v>
      </c>
      <c r="B3" s="6" t="s">
        <v>229</v>
      </c>
    </row>
    <row r="4" spans="1:2" ht="17.25" x14ac:dyDescent="0.25">
      <c r="A4" s="7" t="s">
        <v>262</v>
      </c>
      <c r="B4" s="6" t="s">
        <v>254</v>
      </c>
    </row>
    <row r="5" spans="1:2" ht="17.25" x14ac:dyDescent="0.25">
      <c r="A5" s="7" t="s">
        <v>263</v>
      </c>
      <c r="B5" s="6" t="s">
        <v>260</v>
      </c>
    </row>
    <row r="6" spans="1:2" ht="17.25" x14ac:dyDescent="0.25">
      <c r="A6" s="7" t="str">
        <f>HYPERLINK("#'2_1'!A1", "2_1")</f>
        <v>2_1</v>
      </c>
      <c r="B6" s="6" t="s">
        <v>15</v>
      </c>
    </row>
    <row r="7" spans="1:2" ht="17.25" x14ac:dyDescent="0.25">
      <c r="A7" s="7" t="str">
        <f>HYPERLINK("#'2_2'!A1", "2_2")</f>
        <v>2_2</v>
      </c>
      <c r="B7" s="6" t="s">
        <v>32</v>
      </c>
    </row>
    <row r="8" spans="1:2" ht="17.25" x14ac:dyDescent="0.25">
      <c r="A8" s="7" t="str">
        <f>HYPERLINK("#'2_3'!A1", "2_3")</f>
        <v>2_3</v>
      </c>
      <c r="B8" s="6" t="s">
        <v>36</v>
      </c>
    </row>
    <row r="9" spans="1:2" ht="17.25" x14ac:dyDescent="0.25">
      <c r="A9" s="7" t="str">
        <f>HYPERLINK("#'2_4'!A1", "2_4")</f>
        <v>2_4</v>
      </c>
      <c r="B9" s="6" t="s">
        <v>48</v>
      </c>
    </row>
    <row r="10" spans="1:2" ht="17.25" x14ac:dyDescent="0.25">
      <c r="A10" s="7" t="str">
        <f>HYPERLINK("#'2_5'!A1", "2_5")</f>
        <v>2_5</v>
      </c>
      <c r="B10" s="6" t="s">
        <v>54</v>
      </c>
    </row>
    <row r="11" spans="1:2" ht="17.25" x14ac:dyDescent="0.25">
      <c r="A11" s="7" t="str">
        <f>HYPERLINK("#'2_6'!A1", "2_6")</f>
        <v>2_6</v>
      </c>
      <c r="B11" s="6" t="s">
        <v>67</v>
      </c>
    </row>
    <row r="12" spans="1:2" ht="34.5" x14ac:dyDescent="0.25">
      <c r="A12" s="7" t="str">
        <f>HYPERLINK("#'2_7'!A1", "2_7")</f>
        <v>2_7</v>
      </c>
      <c r="B12" s="6" t="s">
        <v>76</v>
      </c>
    </row>
    <row r="13" spans="1:2" ht="34.5" x14ac:dyDescent="0.25">
      <c r="A13" s="7" t="str">
        <f>HYPERLINK("#'2_8'!A1", "2_8")</f>
        <v>2_8</v>
      </c>
      <c r="B13" s="6" t="s">
        <v>77</v>
      </c>
    </row>
    <row r="14" spans="1:2" ht="17.25" x14ac:dyDescent="0.25">
      <c r="A14" s="7" t="str">
        <f>HYPERLINK("#'2_9'!A1", "2_9")</f>
        <v>2_9</v>
      </c>
      <c r="B14" s="6" t="s">
        <v>78</v>
      </c>
    </row>
    <row r="15" spans="1:2" ht="17.25" x14ac:dyDescent="0.25">
      <c r="A15" s="7" t="str">
        <f>HYPERLINK("#'2_10'!A1", "2_10")</f>
        <v>2_10</v>
      </c>
      <c r="B15" s="6" t="s">
        <v>83</v>
      </c>
    </row>
    <row r="16" spans="1:2" ht="17.25" x14ac:dyDescent="0.25">
      <c r="A16" s="7" t="str">
        <f>HYPERLINK("#'2_11'!A1", "2_11")</f>
        <v>2_11</v>
      </c>
      <c r="B16" s="6" t="s">
        <v>92</v>
      </c>
    </row>
    <row r="17" spans="1:2" ht="17.25" x14ac:dyDescent="0.25">
      <c r="A17" s="7" t="str">
        <f>HYPERLINK("#'2_12'!A1", "2_12")</f>
        <v>2_12</v>
      </c>
      <c r="B17" s="6" t="s">
        <v>93</v>
      </c>
    </row>
    <row r="18" spans="1:2" ht="17.25" x14ac:dyDescent="0.25">
      <c r="A18" s="7" t="str">
        <f>HYPERLINK("#'2_13'!A1", "2_13")</f>
        <v>2_13</v>
      </c>
      <c r="B18" s="6" t="s">
        <v>99</v>
      </c>
    </row>
    <row r="19" spans="1:2" ht="17.25" x14ac:dyDescent="0.25">
      <c r="A19" s="7" t="str">
        <f>HYPERLINK("#'2_14'!A1", "2_14")</f>
        <v>2_14</v>
      </c>
      <c r="B19" s="6" t="s">
        <v>100</v>
      </c>
    </row>
    <row r="20" spans="1:2" ht="34.5" x14ac:dyDescent="0.25">
      <c r="A20" s="7" t="str">
        <f>HYPERLINK("#'2_15'!A1", "2_15")</f>
        <v>2_15</v>
      </c>
      <c r="B20" s="6" t="s">
        <v>101</v>
      </c>
    </row>
    <row r="21" spans="1:2" ht="34.5" x14ac:dyDescent="0.25">
      <c r="A21" s="7" t="str">
        <f>HYPERLINK("#'2_16'!A1", "2_16")</f>
        <v>2_16</v>
      </c>
      <c r="B21" s="6" t="s">
        <v>106</v>
      </c>
    </row>
    <row r="22" spans="1:2" ht="34.5" x14ac:dyDescent="0.25">
      <c r="A22" s="7" t="str">
        <f>HYPERLINK("#'2_17'!A1", "2_17")</f>
        <v>2_17</v>
      </c>
      <c r="B22" s="6" t="s">
        <v>109</v>
      </c>
    </row>
    <row r="23" spans="1:2" ht="34.5" x14ac:dyDescent="0.25">
      <c r="A23" s="7" t="str">
        <f>HYPERLINK("#'2_18'!A1", "2_18")</f>
        <v>2_18</v>
      </c>
      <c r="B23" s="6" t="s">
        <v>113</v>
      </c>
    </row>
    <row r="24" spans="1:2" ht="34.5" x14ac:dyDescent="0.25">
      <c r="A24" s="7" t="str">
        <f>HYPERLINK("#'2_19'!A1", "2_19")</f>
        <v>2_19</v>
      </c>
      <c r="B24" s="6" t="s">
        <v>117</v>
      </c>
    </row>
    <row r="25" spans="1:2" ht="34.5" x14ac:dyDescent="0.25">
      <c r="A25" s="7" t="str">
        <f>HYPERLINK("#'2_20'!A1", "2_20")</f>
        <v>2_20</v>
      </c>
      <c r="B25" s="6" t="s">
        <v>129</v>
      </c>
    </row>
    <row r="26" spans="1:2" ht="17.25" x14ac:dyDescent="0.25">
      <c r="A26" s="7" t="str">
        <f>HYPERLINK("#'2_21'!A1", "2_21")</f>
        <v>2_21</v>
      </c>
      <c r="B26" s="6" t="s">
        <v>131</v>
      </c>
    </row>
    <row r="27" spans="1:2" ht="17.25" x14ac:dyDescent="0.25">
      <c r="A27" s="7" t="str">
        <f>HYPERLINK("#'2_22'!A1", "2_22")</f>
        <v>2_22</v>
      </c>
      <c r="B27" s="6" t="s">
        <v>133</v>
      </c>
    </row>
    <row r="28" spans="1:2" ht="34.5" x14ac:dyDescent="0.25">
      <c r="A28" s="7" t="str">
        <f>HYPERLINK("#'2_23'!A1", "2_23")</f>
        <v>2_23</v>
      </c>
      <c r="B28" s="6" t="s">
        <v>134</v>
      </c>
    </row>
    <row r="29" spans="1:2" ht="34.5" x14ac:dyDescent="0.25">
      <c r="A29" s="7" t="str">
        <f>HYPERLINK("#'2_24'!A1", "2_24")</f>
        <v>2_24</v>
      </c>
      <c r="B29" s="6" t="s">
        <v>135</v>
      </c>
    </row>
    <row r="30" spans="1:2" ht="34.5" x14ac:dyDescent="0.25">
      <c r="A30" s="7" t="str">
        <f>HYPERLINK("#'2_25'!A1", "2_25")</f>
        <v>2_25</v>
      </c>
      <c r="B30" s="6" t="s">
        <v>138</v>
      </c>
    </row>
    <row r="31" spans="1:2" ht="34.5" x14ac:dyDescent="0.25">
      <c r="A31" s="7" t="str">
        <f>HYPERLINK("#'2_26'!A1", "2_26")</f>
        <v>2_26</v>
      </c>
      <c r="B31" s="6" t="s">
        <v>142</v>
      </c>
    </row>
    <row r="32" spans="1:2" ht="34.5" x14ac:dyDescent="0.25">
      <c r="A32" s="7" t="str">
        <f>HYPERLINK("#'2_27'!A1", "2_27")</f>
        <v>2_27</v>
      </c>
      <c r="B32" s="6" t="s">
        <v>143</v>
      </c>
    </row>
    <row r="33" spans="1:2" ht="17.25" x14ac:dyDescent="0.25">
      <c r="A33" s="7" t="str">
        <f>HYPERLINK("#'2_28'!A1", "2_28")</f>
        <v>2_28</v>
      </c>
      <c r="B33" s="6" t="s">
        <v>144</v>
      </c>
    </row>
    <row r="34" spans="1:2" ht="17.25" x14ac:dyDescent="0.25">
      <c r="A34" s="7" t="str">
        <f>HYPERLINK("#'2_29'!A1", "2_29")</f>
        <v>2_29</v>
      </c>
      <c r="B34" s="6" t="s">
        <v>147</v>
      </c>
    </row>
    <row r="35" spans="1:2" ht="34.5" x14ac:dyDescent="0.25">
      <c r="A35" s="7" t="str">
        <f>HYPERLINK("#'2_30'!A1", "2_30")</f>
        <v>2_30</v>
      </c>
      <c r="B35" s="6" t="s">
        <v>151</v>
      </c>
    </row>
    <row r="36" spans="1:2" ht="17.25" x14ac:dyDescent="0.25">
      <c r="A36" s="7" t="str">
        <f>HYPERLINK("#'2_31'!A1", "2_31")</f>
        <v>2_31</v>
      </c>
      <c r="B36" s="6" t="s">
        <v>152</v>
      </c>
    </row>
    <row r="37" spans="1:2" ht="17.25" x14ac:dyDescent="0.25">
      <c r="A37" s="7" t="str">
        <f>HYPERLINK("#'2_32'!A1", "2_32")</f>
        <v>2_32</v>
      </c>
      <c r="B37" s="6" t="s">
        <v>156</v>
      </c>
    </row>
    <row r="38" spans="1:2" ht="17.25" x14ac:dyDescent="0.25">
      <c r="A38" s="7" t="str">
        <f>HYPERLINK("#'2_33'!A1", "2_33")</f>
        <v>2_33</v>
      </c>
      <c r="B38" s="6" t="s">
        <v>157</v>
      </c>
    </row>
    <row r="39" spans="1:2" ht="17.25" x14ac:dyDescent="0.25">
      <c r="A39" s="7" t="str">
        <f>HYPERLINK("#'2_34'!A1", "2_34")</f>
        <v>2_34</v>
      </c>
      <c r="B39" s="6" t="s">
        <v>164</v>
      </c>
    </row>
    <row r="40" spans="1:2" ht="17.25" x14ac:dyDescent="0.25">
      <c r="A40" s="7" t="str">
        <f>HYPERLINK("#'2_35'!A1", "2_35")</f>
        <v>2_35</v>
      </c>
      <c r="B40" s="6" t="s">
        <v>169</v>
      </c>
    </row>
    <row r="41" spans="1:2" ht="17.25" x14ac:dyDescent="0.25">
      <c r="A41" s="7" t="str">
        <f>HYPERLINK("#'2_36'!A1", "2_36")</f>
        <v>2_36</v>
      </c>
      <c r="B41" s="6" t="s">
        <v>188</v>
      </c>
    </row>
    <row r="42" spans="1:2" ht="17.25" x14ac:dyDescent="0.25">
      <c r="A42" s="7" t="str">
        <f>HYPERLINK("#'2_37'!A1", "2_37")</f>
        <v>2_37</v>
      </c>
      <c r="B42" s="6" t="s">
        <v>192</v>
      </c>
    </row>
    <row r="43" spans="1:2" ht="34.5" x14ac:dyDescent="0.25">
      <c r="A43" s="7" t="str">
        <f>HYPERLINK("#'2_38'!A1", "2_38")</f>
        <v>2_38</v>
      </c>
      <c r="B43" s="6" t="s">
        <v>193</v>
      </c>
    </row>
    <row r="44" spans="1:2" ht="17.25" x14ac:dyDescent="0.25">
      <c r="A44" s="7" t="str">
        <f>HYPERLINK("#'2_39'!A1", "2_39")</f>
        <v>2_39</v>
      </c>
      <c r="B44" s="6" t="s">
        <v>195</v>
      </c>
    </row>
    <row r="45" spans="1:2" ht="17.25" x14ac:dyDescent="0.25">
      <c r="A45" s="7" t="str">
        <f>HYPERLINK("#'2_40'!A1", "2_40")</f>
        <v>2_40</v>
      </c>
      <c r="B45" s="6" t="s">
        <v>196</v>
      </c>
    </row>
    <row r="46" spans="1:2" ht="17.25" x14ac:dyDescent="0.25">
      <c r="A46" s="7" t="str">
        <f>HYPERLINK("#'2_41'!A1", "2_41")</f>
        <v>2_41</v>
      </c>
      <c r="B46" s="6" t="s">
        <v>197</v>
      </c>
    </row>
    <row r="47" spans="1:2" ht="17.25" x14ac:dyDescent="0.25">
      <c r="A47" s="7" t="str">
        <f>HYPERLINK("#'2_42'!A1", "2_42")</f>
        <v>2_42</v>
      </c>
      <c r="B47" s="6" t="s">
        <v>199</v>
      </c>
    </row>
    <row r="48" spans="1:2" ht="17.25" x14ac:dyDescent="0.25">
      <c r="A48" s="7" t="str">
        <f>HYPERLINK("#'2_43'!A1", "2_43")</f>
        <v>2_43</v>
      </c>
      <c r="B48" s="6" t="s">
        <v>200</v>
      </c>
    </row>
    <row r="49" spans="1:2" ht="17.25" x14ac:dyDescent="0.25">
      <c r="A49" s="7" t="str">
        <f>HYPERLINK("#'2_44'!A1", "2_44")</f>
        <v>2_44</v>
      </c>
      <c r="B49" s="6" t="s">
        <v>201</v>
      </c>
    </row>
    <row r="50" spans="1:2" ht="17.25" x14ac:dyDescent="0.25">
      <c r="A50" s="7" t="str">
        <f>HYPERLINK("#'2_45'!A1", "2_45")</f>
        <v>2_45</v>
      </c>
      <c r="B50" s="6" t="s">
        <v>206</v>
      </c>
    </row>
    <row r="51" spans="1:2" ht="34.5" x14ac:dyDescent="0.25">
      <c r="A51" s="7" t="str">
        <f>HYPERLINK("#'2_46'!A1", "2_46")</f>
        <v>2_46</v>
      </c>
      <c r="B51" s="6" t="s">
        <v>207</v>
      </c>
    </row>
    <row r="52" spans="1:2" ht="17.25" x14ac:dyDescent="0.25">
      <c r="A52" s="7" t="str">
        <f>HYPERLINK("#'2_47'!A1", "2_47")</f>
        <v>2_47</v>
      </c>
      <c r="B52" s="6" t="s">
        <v>208</v>
      </c>
    </row>
    <row r="53" spans="1:2" ht="17.25" x14ac:dyDescent="0.25">
      <c r="A53" s="7" t="str">
        <f>HYPERLINK("#'2_48'!A1", "2_48")</f>
        <v>2_48</v>
      </c>
      <c r="B53" s="6" t="s">
        <v>209</v>
      </c>
    </row>
    <row r="54" spans="1:2" ht="17.25" x14ac:dyDescent="0.25">
      <c r="A54" s="7" t="str">
        <f>HYPERLINK("#'2_49'!A1", "2_49")</f>
        <v>2_49</v>
      </c>
      <c r="B54" s="6" t="s">
        <v>210</v>
      </c>
    </row>
    <row r="55" spans="1:2" ht="17.25" x14ac:dyDescent="0.25">
      <c r="A55" s="7" t="str">
        <f>HYPERLINK("#'2_50'!A1", "2_50")</f>
        <v>2_50</v>
      </c>
      <c r="B55" s="6" t="s">
        <v>211</v>
      </c>
    </row>
    <row r="56" spans="1:2" ht="34.5" x14ac:dyDescent="0.25">
      <c r="A56" s="7" t="str">
        <f>HYPERLINK("#'2_51'!A1", "2_51")</f>
        <v>2_51</v>
      </c>
      <c r="B56" s="6" t="s">
        <v>212</v>
      </c>
    </row>
    <row r="57" spans="1:2" ht="34.5" x14ac:dyDescent="0.25">
      <c r="A57" s="7" t="str">
        <f>HYPERLINK("#'2_52'!A1", "2_52")</f>
        <v>2_52</v>
      </c>
      <c r="B57" s="6" t="s">
        <v>215</v>
      </c>
    </row>
    <row r="58" spans="1:2" ht="17.25" x14ac:dyDescent="0.25">
      <c r="A58" s="7" t="str">
        <f>HYPERLINK("#'2_53'!A1", "2_53")</f>
        <v>2_53</v>
      </c>
      <c r="B58" s="6" t="s">
        <v>217</v>
      </c>
    </row>
    <row r="59" spans="1:2" ht="17.25" x14ac:dyDescent="0.25">
      <c r="A59" s="7" t="str">
        <f>HYPERLINK("#'2_54'!A1", "2_54")</f>
        <v>2_54</v>
      </c>
      <c r="B59" s="6" t="s">
        <v>218</v>
      </c>
    </row>
    <row r="60" spans="1:2" ht="17.25" x14ac:dyDescent="0.25">
      <c r="A60" s="7" t="str">
        <f>HYPERLINK("#'2_55'!A1", "2_55")</f>
        <v>2_55</v>
      </c>
      <c r="B60" s="6" t="s">
        <v>219</v>
      </c>
    </row>
    <row r="61" spans="1:2" ht="17.25" x14ac:dyDescent="0.25">
      <c r="A61" s="7" t="str">
        <f>HYPERLINK("#'2_56'!A1", "2_56")</f>
        <v>2_56</v>
      </c>
      <c r="B61" s="6" t="s">
        <v>220</v>
      </c>
    </row>
    <row r="62" spans="1:2" ht="17.25" x14ac:dyDescent="0.25">
      <c r="A62" s="7" t="str">
        <f>HYPERLINK("#'2_57'!A1", "2_57")</f>
        <v>2_57</v>
      </c>
      <c r="B62" s="6" t="s">
        <v>221</v>
      </c>
    </row>
    <row r="63" spans="1:2" ht="17.25" x14ac:dyDescent="0.25">
      <c r="A63" s="7" t="str">
        <f>HYPERLINK("#'2_58'!A1", "2_58")</f>
        <v>2_58</v>
      </c>
      <c r="B63" s="6" t="s">
        <v>222</v>
      </c>
    </row>
    <row r="64" spans="1:2" ht="17.25" x14ac:dyDescent="0.25">
      <c r="A64" s="7" t="str">
        <f>HYPERLINK("#'2_59'!A1", "2_59")</f>
        <v>2_59</v>
      </c>
      <c r="B64" s="6" t="s">
        <v>223</v>
      </c>
    </row>
    <row r="65" spans="1:2" ht="17.25" x14ac:dyDescent="0.25">
      <c r="A65" s="7" t="str">
        <f>HYPERLINK("#'2_60'!A1", "2_60")</f>
        <v>2_60</v>
      </c>
      <c r="B65" s="6" t="s">
        <v>224</v>
      </c>
    </row>
    <row r="66" spans="1:2" ht="17.25" x14ac:dyDescent="0.25">
      <c r="A66" s="7" t="str">
        <f>HYPERLINK("#'2_61'!A1", "2_61")</f>
        <v>2_61</v>
      </c>
      <c r="B66" s="6" t="s">
        <v>225</v>
      </c>
    </row>
  </sheetData>
  <hyperlinks>
    <hyperlink ref="A4" location="Confidence_intervals_2020!A1" display="Confidence_intervals_2020!A1" xr:uid="{87E04C89-C650-45B0-B389-0D0AC49D9844}"/>
    <hyperlink ref="A5" location="Confidence_intervals_2021!A1" display="Confidence_intervals_2021!A1" xr:uid="{0095FC97-C5ED-4660-9F3A-8C4693C2E3A6}"/>
  </hyperlinks>
  <pageMargins left="0.7" right="0.7" top="0.75" bottom="0.75" header="0.3" footer="0.3"/>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8"/>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106</v>
      </c>
      <c r="B1" s="5"/>
      <c r="C1" s="5"/>
      <c r="D1" s="5"/>
      <c r="E1" s="5"/>
      <c r="F1" s="5"/>
    </row>
    <row r="2" spans="1:6" ht="45.75" x14ac:dyDescent="0.25">
      <c r="A2" s="8" t="s">
        <v>17</v>
      </c>
      <c r="B2" s="9" t="s">
        <v>84</v>
      </c>
      <c r="C2" s="9" t="s">
        <v>85</v>
      </c>
      <c r="D2" s="9" t="s">
        <v>86</v>
      </c>
      <c r="E2" s="9" t="s">
        <v>87</v>
      </c>
      <c r="F2" s="9" t="s">
        <v>24</v>
      </c>
    </row>
    <row r="3" spans="1:6" ht="15.75" x14ac:dyDescent="0.25">
      <c r="A3" s="10" t="s">
        <v>102</v>
      </c>
      <c r="B3" s="11">
        <v>0.87</v>
      </c>
      <c r="C3" s="11">
        <v>0.91</v>
      </c>
      <c r="D3" s="11" t="s">
        <v>14</v>
      </c>
      <c r="E3" s="11" t="s">
        <v>14</v>
      </c>
      <c r="F3" s="11">
        <v>0.89</v>
      </c>
    </row>
    <row r="4" spans="1:6" ht="15.75" x14ac:dyDescent="0.25">
      <c r="A4" s="10" t="s">
        <v>107</v>
      </c>
      <c r="B4" s="11">
        <v>0.88</v>
      </c>
      <c r="C4" s="11">
        <v>0.89</v>
      </c>
      <c r="D4" s="11" t="s">
        <v>14</v>
      </c>
      <c r="E4" s="11" t="s">
        <v>14</v>
      </c>
      <c r="F4" s="11">
        <v>0.89</v>
      </c>
    </row>
    <row r="5" spans="1:6" ht="15.75" x14ac:dyDescent="0.25">
      <c r="A5" s="10" t="s">
        <v>104</v>
      </c>
      <c r="B5" s="11">
        <v>0.79</v>
      </c>
      <c r="C5" s="11">
        <v>0.81</v>
      </c>
      <c r="D5" s="11" t="s">
        <v>14</v>
      </c>
      <c r="E5" s="11" t="s">
        <v>14</v>
      </c>
      <c r="F5" s="11">
        <v>0.8</v>
      </c>
    </row>
    <row r="6" spans="1:6" ht="15.75" x14ac:dyDescent="0.25">
      <c r="A6" s="10" t="s">
        <v>108</v>
      </c>
      <c r="B6" s="11">
        <v>0.95</v>
      </c>
      <c r="C6" s="11">
        <v>0.95</v>
      </c>
      <c r="D6" s="11" t="s">
        <v>14</v>
      </c>
      <c r="E6" s="11" t="s">
        <v>14</v>
      </c>
      <c r="F6" s="11">
        <v>0.95</v>
      </c>
    </row>
    <row r="7" spans="1:6" ht="15.75" x14ac:dyDescent="0.25">
      <c r="A7" s="12" t="s">
        <v>31</v>
      </c>
      <c r="B7" s="13">
        <v>3880</v>
      </c>
      <c r="C7" s="13">
        <v>5120</v>
      </c>
      <c r="D7" s="13">
        <v>30</v>
      </c>
      <c r="E7" s="13">
        <v>0</v>
      </c>
      <c r="F7" s="13">
        <v>9030</v>
      </c>
    </row>
    <row r="8" spans="1:6" ht="15.75" x14ac:dyDescent="0.25">
      <c r="A8" s="14"/>
      <c r="B8" s="14"/>
      <c r="C8" s="14"/>
      <c r="D8" s="14"/>
      <c r="E8" s="14"/>
      <c r="F8" s="14"/>
    </row>
  </sheetData>
  <pageMargins left="0.7" right="0.7" top="0.75" bottom="0.75" header="0.3" footer="0.3"/>
  <pageSetup paperSize="9"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9"/>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109</v>
      </c>
      <c r="B1" s="5"/>
      <c r="C1" s="5"/>
      <c r="D1" s="5"/>
      <c r="E1" s="5"/>
      <c r="F1" s="5"/>
      <c r="G1" s="5"/>
      <c r="H1" s="5"/>
    </row>
    <row r="2" spans="1:8" ht="103.5" x14ac:dyDescent="0.3">
      <c r="A2" s="2" t="s">
        <v>16</v>
      </c>
      <c r="B2" s="5"/>
      <c r="C2" s="5"/>
      <c r="D2" s="5"/>
      <c r="E2" s="5"/>
      <c r="F2" s="5"/>
      <c r="G2" s="5"/>
      <c r="H2" s="5"/>
    </row>
    <row r="3" spans="1:8" ht="30.75" x14ac:dyDescent="0.25">
      <c r="A3" s="8" t="s">
        <v>17</v>
      </c>
      <c r="B3" s="9" t="s">
        <v>18</v>
      </c>
      <c r="C3" s="9" t="s">
        <v>19</v>
      </c>
      <c r="D3" s="9" t="s">
        <v>20</v>
      </c>
      <c r="E3" s="9" t="s">
        <v>21</v>
      </c>
      <c r="F3" s="9" t="s">
        <v>22</v>
      </c>
      <c r="G3" s="9" t="s">
        <v>23</v>
      </c>
      <c r="H3" s="9" t="s">
        <v>24</v>
      </c>
    </row>
    <row r="4" spans="1:8" ht="15.75" x14ac:dyDescent="0.25">
      <c r="A4" s="10" t="s">
        <v>110</v>
      </c>
      <c r="B4" s="11">
        <v>0.85</v>
      </c>
      <c r="C4" s="11">
        <v>0.9</v>
      </c>
      <c r="D4" s="11">
        <v>0.91</v>
      </c>
      <c r="E4" s="11">
        <v>0.91</v>
      </c>
      <c r="F4" s="11">
        <v>0.94</v>
      </c>
      <c r="G4" s="11">
        <v>0.95</v>
      </c>
      <c r="H4" s="11">
        <v>0.89</v>
      </c>
    </row>
    <row r="5" spans="1:8" ht="15.75" x14ac:dyDescent="0.25">
      <c r="A5" s="10" t="s">
        <v>111</v>
      </c>
      <c r="B5" s="11">
        <v>0.83</v>
      </c>
      <c r="C5" s="11">
        <v>0.9</v>
      </c>
      <c r="D5" s="11">
        <v>0.93</v>
      </c>
      <c r="E5" s="11">
        <v>0.9</v>
      </c>
      <c r="F5" s="11">
        <v>0.95</v>
      </c>
      <c r="G5" s="11">
        <v>0.95</v>
      </c>
      <c r="H5" s="11">
        <v>0.89</v>
      </c>
    </row>
    <row r="6" spans="1:8" ht="15.75" x14ac:dyDescent="0.25">
      <c r="A6" s="10" t="s">
        <v>104</v>
      </c>
      <c r="B6" s="11">
        <v>0.74</v>
      </c>
      <c r="C6" s="11">
        <v>0.81</v>
      </c>
      <c r="D6" s="11">
        <v>0.86</v>
      </c>
      <c r="E6" s="11">
        <v>0.82</v>
      </c>
      <c r="F6" s="11">
        <v>0.89</v>
      </c>
      <c r="G6" s="11">
        <v>0.9</v>
      </c>
      <c r="H6" s="11">
        <v>0.8</v>
      </c>
    </row>
    <row r="7" spans="1:8" ht="15.75" x14ac:dyDescent="0.25">
      <c r="A7" s="10" t="s">
        <v>112</v>
      </c>
      <c r="B7" s="11">
        <v>0.94</v>
      </c>
      <c r="C7" s="11">
        <v>0.95</v>
      </c>
      <c r="D7" s="11">
        <v>0.96</v>
      </c>
      <c r="E7" s="11">
        <v>0.94</v>
      </c>
      <c r="F7" s="11">
        <v>0.97</v>
      </c>
      <c r="G7" s="11">
        <v>0.96</v>
      </c>
      <c r="H7" s="11">
        <v>0.95</v>
      </c>
    </row>
    <row r="8" spans="1:8" ht="15.75" x14ac:dyDescent="0.25">
      <c r="A8" s="12" t="s">
        <v>31</v>
      </c>
      <c r="B8" s="13">
        <v>2950</v>
      </c>
      <c r="C8" s="13">
        <v>2670</v>
      </c>
      <c r="D8" s="13">
        <v>850</v>
      </c>
      <c r="E8" s="13">
        <v>370</v>
      </c>
      <c r="F8" s="13">
        <v>1210</v>
      </c>
      <c r="G8" s="13">
        <v>990</v>
      </c>
      <c r="H8" s="13">
        <v>9030</v>
      </c>
    </row>
    <row r="9" spans="1:8" ht="15.75" x14ac:dyDescent="0.25">
      <c r="A9" s="14"/>
      <c r="B9" s="14"/>
      <c r="C9" s="14"/>
      <c r="D9" s="14"/>
      <c r="E9" s="14"/>
      <c r="F9" s="14"/>
      <c r="G9" s="14"/>
      <c r="H9" s="14"/>
    </row>
  </sheetData>
  <pageMargins left="0.7" right="0.7" top="0.75" bottom="0.75" header="0.3" footer="0.3"/>
  <pageSetup paperSize="9"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9"/>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113</v>
      </c>
      <c r="B1" s="5"/>
      <c r="C1" s="5"/>
      <c r="D1" s="5"/>
      <c r="E1" s="5"/>
      <c r="F1" s="5"/>
      <c r="G1" s="5"/>
    </row>
    <row r="2" spans="1:7" ht="120.75" x14ac:dyDescent="0.3">
      <c r="A2" s="2" t="s">
        <v>37</v>
      </c>
      <c r="B2" s="5"/>
      <c r="C2" s="5"/>
      <c r="D2" s="5"/>
      <c r="E2" s="5"/>
      <c r="F2" s="5"/>
      <c r="G2" s="5"/>
    </row>
    <row r="3" spans="1:7" ht="45.75" x14ac:dyDescent="0.25">
      <c r="A3" s="8" t="s">
        <v>17</v>
      </c>
      <c r="B3" s="9" t="s">
        <v>49</v>
      </c>
      <c r="C3" s="9" t="s">
        <v>50</v>
      </c>
      <c r="D3" s="9" t="s">
        <v>51</v>
      </c>
      <c r="E3" s="9" t="s">
        <v>52</v>
      </c>
      <c r="F3" s="9" t="s">
        <v>53</v>
      </c>
      <c r="G3" s="9" t="s">
        <v>24</v>
      </c>
    </row>
    <row r="4" spans="1:7" ht="15.75" x14ac:dyDescent="0.25">
      <c r="A4" s="10" t="s">
        <v>114</v>
      </c>
      <c r="B4" s="11">
        <v>0.81</v>
      </c>
      <c r="C4" s="11">
        <v>0.84</v>
      </c>
      <c r="D4" s="11">
        <v>0.91</v>
      </c>
      <c r="E4" s="11">
        <v>0.92</v>
      </c>
      <c r="F4" s="11">
        <v>0.94</v>
      </c>
      <c r="G4" s="11">
        <v>0.89</v>
      </c>
    </row>
    <row r="5" spans="1:7" ht="15.75" x14ac:dyDescent="0.25">
      <c r="A5" s="10" t="s">
        <v>115</v>
      </c>
      <c r="B5" s="11">
        <v>0.81</v>
      </c>
      <c r="C5" s="11">
        <v>0.85</v>
      </c>
      <c r="D5" s="11">
        <v>0.91</v>
      </c>
      <c r="E5" s="11">
        <v>0.92</v>
      </c>
      <c r="F5" s="11">
        <v>0.93</v>
      </c>
      <c r="G5" s="11">
        <v>0.89</v>
      </c>
    </row>
    <row r="6" spans="1:7" ht="15.75" x14ac:dyDescent="0.25">
      <c r="A6" s="10" t="s">
        <v>104</v>
      </c>
      <c r="B6" s="11">
        <v>0.71</v>
      </c>
      <c r="C6" s="11">
        <v>0.77</v>
      </c>
      <c r="D6" s="11">
        <v>0.83</v>
      </c>
      <c r="E6" s="11">
        <v>0.85</v>
      </c>
      <c r="F6" s="11">
        <v>0.84</v>
      </c>
      <c r="G6" s="11">
        <v>0.8</v>
      </c>
    </row>
    <row r="7" spans="1:7" ht="15.75" x14ac:dyDescent="0.25">
      <c r="A7" s="10" t="s">
        <v>116</v>
      </c>
      <c r="B7" s="11">
        <v>0.92</v>
      </c>
      <c r="C7" s="11">
        <v>0.94</v>
      </c>
      <c r="D7" s="11">
        <v>0.96</v>
      </c>
      <c r="E7" s="11">
        <v>0.96</v>
      </c>
      <c r="F7" s="11">
        <v>0.97</v>
      </c>
      <c r="G7" s="11">
        <v>0.95</v>
      </c>
    </row>
    <row r="8" spans="1:7" ht="15.75" x14ac:dyDescent="0.25">
      <c r="A8" s="12" t="s">
        <v>31</v>
      </c>
      <c r="B8" s="13">
        <v>1180</v>
      </c>
      <c r="C8" s="13">
        <v>1540</v>
      </c>
      <c r="D8" s="13">
        <v>1980</v>
      </c>
      <c r="E8" s="13">
        <v>2230</v>
      </c>
      <c r="F8" s="13">
        <v>2110</v>
      </c>
      <c r="G8" s="13">
        <v>9030</v>
      </c>
    </row>
    <row r="9" spans="1:7" ht="15.75" x14ac:dyDescent="0.25">
      <c r="A9" s="14"/>
      <c r="B9" s="14"/>
      <c r="C9" s="14"/>
      <c r="D9" s="14"/>
      <c r="E9" s="14"/>
      <c r="F9" s="14"/>
      <c r="G9" s="14"/>
    </row>
  </sheetData>
  <pageMargins left="0.7" right="0.7" top="0.75" bottom="0.75" header="0.3" footer="0.3"/>
  <pageSetup paperSize="9"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7"/>
  <sheetViews>
    <sheetView showGridLines="0" workbookViewId="0"/>
  </sheetViews>
  <sheetFormatPr defaultColWidth="11.42578125" defaultRowHeight="15" x14ac:dyDescent="0.25"/>
  <cols>
    <col min="1" max="1" width="70.7109375" customWidth="1"/>
    <col min="2" max="12" width="15.7109375" customWidth="1"/>
  </cols>
  <sheetData>
    <row r="1" spans="1:12" ht="19.5" x14ac:dyDescent="0.3">
      <c r="A1" s="1" t="s">
        <v>117</v>
      </c>
      <c r="B1" s="5"/>
      <c r="C1" s="5"/>
      <c r="D1" s="5"/>
      <c r="E1" s="5"/>
      <c r="F1" s="5"/>
      <c r="G1" s="5"/>
      <c r="H1" s="5"/>
      <c r="I1" s="5"/>
      <c r="J1" s="5"/>
      <c r="K1" s="5"/>
      <c r="L1" s="5"/>
    </row>
    <row r="2" spans="1:12" ht="34.5" x14ac:dyDescent="0.3">
      <c r="A2" s="2" t="s">
        <v>0</v>
      </c>
      <c r="B2" s="5"/>
      <c r="C2" s="5"/>
      <c r="D2" s="5"/>
      <c r="E2" s="5"/>
      <c r="F2" s="5"/>
      <c r="G2" s="5"/>
      <c r="H2" s="5"/>
      <c r="I2" s="5"/>
      <c r="J2" s="5"/>
      <c r="K2" s="5"/>
      <c r="L2" s="5"/>
    </row>
    <row r="3" spans="1:12" ht="138" x14ac:dyDescent="0.3">
      <c r="A3" s="2" t="s">
        <v>118</v>
      </c>
      <c r="B3" s="5"/>
      <c r="C3" s="5"/>
      <c r="D3" s="5"/>
      <c r="E3" s="5"/>
      <c r="F3" s="5"/>
      <c r="G3" s="5"/>
      <c r="H3" s="5"/>
      <c r="I3" s="5"/>
      <c r="J3" s="5"/>
      <c r="K3" s="5"/>
      <c r="L3" s="5"/>
    </row>
    <row r="4" spans="1:12" ht="120.75" x14ac:dyDescent="0.3">
      <c r="A4" s="2" t="s">
        <v>1</v>
      </c>
      <c r="B4" s="5"/>
      <c r="C4" s="5"/>
      <c r="D4" s="5"/>
      <c r="E4" s="5"/>
      <c r="F4" s="5"/>
      <c r="G4" s="5"/>
      <c r="H4" s="5"/>
      <c r="I4" s="5"/>
      <c r="J4" s="5"/>
      <c r="K4" s="5"/>
      <c r="L4" s="5"/>
    </row>
    <row r="5" spans="1:12" ht="45.75" x14ac:dyDescent="0.25">
      <c r="A5" s="8" t="s">
        <v>17</v>
      </c>
      <c r="B5" s="9" t="s">
        <v>38</v>
      </c>
      <c r="C5" s="9" t="s">
        <v>39</v>
      </c>
      <c r="D5" s="9" t="s">
        <v>40</v>
      </c>
      <c r="E5" s="9" t="s">
        <v>41</v>
      </c>
      <c r="F5" s="9" t="s">
        <v>42</v>
      </c>
      <c r="G5" s="9" t="s">
        <v>43</v>
      </c>
      <c r="H5" s="9" t="s">
        <v>44</v>
      </c>
      <c r="I5" s="9" t="s">
        <v>45</v>
      </c>
      <c r="J5" s="9" t="s">
        <v>46</v>
      </c>
      <c r="K5" s="9" t="s">
        <v>47</v>
      </c>
      <c r="L5" s="9" t="s">
        <v>24</v>
      </c>
    </row>
    <row r="6" spans="1:12" ht="15.75" x14ac:dyDescent="0.25">
      <c r="A6" s="10" t="s">
        <v>119</v>
      </c>
      <c r="B6" s="11">
        <v>0.31</v>
      </c>
      <c r="C6" s="11">
        <v>0.18</v>
      </c>
      <c r="D6" s="11">
        <v>0.15</v>
      </c>
      <c r="E6" s="11">
        <v>0.13</v>
      </c>
      <c r="F6" s="11">
        <v>0.1</v>
      </c>
      <c r="G6" s="11">
        <v>0.08</v>
      </c>
      <c r="H6" s="11">
        <v>7.0000000000000007E-2</v>
      </c>
      <c r="I6" s="11">
        <v>0.05</v>
      </c>
      <c r="J6" s="11">
        <v>0.06</v>
      </c>
      <c r="K6" s="11">
        <v>0.05</v>
      </c>
      <c r="L6" s="11">
        <v>0.11</v>
      </c>
    </row>
    <row r="7" spans="1:12" ht="15.75" x14ac:dyDescent="0.25">
      <c r="A7" s="10" t="s">
        <v>120</v>
      </c>
      <c r="B7" s="11">
        <v>0.25</v>
      </c>
      <c r="C7" s="11">
        <v>0.19</v>
      </c>
      <c r="D7" s="11">
        <v>0.12</v>
      </c>
      <c r="E7" s="11">
        <v>0.12</v>
      </c>
      <c r="F7" s="11">
        <v>0.09</v>
      </c>
      <c r="G7" s="11">
        <v>0.06</v>
      </c>
      <c r="H7" s="11">
        <v>0.04</v>
      </c>
      <c r="I7" s="11">
        <v>0.04</v>
      </c>
      <c r="J7" s="11">
        <v>0.04</v>
      </c>
      <c r="K7" s="11">
        <v>0.03</v>
      </c>
      <c r="L7" s="11">
        <v>0.09</v>
      </c>
    </row>
    <row r="8" spans="1:12" ht="15.75" x14ac:dyDescent="0.25">
      <c r="A8" s="10" t="s">
        <v>121</v>
      </c>
      <c r="B8" s="11">
        <v>0.6</v>
      </c>
      <c r="C8" s="11">
        <v>0.53</v>
      </c>
      <c r="D8" s="11">
        <v>0.42</v>
      </c>
      <c r="E8" s="11">
        <v>0.37</v>
      </c>
      <c r="F8" s="11">
        <v>0.32</v>
      </c>
      <c r="G8" s="11">
        <v>0.28999999999999998</v>
      </c>
      <c r="H8" s="11">
        <v>0.28000000000000003</v>
      </c>
      <c r="I8" s="11">
        <v>0.25</v>
      </c>
      <c r="J8" s="11">
        <v>0.25</v>
      </c>
      <c r="K8" s="11">
        <v>0.22</v>
      </c>
      <c r="L8" s="11">
        <v>0.34</v>
      </c>
    </row>
    <row r="9" spans="1:12" ht="15.75" x14ac:dyDescent="0.25">
      <c r="A9" s="10" t="s">
        <v>122</v>
      </c>
      <c r="B9" s="11">
        <v>0.15</v>
      </c>
      <c r="C9" s="11">
        <v>0.09</v>
      </c>
      <c r="D9" s="11">
        <v>0.06</v>
      </c>
      <c r="E9" s="11">
        <v>0.06</v>
      </c>
      <c r="F9" s="11">
        <v>0.06</v>
      </c>
      <c r="G9" s="11">
        <v>0.05</v>
      </c>
      <c r="H9" s="11">
        <v>0.02</v>
      </c>
      <c r="I9" s="11">
        <v>0.01</v>
      </c>
      <c r="J9" s="11">
        <v>0.02</v>
      </c>
      <c r="K9" s="11">
        <v>0.01</v>
      </c>
      <c r="L9" s="11">
        <v>0.05</v>
      </c>
    </row>
    <row r="10" spans="1:12" ht="15.75" x14ac:dyDescent="0.25">
      <c r="A10" s="10" t="s">
        <v>123</v>
      </c>
      <c r="B10" s="11">
        <v>0.18</v>
      </c>
      <c r="C10" s="11">
        <v>0.11</v>
      </c>
      <c r="D10" s="11">
        <v>7.0000000000000007E-2</v>
      </c>
      <c r="E10" s="11">
        <v>0.08</v>
      </c>
      <c r="F10" s="11">
        <v>0.06</v>
      </c>
      <c r="G10" s="11">
        <v>0.04</v>
      </c>
      <c r="H10" s="11">
        <v>0.03</v>
      </c>
      <c r="I10" s="11">
        <v>0.01</v>
      </c>
      <c r="J10" s="11">
        <v>0.02</v>
      </c>
      <c r="K10" s="11">
        <v>0.02</v>
      </c>
      <c r="L10" s="11">
        <v>0.06</v>
      </c>
    </row>
    <row r="11" spans="1:12" ht="15.75" x14ac:dyDescent="0.25">
      <c r="A11" s="10" t="s">
        <v>124</v>
      </c>
      <c r="B11" s="11">
        <v>0.33</v>
      </c>
      <c r="C11" s="11">
        <v>0.28999999999999998</v>
      </c>
      <c r="D11" s="11">
        <v>0.22</v>
      </c>
      <c r="E11" s="11">
        <v>0.17</v>
      </c>
      <c r="F11" s="11">
        <v>0.11</v>
      </c>
      <c r="G11" s="11">
        <v>0.08</v>
      </c>
      <c r="H11" s="11">
        <v>0.05</v>
      </c>
      <c r="I11" s="11">
        <v>0.04</v>
      </c>
      <c r="J11" s="11">
        <v>0.03</v>
      </c>
      <c r="K11" s="11">
        <v>0.04</v>
      </c>
      <c r="L11" s="11">
        <v>0.13</v>
      </c>
    </row>
    <row r="12" spans="1:12" ht="15.75" x14ac:dyDescent="0.25">
      <c r="A12" s="10" t="s">
        <v>125</v>
      </c>
      <c r="B12" s="11">
        <v>0.27</v>
      </c>
      <c r="C12" s="11">
        <v>0.21</v>
      </c>
      <c r="D12" s="11">
        <v>0.14000000000000001</v>
      </c>
      <c r="E12" s="11">
        <v>0.15</v>
      </c>
      <c r="F12" s="11">
        <v>0.09</v>
      </c>
      <c r="G12" s="11">
        <v>7.0000000000000007E-2</v>
      </c>
      <c r="H12" s="11">
        <v>0.04</v>
      </c>
      <c r="I12" s="11">
        <v>0.03</v>
      </c>
      <c r="J12" s="11">
        <v>0.04</v>
      </c>
      <c r="K12" s="11">
        <v>0.04</v>
      </c>
      <c r="L12" s="11">
        <v>0.1</v>
      </c>
    </row>
    <row r="13" spans="1:12" ht="15.75" x14ac:dyDescent="0.25">
      <c r="A13" s="10" t="s">
        <v>126</v>
      </c>
      <c r="B13" s="11">
        <v>0.02</v>
      </c>
      <c r="C13" s="11">
        <v>0.03</v>
      </c>
      <c r="D13" s="11">
        <v>0.02</v>
      </c>
      <c r="E13" s="11">
        <v>0.02</v>
      </c>
      <c r="F13" s="11">
        <v>0.01</v>
      </c>
      <c r="G13" s="11">
        <v>0.03</v>
      </c>
      <c r="H13" s="11">
        <v>0.01</v>
      </c>
      <c r="I13" s="11">
        <v>0.01</v>
      </c>
      <c r="J13" s="11">
        <v>0</v>
      </c>
      <c r="K13" s="11">
        <v>0</v>
      </c>
      <c r="L13" s="11">
        <v>0.02</v>
      </c>
    </row>
    <row r="14" spans="1:12" ht="15.75" x14ac:dyDescent="0.25">
      <c r="A14" s="10" t="s">
        <v>127</v>
      </c>
      <c r="B14" s="11">
        <v>0.41</v>
      </c>
      <c r="C14" s="11">
        <v>0.39</v>
      </c>
      <c r="D14" s="11">
        <v>0.36</v>
      </c>
      <c r="E14" s="11">
        <v>0.37</v>
      </c>
      <c r="F14" s="11">
        <v>0.33</v>
      </c>
      <c r="G14" s="11">
        <v>0.25</v>
      </c>
      <c r="H14" s="11">
        <v>0.27</v>
      </c>
      <c r="I14" s="11">
        <v>0.24</v>
      </c>
      <c r="J14" s="11">
        <v>0.27</v>
      </c>
      <c r="K14" s="11">
        <v>0.22</v>
      </c>
      <c r="L14" s="11">
        <v>0.31</v>
      </c>
    </row>
    <row r="15" spans="1:12" ht="15.75" x14ac:dyDescent="0.25">
      <c r="A15" s="10" t="s">
        <v>128</v>
      </c>
      <c r="B15" s="11">
        <v>0.79</v>
      </c>
      <c r="C15" s="11">
        <v>0.71</v>
      </c>
      <c r="D15" s="11">
        <v>0.65</v>
      </c>
      <c r="E15" s="11">
        <v>0.6</v>
      </c>
      <c r="F15" s="11">
        <v>0.53</v>
      </c>
      <c r="G15" s="11">
        <v>0.47</v>
      </c>
      <c r="H15" s="11">
        <v>0.46</v>
      </c>
      <c r="I15" s="11">
        <v>0.42</v>
      </c>
      <c r="J15" s="11">
        <v>0.44</v>
      </c>
      <c r="K15" s="11">
        <v>0.37</v>
      </c>
      <c r="L15" s="11">
        <v>0.53</v>
      </c>
    </row>
    <row r="16" spans="1:12" ht="15.75" x14ac:dyDescent="0.25">
      <c r="A16" s="12" t="s">
        <v>31</v>
      </c>
      <c r="B16" s="13">
        <v>530</v>
      </c>
      <c r="C16" s="13">
        <v>650</v>
      </c>
      <c r="D16" s="13">
        <v>720</v>
      </c>
      <c r="E16" s="13">
        <v>820</v>
      </c>
      <c r="F16" s="13">
        <v>960</v>
      </c>
      <c r="G16" s="13">
        <v>1020</v>
      </c>
      <c r="H16" s="13">
        <v>1110</v>
      </c>
      <c r="I16" s="13">
        <v>1120</v>
      </c>
      <c r="J16" s="13">
        <v>1010</v>
      </c>
      <c r="K16" s="13">
        <v>1100</v>
      </c>
      <c r="L16" s="13">
        <v>9030</v>
      </c>
    </row>
    <row r="17" spans="1:12" ht="15.75" x14ac:dyDescent="0.25">
      <c r="A17" s="14"/>
      <c r="B17" s="14"/>
      <c r="C17" s="14"/>
      <c r="D17" s="14"/>
      <c r="E17" s="14"/>
      <c r="F17" s="14"/>
      <c r="G17" s="14"/>
      <c r="H17" s="14"/>
      <c r="I17" s="14"/>
      <c r="J17" s="14"/>
      <c r="K17" s="14"/>
      <c r="L17" s="14"/>
    </row>
  </sheetData>
  <pageMargins left="0.7" right="0.7" top="0.75" bottom="0.75" header="0.3" footer="0.3"/>
  <pageSetup paperSize="9"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7"/>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129</v>
      </c>
      <c r="B1" s="5"/>
      <c r="C1" s="5"/>
      <c r="D1" s="5"/>
      <c r="E1" s="5"/>
      <c r="F1" s="5"/>
      <c r="G1" s="5"/>
    </row>
    <row r="2" spans="1:7" ht="34.5" x14ac:dyDescent="0.3">
      <c r="A2" s="2" t="s">
        <v>0</v>
      </c>
      <c r="B2" s="5"/>
      <c r="C2" s="5"/>
      <c r="D2" s="5"/>
      <c r="E2" s="5"/>
      <c r="F2" s="5"/>
      <c r="G2" s="5"/>
    </row>
    <row r="3" spans="1:7" ht="138" x14ac:dyDescent="0.3">
      <c r="A3" s="2" t="s">
        <v>118</v>
      </c>
      <c r="B3" s="5"/>
      <c r="C3" s="5"/>
      <c r="D3" s="5"/>
      <c r="E3" s="5"/>
      <c r="F3" s="5"/>
      <c r="G3" s="5"/>
    </row>
    <row r="4" spans="1:7" ht="120.75" x14ac:dyDescent="0.3">
      <c r="A4" s="2" t="s">
        <v>1</v>
      </c>
      <c r="B4" s="5"/>
      <c r="C4" s="5"/>
      <c r="D4" s="5"/>
      <c r="E4" s="5"/>
      <c r="F4" s="5"/>
      <c r="G4" s="5"/>
    </row>
    <row r="5" spans="1:7" ht="45.75" x14ac:dyDescent="0.25">
      <c r="A5" s="8" t="s">
        <v>17</v>
      </c>
      <c r="B5" s="9" t="s">
        <v>49</v>
      </c>
      <c r="C5" s="9" t="s">
        <v>50</v>
      </c>
      <c r="D5" s="9" t="s">
        <v>51</v>
      </c>
      <c r="E5" s="9" t="s">
        <v>52</v>
      </c>
      <c r="F5" s="9" t="s">
        <v>53</v>
      </c>
      <c r="G5" s="9" t="s">
        <v>24</v>
      </c>
    </row>
    <row r="6" spans="1:7" ht="15.75" x14ac:dyDescent="0.25">
      <c r="A6" s="10" t="s">
        <v>119</v>
      </c>
      <c r="B6" s="11">
        <v>0.24</v>
      </c>
      <c r="C6" s="11">
        <v>0.14000000000000001</v>
      </c>
      <c r="D6" s="11">
        <v>0.09</v>
      </c>
      <c r="E6" s="11">
        <v>0.06</v>
      </c>
      <c r="F6" s="11">
        <v>0.05</v>
      </c>
      <c r="G6" s="11">
        <v>0.11</v>
      </c>
    </row>
    <row r="7" spans="1:7" ht="15.75" x14ac:dyDescent="0.25">
      <c r="A7" s="10" t="s">
        <v>120</v>
      </c>
      <c r="B7" s="11">
        <v>0.22</v>
      </c>
      <c r="C7" s="11">
        <v>0.12</v>
      </c>
      <c r="D7" s="11">
        <v>7.0000000000000007E-2</v>
      </c>
      <c r="E7" s="11">
        <v>0.04</v>
      </c>
      <c r="F7" s="11">
        <v>0.04</v>
      </c>
      <c r="G7" s="11">
        <v>0.09</v>
      </c>
    </row>
    <row r="8" spans="1:7" ht="15.75" x14ac:dyDescent="0.25">
      <c r="A8" s="10" t="s">
        <v>121</v>
      </c>
      <c r="B8" s="11">
        <v>0.56000000000000005</v>
      </c>
      <c r="C8" s="11">
        <v>0.4</v>
      </c>
      <c r="D8" s="11">
        <v>0.3</v>
      </c>
      <c r="E8" s="11">
        <v>0.26</v>
      </c>
      <c r="F8" s="11">
        <v>0.24</v>
      </c>
      <c r="G8" s="11">
        <v>0.34</v>
      </c>
    </row>
    <row r="9" spans="1:7" ht="15.75" x14ac:dyDescent="0.25">
      <c r="A9" s="10" t="s">
        <v>122</v>
      </c>
      <c r="B9" s="11">
        <v>0.12</v>
      </c>
      <c r="C9" s="11">
        <v>0.06</v>
      </c>
      <c r="D9" s="11">
        <v>0.05</v>
      </c>
      <c r="E9" s="11">
        <v>0.02</v>
      </c>
      <c r="F9" s="11">
        <v>0.02</v>
      </c>
      <c r="G9" s="11">
        <v>0.05</v>
      </c>
    </row>
    <row r="10" spans="1:7" ht="15.75" x14ac:dyDescent="0.25">
      <c r="A10" s="10" t="s">
        <v>123</v>
      </c>
      <c r="B10" s="11">
        <v>0.14000000000000001</v>
      </c>
      <c r="C10" s="11">
        <v>0.08</v>
      </c>
      <c r="D10" s="11">
        <v>0.05</v>
      </c>
      <c r="E10" s="11">
        <v>0.02</v>
      </c>
      <c r="F10" s="11">
        <v>0.02</v>
      </c>
      <c r="G10" s="11">
        <v>0.06</v>
      </c>
    </row>
    <row r="11" spans="1:7" ht="15.75" x14ac:dyDescent="0.25">
      <c r="A11" s="10" t="s">
        <v>124</v>
      </c>
      <c r="B11" s="11">
        <v>0.31</v>
      </c>
      <c r="C11" s="11">
        <v>0.19</v>
      </c>
      <c r="D11" s="11">
        <v>0.1</v>
      </c>
      <c r="E11" s="11">
        <v>0.05</v>
      </c>
      <c r="F11" s="11">
        <v>0.03</v>
      </c>
      <c r="G11" s="11">
        <v>0.13</v>
      </c>
    </row>
    <row r="12" spans="1:7" ht="15.75" x14ac:dyDescent="0.25">
      <c r="A12" s="10" t="s">
        <v>130</v>
      </c>
      <c r="B12" s="11">
        <v>0.24</v>
      </c>
      <c r="C12" s="11">
        <v>0.14000000000000001</v>
      </c>
      <c r="D12" s="11">
        <v>0.08</v>
      </c>
      <c r="E12" s="11">
        <v>0.04</v>
      </c>
      <c r="F12" s="11">
        <v>0.04</v>
      </c>
      <c r="G12" s="11">
        <v>0.1</v>
      </c>
    </row>
    <row r="13" spans="1:7" ht="15.75" x14ac:dyDescent="0.25">
      <c r="A13" s="10" t="s">
        <v>126</v>
      </c>
      <c r="B13" s="11">
        <v>0.03</v>
      </c>
      <c r="C13" s="11">
        <v>0.02</v>
      </c>
      <c r="D13" s="11">
        <v>0.02</v>
      </c>
      <c r="E13" s="11">
        <v>0.01</v>
      </c>
      <c r="F13" s="11">
        <v>0</v>
      </c>
      <c r="G13" s="11">
        <v>0.02</v>
      </c>
    </row>
    <row r="14" spans="1:7" ht="15.75" x14ac:dyDescent="0.25">
      <c r="A14" s="10" t="s">
        <v>127</v>
      </c>
      <c r="B14" s="11">
        <v>0.4</v>
      </c>
      <c r="C14" s="11">
        <v>0.37</v>
      </c>
      <c r="D14" s="11">
        <v>0.28999999999999998</v>
      </c>
      <c r="E14" s="11">
        <v>0.25</v>
      </c>
      <c r="F14" s="11">
        <v>0.25</v>
      </c>
      <c r="G14" s="11">
        <v>0.31</v>
      </c>
    </row>
    <row r="15" spans="1:7" ht="15.75" x14ac:dyDescent="0.25">
      <c r="A15" s="10" t="s">
        <v>128</v>
      </c>
      <c r="B15" s="11">
        <v>0.75</v>
      </c>
      <c r="C15" s="11">
        <v>0.62</v>
      </c>
      <c r="D15" s="11">
        <v>0.5</v>
      </c>
      <c r="E15" s="11">
        <v>0.44</v>
      </c>
      <c r="F15" s="11">
        <v>0.4</v>
      </c>
      <c r="G15" s="11">
        <v>0.53</v>
      </c>
    </row>
    <row r="16" spans="1:7" ht="15.75" x14ac:dyDescent="0.25">
      <c r="A16" s="12" t="s">
        <v>31</v>
      </c>
      <c r="B16" s="13">
        <v>1180</v>
      </c>
      <c r="C16" s="13">
        <v>1540</v>
      </c>
      <c r="D16" s="13">
        <v>1980</v>
      </c>
      <c r="E16" s="13">
        <v>2230</v>
      </c>
      <c r="F16" s="13">
        <v>2110</v>
      </c>
      <c r="G16" s="13">
        <v>9030</v>
      </c>
    </row>
    <row r="17" spans="1:7" ht="15.75" x14ac:dyDescent="0.25">
      <c r="A17" s="14"/>
      <c r="B17" s="14"/>
      <c r="C17" s="14"/>
      <c r="D17" s="14"/>
      <c r="E17" s="14"/>
      <c r="F17" s="14"/>
      <c r="G17" s="14"/>
    </row>
  </sheetData>
  <pageMargins left="0.7" right="0.7" top="0.75" bottom="0.75" header="0.3" footer="0.3"/>
  <pageSetup paperSize="9"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6"/>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131</v>
      </c>
      <c r="B1" s="5"/>
      <c r="C1" s="5"/>
      <c r="D1" s="5"/>
      <c r="E1" s="5"/>
      <c r="F1" s="5"/>
    </row>
    <row r="2" spans="1:6" ht="34.5" x14ac:dyDescent="0.3">
      <c r="A2" s="2" t="s">
        <v>0</v>
      </c>
      <c r="B2" s="5"/>
      <c r="C2" s="5"/>
      <c r="D2" s="5"/>
      <c r="E2" s="5"/>
      <c r="F2" s="5"/>
    </row>
    <row r="3" spans="1:6" ht="138" x14ac:dyDescent="0.3">
      <c r="A3" s="2" t="s">
        <v>132</v>
      </c>
      <c r="B3" s="5"/>
      <c r="C3" s="5"/>
      <c r="D3" s="5"/>
      <c r="E3" s="5"/>
      <c r="F3" s="5"/>
    </row>
    <row r="4" spans="1:6" ht="30.75" x14ac:dyDescent="0.25">
      <c r="A4" s="8" t="s">
        <v>17</v>
      </c>
      <c r="B4" s="9" t="s">
        <v>79</v>
      </c>
      <c r="C4" s="9" t="s">
        <v>80</v>
      </c>
      <c r="D4" s="9" t="s">
        <v>81</v>
      </c>
      <c r="E4" s="9" t="s">
        <v>82</v>
      </c>
      <c r="F4" s="9" t="s">
        <v>24</v>
      </c>
    </row>
    <row r="5" spans="1:6" ht="15.75" x14ac:dyDescent="0.25">
      <c r="A5" s="10" t="s">
        <v>119</v>
      </c>
      <c r="B5" s="11">
        <v>7.0000000000000007E-2</v>
      </c>
      <c r="C5" s="11">
        <v>0.26</v>
      </c>
      <c r="D5" s="11">
        <v>0.22</v>
      </c>
      <c r="E5" s="11">
        <v>0.05</v>
      </c>
      <c r="F5" s="11">
        <v>0.11</v>
      </c>
    </row>
    <row r="6" spans="1:6" ht="15.75" x14ac:dyDescent="0.25">
      <c r="A6" s="10" t="s">
        <v>120</v>
      </c>
      <c r="B6" s="11">
        <v>7.0000000000000007E-2</v>
      </c>
      <c r="C6" s="11">
        <v>0.18</v>
      </c>
      <c r="D6" s="11">
        <v>0.13</v>
      </c>
      <c r="E6" s="11">
        <v>0.03</v>
      </c>
      <c r="F6" s="11">
        <v>0.09</v>
      </c>
    </row>
    <row r="7" spans="1:6" ht="15.75" x14ac:dyDescent="0.25">
      <c r="A7" s="10" t="s">
        <v>121</v>
      </c>
      <c r="B7" s="11">
        <v>0.32</v>
      </c>
      <c r="C7" s="11">
        <v>0.46</v>
      </c>
      <c r="D7" s="11">
        <v>0.39</v>
      </c>
      <c r="E7" s="11">
        <v>0.28999999999999998</v>
      </c>
      <c r="F7" s="11">
        <v>0.34</v>
      </c>
    </row>
    <row r="8" spans="1:6" ht="15.75" x14ac:dyDescent="0.25">
      <c r="A8" s="10" t="s">
        <v>122</v>
      </c>
      <c r="B8" s="11">
        <v>0.03</v>
      </c>
      <c r="C8" s="11">
        <v>0.14000000000000001</v>
      </c>
      <c r="D8" s="11">
        <v>7.0000000000000007E-2</v>
      </c>
      <c r="E8" s="11">
        <v>0.06</v>
      </c>
      <c r="F8" s="11">
        <v>0.05</v>
      </c>
    </row>
    <row r="9" spans="1:6" ht="15.75" x14ac:dyDescent="0.25">
      <c r="A9" s="10" t="s">
        <v>123</v>
      </c>
      <c r="B9" s="11">
        <v>0.04</v>
      </c>
      <c r="C9" s="11">
        <v>0.14000000000000001</v>
      </c>
      <c r="D9" s="11">
        <v>0.09</v>
      </c>
      <c r="E9" s="11">
        <v>0.05</v>
      </c>
      <c r="F9" s="11">
        <v>0.06</v>
      </c>
    </row>
    <row r="10" spans="1:6" ht="15.75" x14ac:dyDescent="0.25">
      <c r="A10" s="10" t="s">
        <v>124</v>
      </c>
      <c r="B10" s="11">
        <v>0.1</v>
      </c>
      <c r="C10" s="11">
        <v>0.28999999999999998</v>
      </c>
      <c r="D10" s="11">
        <v>0.15</v>
      </c>
      <c r="E10" s="11">
        <v>0.12</v>
      </c>
      <c r="F10" s="11">
        <v>0.13</v>
      </c>
    </row>
    <row r="11" spans="1:6" ht="15.75" x14ac:dyDescent="0.25">
      <c r="A11" s="10" t="s">
        <v>130</v>
      </c>
      <c r="B11" s="11">
        <v>7.0000000000000007E-2</v>
      </c>
      <c r="C11" s="11">
        <v>0.22</v>
      </c>
      <c r="D11" s="11">
        <v>0.18</v>
      </c>
      <c r="E11" s="11">
        <v>0.15</v>
      </c>
      <c r="F11" s="11">
        <v>0.1</v>
      </c>
    </row>
    <row r="12" spans="1:6" ht="15.75" x14ac:dyDescent="0.25">
      <c r="A12" s="10" t="s">
        <v>126</v>
      </c>
      <c r="B12" s="11">
        <v>0.01</v>
      </c>
      <c r="C12" s="11">
        <v>0.03</v>
      </c>
      <c r="D12" s="11">
        <v>0.01</v>
      </c>
      <c r="E12" s="11">
        <v>0</v>
      </c>
      <c r="F12" s="11">
        <v>0.02</v>
      </c>
    </row>
    <row r="13" spans="1:6" ht="15.75" x14ac:dyDescent="0.25">
      <c r="A13" s="10" t="s">
        <v>127</v>
      </c>
      <c r="B13" s="11">
        <v>0.3</v>
      </c>
      <c r="C13" s="11">
        <v>0.4</v>
      </c>
      <c r="D13" s="11">
        <v>0.26</v>
      </c>
      <c r="E13" s="11">
        <v>0.25</v>
      </c>
      <c r="F13" s="11">
        <v>0.31</v>
      </c>
    </row>
    <row r="14" spans="1:6" ht="15.75" x14ac:dyDescent="0.25">
      <c r="A14" s="10" t="s">
        <v>128</v>
      </c>
      <c r="B14" s="11">
        <v>0.5</v>
      </c>
      <c r="C14" s="11">
        <v>0.68</v>
      </c>
      <c r="D14" s="11">
        <v>0.6</v>
      </c>
      <c r="E14" s="11">
        <v>0.41</v>
      </c>
      <c r="F14" s="11">
        <v>0.53</v>
      </c>
    </row>
    <row r="15" spans="1:6" ht="15.75" x14ac:dyDescent="0.25">
      <c r="A15" s="12" t="s">
        <v>31</v>
      </c>
      <c r="B15" s="13">
        <v>7020</v>
      </c>
      <c r="C15" s="13">
        <v>1180</v>
      </c>
      <c r="D15" s="13">
        <v>750</v>
      </c>
      <c r="E15" s="13">
        <v>80</v>
      </c>
      <c r="F15" s="13">
        <v>9030</v>
      </c>
    </row>
    <row r="16" spans="1:6" ht="15.75" x14ac:dyDescent="0.25">
      <c r="A16" s="14"/>
      <c r="B16" s="14"/>
      <c r="C16" s="14"/>
      <c r="D16" s="14"/>
      <c r="E16" s="14"/>
      <c r="F16" s="14"/>
    </row>
  </sheetData>
  <pageMargins left="0.7" right="0.7" top="0.75" bottom="0.75" header="0.3" footer="0.3"/>
  <pageSetup paperSize="9" orientation="portrait" horizontalDpi="300" verticalDpi="300"/>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6"/>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133</v>
      </c>
      <c r="B1" s="5"/>
      <c r="C1" s="5"/>
      <c r="D1" s="5"/>
      <c r="E1" s="5"/>
      <c r="F1" s="5"/>
      <c r="G1" s="5"/>
      <c r="H1" s="5"/>
    </row>
    <row r="2" spans="1:8" ht="34.5" x14ac:dyDescent="0.3">
      <c r="A2" s="2" t="s">
        <v>0</v>
      </c>
      <c r="B2" s="5"/>
      <c r="C2" s="5"/>
      <c r="D2" s="5"/>
      <c r="E2" s="5"/>
      <c r="F2" s="5"/>
      <c r="G2" s="5"/>
      <c r="H2" s="5"/>
    </row>
    <row r="3" spans="1:8" ht="138" x14ac:dyDescent="0.3">
      <c r="A3" s="2" t="s">
        <v>132</v>
      </c>
      <c r="B3" s="5"/>
      <c r="C3" s="5"/>
      <c r="D3" s="5"/>
      <c r="E3" s="5"/>
      <c r="F3" s="5"/>
      <c r="G3" s="5"/>
      <c r="H3" s="5"/>
    </row>
    <row r="4" spans="1:8" ht="15.75" x14ac:dyDescent="0.25">
      <c r="A4" s="8" t="s">
        <v>17</v>
      </c>
      <c r="B4" s="9" t="s">
        <v>68</v>
      </c>
      <c r="C4" s="9" t="s">
        <v>69</v>
      </c>
      <c r="D4" s="9" t="s">
        <v>70</v>
      </c>
      <c r="E4" s="9" t="s">
        <v>71</v>
      </c>
      <c r="F4" s="9" t="s">
        <v>72</v>
      </c>
      <c r="G4" s="9" t="s">
        <v>73</v>
      </c>
      <c r="H4" s="9" t="s">
        <v>24</v>
      </c>
    </row>
    <row r="5" spans="1:8" ht="15.75" x14ac:dyDescent="0.25">
      <c r="A5" s="10" t="s">
        <v>119</v>
      </c>
      <c r="B5" s="11">
        <v>0.15</v>
      </c>
      <c r="C5" s="11">
        <v>0.17</v>
      </c>
      <c r="D5" s="11">
        <v>0.13</v>
      </c>
      <c r="E5" s="11">
        <v>0.11</v>
      </c>
      <c r="F5" s="11">
        <v>7.0000000000000007E-2</v>
      </c>
      <c r="G5" s="11">
        <v>0.04</v>
      </c>
      <c r="H5" s="11">
        <v>0.11</v>
      </c>
    </row>
    <row r="6" spans="1:8" ht="15.75" x14ac:dyDescent="0.25">
      <c r="A6" s="10" t="s">
        <v>120</v>
      </c>
      <c r="B6" s="11">
        <v>0.12</v>
      </c>
      <c r="C6" s="11">
        <v>0.14000000000000001</v>
      </c>
      <c r="D6" s="11">
        <v>0.1</v>
      </c>
      <c r="E6" s="11">
        <v>0.1</v>
      </c>
      <c r="F6" s="11">
        <v>0.06</v>
      </c>
      <c r="G6" s="11">
        <v>0.03</v>
      </c>
      <c r="H6" s="11">
        <v>0.09</v>
      </c>
    </row>
    <row r="7" spans="1:8" ht="15.75" x14ac:dyDescent="0.25">
      <c r="A7" s="10" t="s">
        <v>121</v>
      </c>
      <c r="B7" s="11">
        <v>0.34</v>
      </c>
      <c r="C7" s="11">
        <v>0.39</v>
      </c>
      <c r="D7" s="11">
        <v>0.39</v>
      </c>
      <c r="E7" s="11">
        <v>0.35</v>
      </c>
      <c r="F7" s="11">
        <v>0.32</v>
      </c>
      <c r="G7" s="11">
        <v>0.21</v>
      </c>
      <c r="H7" s="11">
        <v>0.34</v>
      </c>
    </row>
    <row r="8" spans="1:8" ht="15.75" x14ac:dyDescent="0.25">
      <c r="A8" s="10" t="s">
        <v>122</v>
      </c>
      <c r="B8" s="11">
        <v>0.04</v>
      </c>
      <c r="C8" s="11">
        <v>0.08</v>
      </c>
      <c r="D8" s="11">
        <v>7.0000000000000007E-2</v>
      </c>
      <c r="E8" s="11">
        <v>0.05</v>
      </c>
      <c r="F8" s="11">
        <v>0.04</v>
      </c>
      <c r="G8" s="11">
        <v>0.02</v>
      </c>
      <c r="H8" s="11">
        <v>0.05</v>
      </c>
    </row>
    <row r="9" spans="1:8" ht="15.75" x14ac:dyDescent="0.25">
      <c r="A9" s="10" t="s">
        <v>123</v>
      </c>
      <c r="B9" s="11">
        <v>0.05</v>
      </c>
      <c r="C9" s="11">
        <v>0.09</v>
      </c>
      <c r="D9" s="11">
        <v>0.06</v>
      </c>
      <c r="E9" s="11">
        <v>7.0000000000000007E-2</v>
      </c>
      <c r="F9" s="11">
        <v>0.04</v>
      </c>
      <c r="G9" s="11">
        <v>0.01</v>
      </c>
      <c r="H9" s="11">
        <v>0.06</v>
      </c>
    </row>
    <row r="10" spans="1:8" ht="15.75" x14ac:dyDescent="0.25">
      <c r="A10" s="10" t="s">
        <v>124</v>
      </c>
      <c r="B10" s="11">
        <v>0.11</v>
      </c>
      <c r="C10" s="11">
        <v>0.16</v>
      </c>
      <c r="D10" s="11">
        <v>0.15</v>
      </c>
      <c r="E10" s="11">
        <v>0.14000000000000001</v>
      </c>
      <c r="F10" s="11">
        <v>0.11</v>
      </c>
      <c r="G10" s="11">
        <v>0.06</v>
      </c>
      <c r="H10" s="11">
        <v>0.13</v>
      </c>
    </row>
    <row r="11" spans="1:8" ht="15.75" x14ac:dyDescent="0.25">
      <c r="A11" s="10" t="s">
        <v>130</v>
      </c>
      <c r="B11" s="11">
        <v>0.13</v>
      </c>
      <c r="C11" s="11">
        <v>0.15</v>
      </c>
      <c r="D11" s="11">
        <v>0.11</v>
      </c>
      <c r="E11" s="11">
        <v>0.11</v>
      </c>
      <c r="F11" s="11">
        <v>0.06</v>
      </c>
      <c r="G11" s="11">
        <v>0.02</v>
      </c>
      <c r="H11" s="11">
        <v>0.1</v>
      </c>
    </row>
    <row r="12" spans="1:8" ht="15.75" x14ac:dyDescent="0.25">
      <c r="A12" s="10" t="s">
        <v>126</v>
      </c>
      <c r="B12" s="11">
        <v>0.01</v>
      </c>
      <c r="C12" s="11">
        <v>0.02</v>
      </c>
      <c r="D12" s="11">
        <v>0.02</v>
      </c>
      <c r="E12" s="11">
        <v>0.02</v>
      </c>
      <c r="F12" s="11">
        <v>0.01</v>
      </c>
      <c r="G12" s="11">
        <v>0.01</v>
      </c>
      <c r="H12" s="11">
        <v>0.02</v>
      </c>
    </row>
    <row r="13" spans="1:8" ht="15.75" x14ac:dyDescent="0.25">
      <c r="A13" s="10" t="s">
        <v>127</v>
      </c>
      <c r="B13" s="11">
        <v>0.26</v>
      </c>
      <c r="C13" s="11">
        <v>0.33</v>
      </c>
      <c r="D13" s="11">
        <v>0.38</v>
      </c>
      <c r="E13" s="11">
        <v>0.32</v>
      </c>
      <c r="F13" s="11">
        <v>0.28999999999999998</v>
      </c>
      <c r="G13" s="11">
        <v>0.19</v>
      </c>
      <c r="H13" s="11">
        <v>0.31</v>
      </c>
    </row>
    <row r="14" spans="1:8" ht="15.75" x14ac:dyDescent="0.25">
      <c r="A14" s="10" t="s">
        <v>128</v>
      </c>
      <c r="B14" s="11">
        <v>0.52</v>
      </c>
      <c r="C14" s="11">
        <v>0.6</v>
      </c>
      <c r="D14" s="11">
        <v>0.6</v>
      </c>
      <c r="E14" s="11">
        <v>0.55000000000000004</v>
      </c>
      <c r="F14" s="11">
        <v>0.49</v>
      </c>
      <c r="G14" s="11">
        <v>0.35</v>
      </c>
      <c r="H14" s="11">
        <v>0.53</v>
      </c>
    </row>
    <row r="15" spans="1:8" ht="15.75" x14ac:dyDescent="0.25">
      <c r="A15" s="12" t="s">
        <v>31</v>
      </c>
      <c r="B15" s="13">
        <v>400</v>
      </c>
      <c r="C15" s="13">
        <v>900</v>
      </c>
      <c r="D15" s="13">
        <v>1050</v>
      </c>
      <c r="E15" s="13">
        <v>2160</v>
      </c>
      <c r="F15" s="13">
        <v>3210</v>
      </c>
      <c r="G15" s="13">
        <v>1310</v>
      </c>
      <c r="H15" s="13">
        <v>9030</v>
      </c>
    </row>
    <row r="16" spans="1:8" ht="15.75" x14ac:dyDescent="0.25">
      <c r="A16" s="14"/>
      <c r="B16" s="14"/>
      <c r="C16" s="14"/>
      <c r="D16" s="14"/>
      <c r="E16" s="14"/>
      <c r="F16" s="14"/>
      <c r="G16" s="14"/>
      <c r="H16" s="14"/>
    </row>
  </sheetData>
  <pageMargins left="0.7" right="0.7" top="0.75" bottom="0.75" header="0.3" footer="0.3"/>
  <pageSetup paperSize="9" orientation="portrait" horizontalDpi="300" verticalDpi="300"/>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17"/>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134</v>
      </c>
      <c r="B1" s="5"/>
      <c r="C1" s="5"/>
      <c r="D1" s="5"/>
      <c r="E1" s="5"/>
      <c r="F1" s="5"/>
      <c r="G1" s="5"/>
      <c r="H1" s="5"/>
    </row>
    <row r="2" spans="1:8" ht="34.5" x14ac:dyDescent="0.3">
      <c r="A2" s="2" t="s">
        <v>0</v>
      </c>
      <c r="B2" s="5"/>
      <c r="C2" s="5"/>
      <c r="D2" s="5"/>
      <c r="E2" s="5"/>
      <c r="F2" s="5"/>
      <c r="G2" s="5"/>
      <c r="H2" s="5"/>
    </row>
    <row r="3" spans="1:8" ht="138" x14ac:dyDescent="0.3">
      <c r="A3" s="2" t="s">
        <v>118</v>
      </c>
      <c r="B3" s="5"/>
      <c r="C3" s="5"/>
      <c r="D3" s="5"/>
      <c r="E3" s="5"/>
      <c r="F3" s="5"/>
      <c r="G3" s="5"/>
      <c r="H3" s="5"/>
    </row>
    <row r="4" spans="1:8" ht="103.5" x14ac:dyDescent="0.3">
      <c r="A4" s="2" t="s">
        <v>2</v>
      </c>
      <c r="B4" s="5"/>
      <c r="C4" s="5"/>
      <c r="D4" s="5"/>
      <c r="E4" s="5"/>
      <c r="F4" s="5"/>
      <c r="G4" s="5"/>
      <c r="H4" s="5"/>
    </row>
    <row r="5" spans="1:8" ht="30.75" x14ac:dyDescent="0.25">
      <c r="A5" s="8" t="s">
        <v>17</v>
      </c>
      <c r="B5" s="9" t="s">
        <v>18</v>
      </c>
      <c r="C5" s="9" t="s">
        <v>19</v>
      </c>
      <c r="D5" s="9" t="s">
        <v>20</v>
      </c>
      <c r="E5" s="9" t="s">
        <v>21</v>
      </c>
      <c r="F5" s="9" t="s">
        <v>22</v>
      </c>
      <c r="G5" s="9" t="s">
        <v>23</v>
      </c>
      <c r="H5" s="9" t="s">
        <v>24</v>
      </c>
    </row>
    <row r="6" spans="1:8" ht="15.75" x14ac:dyDescent="0.25">
      <c r="A6" s="10" t="s">
        <v>119</v>
      </c>
      <c r="B6" s="11">
        <v>0.16</v>
      </c>
      <c r="C6" s="11">
        <v>0.11</v>
      </c>
      <c r="D6" s="11">
        <v>7.0000000000000007E-2</v>
      </c>
      <c r="E6" s="11">
        <v>0.08</v>
      </c>
      <c r="F6" s="11">
        <v>0.05</v>
      </c>
      <c r="G6" s="11">
        <v>0.03</v>
      </c>
      <c r="H6" s="11">
        <v>0.11</v>
      </c>
    </row>
    <row r="7" spans="1:8" ht="15.75" x14ac:dyDescent="0.25">
      <c r="A7" s="10" t="s">
        <v>120</v>
      </c>
      <c r="B7" s="11">
        <v>0.14000000000000001</v>
      </c>
      <c r="C7" s="11">
        <v>0.09</v>
      </c>
      <c r="D7" s="11">
        <v>0.04</v>
      </c>
      <c r="E7" s="11">
        <v>0.03</v>
      </c>
      <c r="F7" s="11">
        <v>0.04</v>
      </c>
      <c r="G7" s="11">
        <v>0.02</v>
      </c>
      <c r="H7" s="11">
        <v>0.09</v>
      </c>
    </row>
    <row r="8" spans="1:8" ht="15.75" x14ac:dyDescent="0.25">
      <c r="A8" s="10" t="s">
        <v>121</v>
      </c>
      <c r="B8" s="11">
        <v>0.44</v>
      </c>
      <c r="C8" s="11">
        <v>0.34</v>
      </c>
      <c r="D8" s="11">
        <v>0.28999999999999998</v>
      </c>
      <c r="E8" s="11">
        <v>0.2</v>
      </c>
      <c r="F8" s="11">
        <v>0.25</v>
      </c>
      <c r="G8" s="11">
        <v>0.14000000000000001</v>
      </c>
      <c r="H8" s="11">
        <v>0.34</v>
      </c>
    </row>
    <row r="9" spans="1:8" ht="15.75" x14ac:dyDescent="0.25">
      <c r="A9" s="10" t="s">
        <v>122</v>
      </c>
      <c r="B9" s="11">
        <v>0.06</v>
      </c>
      <c r="C9" s="11">
        <v>0.06</v>
      </c>
      <c r="D9" s="11">
        <v>0.04</v>
      </c>
      <c r="E9" s="11">
        <v>0.03</v>
      </c>
      <c r="F9" s="11">
        <v>0.04</v>
      </c>
      <c r="G9" s="11">
        <v>0.03</v>
      </c>
      <c r="H9" s="11">
        <v>0.05</v>
      </c>
    </row>
    <row r="10" spans="1:8" ht="15.75" x14ac:dyDescent="0.25">
      <c r="A10" s="10" t="s">
        <v>123</v>
      </c>
      <c r="B10" s="11">
        <v>7.0000000000000007E-2</v>
      </c>
      <c r="C10" s="11">
        <v>7.0000000000000007E-2</v>
      </c>
      <c r="D10" s="11">
        <v>0.05</v>
      </c>
      <c r="E10" s="11">
        <v>0.02</v>
      </c>
      <c r="F10" s="11">
        <v>0.03</v>
      </c>
      <c r="G10" s="11">
        <v>0.02</v>
      </c>
      <c r="H10" s="11">
        <v>0.06</v>
      </c>
    </row>
    <row r="11" spans="1:8" ht="15.75" x14ac:dyDescent="0.25">
      <c r="A11" s="10" t="s">
        <v>124</v>
      </c>
      <c r="B11" s="11">
        <v>0.15</v>
      </c>
      <c r="C11" s="11">
        <v>0.14000000000000001</v>
      </c>
      <c r="D11" s="11">
        <v>0.12</v>
      </c>
      <c r="E11" s="11">
        <v>0.16</v>
      </c>
      <c r="F11" s="11">
        <v>7.0000000000000007E-2</v>
      </c>
      <c r="G11" s="11">
        <v>0.04</v>
      </c>
      <c r="H11" s="11">
        <v>0.13</v>
      </c>
    </row>
    <row r="12" spans="1:8" ht="15.75" x14ac:dyDescent="0.25">
      <c r="A12" s="10" t="s">
        <v>130</v>
      </c>
      <c r="B12" s="11">
        <v>0.14000000000000001</v>
      </c>
      <c r="C12" s="11">
        <v>0.11</v>
      </c>
      <c r="D12" s="11">
        <v>0.05</v>
      </c>
      <c r="E12" s="11">
        <v>0.06</v>
      </c>
      <c r="F12" s="11">
        <v>0.05</v>
      </c>
      <c r="G12" s="11">
        <v>0.03</v>
      </c>
      <c r="H12" s="11">
        <v>0.1</v>
      </c>
    </row>
    <row r="13" spans="1:8" ht="15.75" x14ac:dyDescent="0.25">
      <c r="A13" s="10" t="s">
        <v>126</v>
      </c>
      <c r="B13" s="11">
        <v>0.02</v>
      </c>
      <c r="C13" s="11">
        <v>0.01</v>
      </c>
      <c r="D13" s="11">
        <v>0.01</v>
      </c>
      <c r="E13" s="11">
        <v>0.03</v>
      </c>
      <c r="F13" s="11">
        <v>0.01</v>
      </c>
      <c r="G13" s="11">
        <v>0.02</v>
      </c>
      <c r="H13" s="11">
        <v>0.02</v>
      </c>
    </row>
    <row r="14" spans="1:8" ht="15.75" x14ac:dyDescent="0.25">
      <c r="A14" s="10" t="s">
        <v>127</v>
      </c>
      <c r="B14" s="11">
        <v>0.32</v>
      </c>
      <c r="C14" s="11">
        <v>0.31</v>
      </c>
      <c r="D14" s="11">
        <v>0.33</v>
      </c>
      <c r="E14" s="11">
        <v>0.28000000000000003</v>
      </c>
      <c r="F14" s="11">
        <v>0.3</v>
      </c>
      <c r="G14" s="11">
        <v>0.19</v>
      </c>
      <c r="H14" s="11">
        <v>0.31</v>
      </c>
    </row>
    <row r="15" spans="1:8" ht="15.75" x14ac:dyDescent="0.25">
      <c r="A15" s="10" t="s">
        <v>128</v>
      </c>
      <c r="B15" s="11">
        <v>0.6</v>
      </c>
      <c r="C15" s="11">
        <v>0.54</v>
      </c>
      <c r="D15" s="11">
        <v>0.49</v>
      </c>
      <c r="E15" s="11">
        <v>0.48</v>
      </c>
      <c r="F15" s="11">
        <v>0.46</v>
      </c>
      <c r="G15" s="11">
        <v>0.32</v>
      </c>
      <c r="H15" s="11">
        <v>0.53</v>
      </c>
    </row>
    <row r="16" spans="1:8" ht="15.75" x14ac:dyDescent="0.25">
      <c r="A16" s="12" t="s">
        <v>31</v>
      </c>
      <c r="B16" s="13">
        <v>2950</v>
      </c>
      <c r="C16" s="13">
        <v>2670</v>
      </c>
      <c r="D16" s="13">
        <v>850</v>
      </c>
      <c r="E16" s="13">
        <v>370</v>
      </c>
      <c r="F16" s="13">
        <v>1210</v>
      </c>
      <c r="G16" s="13">
        <v>990</v>
      </c>
      <c r="H16" s="13">
        <v>9030</v>
      </c>
    </row>
    <row r="17" spans="1:8" ht="15.75" x14ac:dyDescent="0.25">
      <c r="A17" s="14"/>
      <c r="B17" s="14"/>
      <c r="C17" s="14"/>
      <c r="D17" s="14"/>
      <c r="E17" s="14"/>
      <c r="F17" s="14"/>
      <c r="G17" s="14"/>
      <c r="H17" s="14"/>
    </row>
  </sheetData>
  <pageMargins left="0.7" right="0.7" top="0.75" bottom="0.75" header="0.3" footer="0.3"/>
  <pageSetup paperSize="9"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16"/>
  <sheetViews>
    <sheetView showGridLines="0" workbookViewId="0"/>
  </sheetViews>
  <sheetFormatPr defaultColWidth="11.42578125" defaultRowHeight="15" x14ac:dyDescent="0.25"/>
  <cols>
    <col min="1" max="1" width="70.7109375" customWidth="1"/>
    <col min="2" max="3" width="15.7109375" customWidth="1"/>
  </cols>
  <sheetData>
    <row r="1" spans="1:3" ht="19.5" x14ac:dyDescent="0.3">
      <c r="A1" s="1" t="s">
        <v>135</v>
      </c>
      <c r="B1" s="5"/>
      <c r="C1" s="5"/>
    </row>
    <row r="2" spans="1:3" ht="34.5" x14ac:dyDescent="0.3">
      <c r="A2" s="2" t="s">
        <v>0</v>
      </c>
      <c r="B2" s="5"/>
      <c r="C2" s="5"/>
    </row>
    <row r="3" spans="1:3" ht="138" x14ac:dyDescent="0.3">
      <c r="A3" s="2" t="s">
        <v>132</v>
      </c>
      <c r="B3" s="5"/>
      <c r="C3" s="5"/>
    </row>
    <row r="4" spans="1:3" ht="15.75" x14ac:dyDescent="0.25">
      <c r="A4" s="8" t="s">
        <v>17</v>
      </c>
      <c r="B4" s="9" t="s">
        <v>136</v>
      </c>
      <c r="C4" s="9" t="s">
        <v>137</v>
      </c>
    </row>
    <row r="5" spans="1:3" ht="15.75" x14ac:dyDescent="0.25">
      <c r="A5" s="10" t="s">
        <v>119</v>
      </c>
      <c r="B5" s="11">
        <v>0.11</v>
      </c>
      <c r="C5" s="11">
        <v>0.14000000000000001</v>
      </c>
    </row>
    <row r="6" spans="1:3" ht="15.75" x14ac:dyDescent="0.25">
      <c r="A6" s="10" t="s">
        <v>120</v>
      </c>
      <c r="B6" s="11">
        <v>0.09</v>
      </c>
      <c r="C6" s="11">
        <v>0.08</v>
      </c>
    </row>
    <row r="7" spans="1:3" ht="15.75" x14ac:dyDescent="0.25">
      <c r="A7" s="10" t="s">
        <v>121</v>
      </c>
      <c r="B7" s="11">
        <v>0.34</v>
      </c>
      <c r="C7" s="11">
        <v>0.4</v>
      </c>
    </row>
    <row r="8" spans="1:3" ht="15.75" x14ac:dyDescent="0.25">
      <c r="A8" s="10" t="s">
        <v>122</v>
      </c>
      <c r="B8" s="11">
        <v>0.05</v>
      </c>
      <c r="C8" s="11">
        <v>0.05</v>
      </c>
    </row>
    <row r="9" spans="1:3" ht="15.75" x14ac:dyDescent="0.25">
      <c r="A9" s="10" t="s">
        <v>123</v>
      </c>
      <c r="B9" s="11">
        <v>0.06</v>
      </c>
      <c r="C9" s="11">
        <v>0.04</v>
      </c>
    </row>
    <row r="10" spans="1:3" ht="15.75" x14ac:dyDescent="0.25">
      <c r="A10" s="10" t="s">
        <v>124</v>
      </c>
      <c r="B10" s="11">
        <v>0.13</v>
      </c>
      <c r="C10" s="11">
        <v>0.1</v>
      </c>
    </row>
    <row r="11" spans="1:3" ht="15.75" x14ac:dyDescent="0.25">
      <c r="A11" s="10" t="s">
        <v>130</v>
      </c>
      <c r="B11" s="11">
        <v>0.1</v>
      </c>
      <c r="C11" s="11">
        <v>0.12</v>
      </c>
    </row>
    <row r="12" spans="1:3" ht="15.75" x14ac:dyDescent="0.25">
      <c r="A12" s="10" t="s">
        <v>126</v>
      </c>
      <c r="B12" s="11">
        <v>0.02</v>
      </c>
      <c r="C12" s="11">
        <v>0.02</v>
      </c>
    </row>
    <row r="13" spans="1:3" ht="15.75" x14ac:dyDescent="0.25">
      <c r="A13" s="10" t="s">
        <v>127</v>
      </c>
      <c r="B13" s="11">
        <v>0.31</v>
      </c>
      <c r="C13" s="11">
        <v>0.4</v>
      </c>
    </row>
    <row r="14" spans="1:3" ht="15.75" x14ac:dyDescent="0.25">
      <c r="A14" s="10" t="s">
        <v>128</v>
      </c>
      <c r="B14" s="11">
        <v>0.53</v>
      </c>
      <c r="C14" s="11">
        <v>0.63</v>
      </c>
    </row>
    <row r="15" spans="1:3" ht="15.75" x14ac:dyDescent="0.25">
      <c r="A15" s="12" t="s">
        <v>31</v>
      </c>
      <c r="B15" s="13">
        <v>9030</v>
      </c>
      <c r="C15" s="13">
        <v>9030</v>
      </c>
    </row>
    <row r="16" spans="1:3" ht="15.75" x14ac:dyDescent="0.25">
      <c r="A16" s="14"/>
      <c r="B16" s="14"/>
      <c r="C16" s="14"/>
    </row>
  </sheetData>
  <pageMargins left="0.7" right="0.7" top="0.75" bottom="0.75" header="0.3" footer="0.3"/>
  <pageSetup paperSize="9" orientation="portrait" horizontalDpi="300" verticalDpi="300"/>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17"/>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138</v>
      </c>
      <c r="B1" s="5"/>
      <c r="C1" s="5"/>
      <c r="D1" s="5"/>
      <c r="E1" s="5"/>
      <c r="F1" s="5"/>
      <c r="G1" s="5"/>
    </row>
    <row r="2" spans="1:7" ht="34.5" x14ac:dyDescent="0.3">
      <c r="A2" s="2" t="s">
        <v>0</v>
      </c>
      <c r="B2" s="5"/>
      <c r="C2" s="5"/>
      <c r="D2" s="5"/>
      <c r="E2" s="5"/>
      <c r="F2" s="5"/>
      <c r="G2" s="5"/>
    </row>
    <row r="3" spans="1:7" ht="138" x14ac:dyDescent="0.3">
      <c r="A3" s="2" t="s">
        <v>118</v>
      </c>
      <c r="B3" s="5"/>
      <c r="C3" s="5"/>
      <c r="D3" s="5"/>
      <c r="E3" s="5"/>
      <c r="F3" s="5"/>
      <c r="G3" s="5"/>
    </row>
    <row r="4" spans="1:7" ht="120.75" x14ac:dyDescent="0.3">
      <c r="A4" s="2" t="s">
        <v>1</v>
      </c>
      <c r="B4" s="5"/>
      <c r="C4" s="5"/>
      <c r="D4" s="5"/>
      <c r="E4" s="5"/>
      <c r="F4" s="5"/>
      <c r="G4" s="5"/>
    </row>
    <row r="5" spans="1:7" ht="45.75" x14ac:dyDescent="0.25">
      <c r="A5" s="8" t="s">
        <v>17</v>
      </c>
      <c r="B5" s="9" t="s">
        <v>49</v>
      </c>
      <c r="C5" s="9" t="s">
        <v>50</v>
      </c>
      <c r="D5" s="9" t="s">
        <v>51</v>
      </c>
      <c r="E5" s="9" t="s">
        <v>52</v>
      </c>
      <c r="F5" s="9" t="s">
        <v>53</v>
      </c>
      <c r="G5" s="9" t="s">
        <v>24</v>
      </c>
    </row>
    <row r="6" spans="1:7" ht="15.75" x14ac:dyDescent="0.25">
      <c r="A6" s="10" t="s">
        <v>119</v>
      </c>
      <c r="B6" s="11">
        <v>0.27</v>
      </c>
      <c r="C6" s="11">
        <v>0.16</v>
      </c>
      <c r="D6" s="11">
        <v>0.11</v>
      </c>
      <c r="E6" s="11">
        <v>0.09</v>
      </c>
      <c r="F6" s="11">
        <v>0.09</v>
      </c>
      <c r="G6" s="11">
        <v>0.14000000000000001</v>
      </c>
    </row>
    <row r="7" spans="1:7" ht="15.75" x14ac:dyDescent="0.25">
      <c r="A7" s="10" t="s">
        <v>139</v>
      </c>
      <c r="B7" s="11">
        <v>0.16</v>
      </c>
      <c r="C7" s="11">
        <v>0.09</v>
      </c>
      <c r="D7" s="11">
        <v>0.06</v>
      </c>
      <c r="E7" s="11">
        <v>0.04</v>
      </c>
      <c r="F7" s="11">
        <v>0.05</v>
      </c>
      <c r="G7" s="11">
        <v>0.08</v>
      </c>
    </row>
    <row r="8" spans="1:7" ht="15.75" x14ac:dyDescent="0.25">
      <c r="A8" s="10" t="s">
        <v>121</v>
      </c>
      <c r="B8" s="11">
        <v>0.56000000000000005</v>
      </c>
      <c r="C8" s="11">
        <v>0.44</v>
      </c>
      <c r="D8" s="11">
        <v>0.37</v>
      </c>
      <c r="E8" s="11">
        <v>0.33</v>
      </c>
      <c r="F8" s="11">
        <v>0.34</v>
      </c>
      <c r="G8" s="11">
        <v>0.4</v>
      </c>
    </row>
    <row r="9" spans="1:7" ht="15.75" x14ac:dyDescent="0.25">
      <c r="A9" s="10" t="s">
        <v>122</v>
      </c>
      <c r="B9" s="11">
        <v>0.1</v>
      </c>
      <c r="C9" s="11">
        <v>7.0000000000000007E-2</v>
      </c>
      <c r="D9" s="11">
        <v>0.06</v>
      </c>
      <c r="E9" s="11">
        <v>0.03</v>
      </c>
      <c r="F9" s="11">
        <v>0.02</v>
      </c>
      <c r="G9" s="11">
        <v>0.05</v>
      </c>
    </row>
    <row r="10" spans="1:7" ht="15.75" x14ac:dyDescent="0.25">
      <c r="A10" s="10" t="s">
        <v>140</v>
      </c>
      <c r="B10" s="11">
        <v>0.1</v>
      </c>
      <c r="C10" s="11">
        <v>0.05</v>
      </c>
      <c r="D10" s="11">
        <v>0.04</v>
      </c>
      <c r="E10" s="11">
        <v>0.02</v>
      </c>
      <c r="F10" s="11">
        <v>0.01</v>
      </c>
      <c r="G10" s="11">
        <v>0.04</v>
      </c>
    </row>
    <row r="11" spans="1:7" ht="15.75" x14ac:dyDescent="0.25">
      <c r="A11" s="10" t="s">
        <v>141</v>
      </c>
      <c r="B11" s="11">
        <v>0.23</v>
      </c>
      <c r="C11" s="11">
        <v>0.13</v>
      </c>
      <c r="D11" s="11">
        <v>7.0000000000000007E-2</v>
      </c>
      <c r="E11" s="11">
        <v>0.05</v>
      </c>
      <c r="F11" s="11">
        <v>0.03</v>
      </c>
      <c r="G11" s="11">
        <v>0.1</v>
      </c>
    </row>
    <row r="12" spans="1:7" ht="15.75" x14ac:dyDescent="0.25">
      <c r="A12" s="10" t="s">
        <v>130</v>
      </c>
      <c r="B12" s="11">
        <v>0.23</v>
      </c>
      <c r="C12" s="11">
        <v>0.14000000000000001</v>
      </c>
      <c r="D12" s="11">
        <v>0.09</v>
      </c>
      <c r="E12" s="11">
        <v>7.0000000000000007E-2</v>
      </c>
      <c r="F12" s="11">
        <v>7.0000000000000007E-2</v>
      </c>
      <c r="G12" s="11">
        <v>0.12</v>
      </c>
    </row>
    <row r="13" spans="1:7" ht="15.75" x14ac:dyDescent="0.25">
      <c r="A13" s="10" t="s">
        <v>126</v>
      </c>
      <c r="B13" s="11">
        <v>0.03</v>
      </c>
      <c r="C13" s="11">
        <v>0.02</v>
      </c>
      <c r="D13" s="11">
        <v>0.03</v>
      </c>
      <c r="E13" s="11">
        <v>0.02</v>
      </c>
      <c r="F13" s="11">
        <v>0.01</v>
      </c>
      <c r="G13" s="11">
        <v>0.02</v>
      </c>
    </row>
    <row r="14" spans="1:7" ht="15.75" x14ac:dyDescent="0.25">
      <c r="A14" s="10" t="s">
        <v>127</v>
      </c>
      <c r="B14" s="11">
        <v>0.46</v>
      </c>
      <c r="C14" s="11">
        <v>0.42</v>
      </c>
      <c r="D14" s="11">
        <v>0.37</v>
      </c>
      <c r="E14" s="11">
        <v>0.38</v>
      </c>
      <c r="F14" s="11">
        <v>0.37</v>
      </c>
      <c r="G14" s="11">
        <v>0.4</v>
      </c>
    </row>
    <row r="15" spans="1:7" ht="15.75" x14ac:dyDescent="0.25">
      <c r="A15" s="10" t="s">
        <v>128</v>
      </c>
      <c r="B15" s="11">
        <v>0.77</v>
      </c>
      <c r="C15" s="11">
        <v>0.67</v>
      </c>
      <c r="D15" s="11">
        <v>0.59</v>
      </c>
      <c r="E15" s="11">
        <v>0.56999999999999995</v>
      </c>
      <c r="F15" s="11">
        <v>0.55000000000000004</v>
      </c>
      <c r="G15" s="11">
        <v>0.63</v>
      </c>
    </row>
    <row r="16" spans="1:7" ht="15.75" x14ac:dyDescent="0.25">
      <c r="A16" s="12" t="s">
        <v>31</v>
      </c>
      <c r="B16" s="13">
        <v>1180</v>
      </c>
      <c r="C16" s="13">
        <v>1540</v>
      </c>
      <c r="D16" s="13">
        <v>1980</v>
      </c>
      <c r="E16" s="13">
        <v>2230</v>
      </c>
      <c r="F16" s="13">
        <v>2110</v>
      </c>
      <c r="G16" s="13">
        <v>9030</v>
      </c>
    </row>
    <row r="17" spans="1:7" ht="15.75" x14ac:dyDescent="0.25">
      <c r="A17" s="14"/>
      <c r="B17" s="14"/>
      <c r="C17" s="14"/>
      <c r="D17" s="14"/>
      <c r="E17" s="14"/>
      <c r="F17" s="14"/>
      <c r="G17" s="14"/>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12A0-97AC-4CFE-A2F6-FB129A00FA8F}">
  <dimension ref="A1:AI25"/>
  <sheetViews>
    <sheetView showGridLines="0" workbookViewId="0"/>
  </sheetViews>
  <sheetFormatPr defaultColWidth="8.42578125" defaultRowHeight="12" x14ac:dyDescent="0.2"/>
  <cols>
    <col min="1" max="1" width="12.28515625" style="21" customWidth="1"/>
    <col min="2" max="16384" width="8.42578125" style="21"/>
  </cols>
  <sheetData>
    <row r="1" spans="1:35" ht="20.25" x14ac:dyDescent="0.35">
      <c r="A1" s="20" t="s">
        <v>254</v>
      </c>
    </row>
    <row r="2" spans="1:35" ht="17.25" x14ac:dyDescent="0.3">
      <c r="A2" s="22" t="s">
        <v>255</v>
      </c>
    </row>
    <row r="3" spans="1:35" ht="17.25" x14ac:dyDescent="0.3">
      <c r="A3" s="22" t="s">
        <v>256</v>
      </c>
    </row>
    <row r="4" spans="1:35" ht="17.25" x14ac:dyDescent="0.3">
      <c r="A4" s="22" t="s">
        <v>257</v>
      </c>
    </row>
    <row r="5" spans="1:35" ht="17.25" x14ac:dyDescent="0.3">
      <c r="A5" s="22" t="s">
        <v>258</v>
      </c>
    </row>
    <row r="6" spans="1:35" ht="15.75" x14ac:dyDescent="0.25">
      <c r="A6" s="23" t="s">
        <v>259</v>
      </c>
      <c r="B6" s="23">
        <v>50</v>
      </c>
      <c r="C6" s="23">
        <v>75</v>
      </c>
      <c r="D6" s="23">
        <v>100</v>
      </c>
      <c r="E6" s="23">
        <v>150</v>
      </c>
      <c r="F6" s="23">
        <v>200</v>
      </c>
      <c r="G6" s="23">
        <v>250</v>
      </c>
      <c r="H6" s="23">
        <v>300</v>
      </c>
      <c r="I6" s="23">
        <v>350</v>
      </c>
      <c r="J6" s="23">
        <v>400</v>
      </c>
      <c r="K6" s="23">
        <v>450</v>
      </c>
      <c r="L6" s="23">
        <v>500</v>
      </c>
      <c r="M6" s="23">
        <v>600</v>
      </c>
      <c r="N6" s="23">
        <v>700</v>
      </c>
      <c r="O6" s="23">
        <v>800</v>
      </c>
      <c r="P6" s="23">
        <v>900</v>
      </c>
      <c r="Q6" s="23">
        <v>1000</v>
      </c>
      <c r="R6" s="23">
        <v>1500</v>
      </c>
      <c r="S6" s="23">
        <v>2000</v>
      </c>
      <c r="T6" s="23">
        <v>2500</v>
      </c>
      <c r="U6" s="23">
        <v>3000</v>
      </c>
      <c r="V6" s="23">
        <v>3500</v>
      </c>
      <c r="W6" s="23">
        <v>4000</v>
      </c>
      <c r="X6" s="23">
        <v>4500</v>
      </c>
      <c r="Y6" s="23">
        <v>5000</v>
      </c>
      <c r="Z6" s="23">
        <v>5500</v>
      </c>
      <c r="AA6" s="23">
        <v>6000</v>
      </c>
      <c r="AB6" s="23">
        <v>6500</v>
      </c>
      <c r="AC6" s="23">
        <v>7000</v>
      </c>
      <c r="AD6" s="23">
        <v>7500</v>
      </c>
      <c r="AE6" s="23">
        <v>8000</v>
      </c>
      <c r="AF6" s="23">
        <v>8500</v>
      </c>
      <c r="AG6" s="23">
        <v>9000</v>
      </c>
      <c r="AH6" s="23">
        <v>9500</v>
      </c>
      <c r="AI6" s="23">
        <v>10000</v>
      </c>
    </row>
    <row r="7" spans="1:35" ht="15.75" x14ac:dyDescent="0.25">
      <c r="A7" s="23">
        <v>5</v>
      </c>
      <c r="B7" s="24">
        <f>(1.96*1.34*(SQRT($A7*(100-$A7))))/SQRT(B$6)</f>
        <v>8.0951084686988608</v>
      </c>
      <c r="C7" s="24">
        <f t="shared" ref="C7:AI15" si="0">(1.96*1.34*(SQRT($A7*(100-$A7))))/SQRT(C$6)</f>
        <v>6.609628386931699</v>
      </c>
      <c r="D7" s="24">
        <f t="shared" si="0"/>
        <v>5.7241060926576131</v>
      </c>
      <c r="E7" s="24">
        <f t="shared" si="0"/>
        <v>4.6737130535225067</v>
      </c>
      <c r="F7" s="24">
        <f t="shared" si="0"/>
        <v>4.0475542343494304</v>
      </c>
      <c r="G7" s="24">
        <f t="shared" si="0"/>
        <v>3.6202425642489762</v>
      </c>
      <c r="H7" s="24">
        <f t="shared" si="0"/>
        <v>3.3048141934658495</v>
      </c>
      <c r="I7" s="24">
        <f t="shared" si="0"/>
        <v>3.0596634063242973</v>
      </c>
      <c r="J7" s="24">
        <f t="shared" si="0"/>
        <v>2.8620530463288065</v>
      </c>
      <c r="K7" s="24">
        <f t="shared" si="0"/>
        <v>2.6983694895662871</v>
      </c>
      <c r="L7" s="24">
        <f t="shared" si="0"/>
        <v>2.5598980667206264</v>
      </c>
      <c r="M7" s="24">
        <f t="shared" si="0"/>
        <v>2.3368565267612533</v>
      </c>
      <c r="N7" s="24">
        <f t="shared" si="0"/>
        <v>2.1635087427602415</v>
      </c>
      <c r="O7" s="24">
        <f t="shared" si="0"/>
        <v>2.0237771171747152</v>
      </c>
      <c r="P7" s="24">
        <f t="shared" si="0"/>
        <v>1.9080353642192045</v>
      </c>
      <c r="Q7" s="24">
        <f t="shared" si="0"/>
        <v>1.8101212821244881</v>
      </c>
      <c r="R7" s="24">
        <f t="shared" si="0"/>
        <v>1.4779578379191565</v>
      </c>
      <c r="S7" s="24">
        <f t="shared" si="0"/>
        <v>1.2799490333603132</v>
      </c>
      <c r="T7" s="24">
        <f t="shared" si="0"/>
        <v>1.1448212185315227</v>
      </c>
      <c r="U7" s="24">
        <f t="shared" si="0"/>
        <v>1.0450740095004438</v>
      </c>
      <c r="V7" s="24">
        <f t="shared" si="0"/>
        <v>0.96755052374540129</v>
      </c>
      <c r="W7" s="24">
        <f t="shared" si="0"/>
        <v>0.90506064106224404</v>
      </c>
      <c r="X7" s="24">
        <f t="shared" si="0"/>
        <v>0.8532993555735422</v>
      </c>
      <c r="Y7" s="24">
        <f t="shared" si="0"/>
        <v>0.80951084686988606</v>
      </c>
      <c r="Z7" s="24">
        <f t="shared" si="0"/>
        <v>0.77183830807895382</v>
      </c>
      <c r="AA7" s="24">
        <f t="shared" si="0"/>
        <v>0.73897891895957823</v>
      </c>
      <c r="AB7" s="24">
        <f t="shared" si="0"/>
        <v>0.70998797996325813</v>
      </c>
      <c r="AC7" s="24">
        <f t="shared" si="0"/>
        <v>0.68416153648096889</v>
      </c>
      <c r="AD7" s="24">
        <f t="shared" si="0"/>
        <v>0.66096283869316996</v>
      </c>
      <c r="AE7" s="24">
        <f t="shared" si="0"/>
        <v>0.63997451668015659</v>
      </c>
      <c r="AF7" s="24">
        <f t="shared" si="0"/>
        <v>0.62086647764138758</v>
      </c>
      <c r="AG7" s="24">
        <f t="shared" si="0"/>
        <v>0.60337376070816273</v>
      </c>
      <c r="AH7" s="24">
        <f t="shared" si="0"/>
        <v>0.58728089361054481</v>
      </c>
      <c r="AI7" s="24">
        <f t="shared" si="0"/>
        <v>0.57241060926576137</v>
      </c>
    </row>
    <row r="8" spans="1:35" ht="15.75" x14ac:dyDescent="0.25">
      <c r="A8" s="23">
        <v>10</v>
      </c>
      <c r="B8" s="24">
        <f t="shared" ref="B8:Q25" si="1">(1.96*1.34*(SQRT($A8*(100-$A8))))/SQRT(B$6)</f>
        <v>11.14287150065009</v>
      </c>
      <c r="C8" s="24">
        <f t="shared" si="1"/>
        <v>9.0981164819977973</v>
      </c>
      <c r="D8" s="24">
        <f t="shared" si="1"/>
        <v>7.8792</v>
      </c>
      <c r="E8" s="24">
        <f t="shared" si="1"/>
        <v>6.4333398604457388</v>
      </c>
      <c r="F8" s="24">
        <f t="shared" si="1"/>
        <v>5.5714357503250449</v>
      </c>
      <c r="G8" s="24">
        <f t="shared" si="1"/>
        <v>4.9832436279997392</v>
      </c>
      <c r="H8" s="24">
        <f t="shared" si="1"/>
        <v>4.5490582409988987</v>
      </c>
      <c r="I8" s="24">
        <f t="shared" si="1"/>
        <v>4.2116095545527479</v>
      </c>
      <c r="J8" s="24">
        <f t="shared" si="1"/>
        <v>3.9396</v>
      </c>
      <c r="K8" s="24">
        <f t="shared" si="1"/>
        <v>3.7142905002166966</v>
      </c>
      <c r="L8" s="24">
        <f t="shared" si="1"/>
        <v>3.5236853616632686</v>
      </c>
      <c r="M8" s="24">
        <f t="shared" si="1"/>
        <v>3.2166699302228694</v>
      </c>
      <c r="N8" s="24">
        <f t="shared" si="1"/>
        <v>2.9780576757343034</v>
      </c>
      <c r="O8" s="24">
        <f t="shared" si="1"/>
        <v>2.7857178751625224</v>
      </c>
      <c r="P8" s="24">
        <f t="shared" si="1"/>
        <v>2.6263999999999998</v>
      </c>
      <c r="Q8" s="24">
        <f t="shared" si="1"/>
        <v>2.4916218139998696</v>
      </c>
      <c r="R8" s="24">
        <f t="shared" si="0"/>
        <v>2.034400692095832</v>
      </c>
      <c r="S8" s="24">
        <f t="shared" si="0"/>
        <v>1.7618426808316343</v>
      </c>
      <c r="T8" s="24">
        <f t="shared" si="0"/>
        <v>1.5758400000000001</v>
      </c>
      <c r="U8" s="24">
        <f t="shared" si="0"/>
        <v>1.4385385250315683</v>
      </c>
      <c r="V8" s="24">
        <f t="shared" si="0"/>
        <v>1.3318278807713857</v>
      </c>
      <c r="W8" s="24">
        <f t="shared" si="0"/>
        <v>1.2458109069999348</v>
      </c>
      <c r="X8" s="24">
        <f t="shared" si="0"/>
        <v>1.1745617872210896</v>
      </c>
      <c r="Y8" s="24">
        <f t="shared" si="0"/>
        <v>1.1142871500650091</v>
      </c>
      <c r="Z8" s="24">
        <f t="shared" si="0"/>
        <v>1.0624311112640754</v>
      </c>
      <c r="AA8" s="24">
        <f t="shared" si="0"/>
        <v>1.017200346047916</v>
      </c>
      <c r="AB8" s="24">
        <f t="shared" si="0"/>
        <v>0.97729448077529135</v>
      </c>
      <c r="AC8" s="24">
        <f t="shared" si="0"/>
        <v>0.94174452586675539</v>
      </c>
      <c r="AD8" s="24">
        <f t="shared" si="0"/>
        <v>0.90981164819977989</v>
      </c>
      <c r="AE8" s="24">
        <f t="shared" si="0"/>
        <v>0.88092134041581716</v>
      </c>
      <c r="AF8" s="24">
        <f t="shared" si="0"/>
        <v>0.85461923162237785</v>
      </c>
      <c r="AG8" s="24">
        <f t="shared" si="0"/>
        <v>0.83054060466662316</v>
      </c>
      <c r="AH8" s="24">
        <f t="shared" si="0"/>
        <v>0.80838886317493464</v>
      </c>
      <c r="AI8" s="24">
        <f t="shared" si="0"/>
        <v>0.78792000000000006</v>
      </c>
    </row>
    <row r="9" spans="1:35" ht="15.75" x14ac:dyDescent="0.25">
      <c r="A9" s="23">
        <v>15</v>
      </c>
      <c r="B9" s="24">
        <f t="shared" si="1"/>
        <v>13.262669885057081</v>
      </c>
      <c r="C9" s="24">
        <f t="shared" si="0"/>
        <v>10.828924615122222</v>
      </c>
      <c r="D9" s="24">
        <f t="shared" si="0"/>
        <v>9.3781238123624711</v>
      </c>
      <c r="E9" s="24">
        <f t="shared" si="0"/>
        <v>7.6572060283108483</v>
      </c>
      <c r="F9" s="24">
        <f t="shared" si="0"/>
        <v>6.6313349425285404</v>
      </c>
      <c r="G9" s="24">
        <f t="shared" si="0"/>
        <v>5.9312462852253907</v>
      </c>
      <c r="H9" s="24">
        <f t="shared" si="0"/>
        <v>5.4144623075611111</v>
      </c>
      <c r="I9" s="24">
        <f t="shared" si="0"/>
        <v>5.0128180338009471</v>
      </c>
      <c r="J9" s="24">
        <f t="shared" si="0"/>
        <v>4.6890619061812355</v>
      </c>
      <c r="K9" s="24">
        <f t="shared" si="0"/>
        <v>4.4208899616856936</v>
      </c>
      <c r="L9" s="24">
        <f t="shared" si="0"/>
        <v>4.194024469170393</v>
      </c>
      <c r="M9" s="24">
        <f t="shared" si="0"/>
        <v>3.8286030141554241</v>
      </c>
      <c r="N9" s="24">
        <f t="shared" si="0"/>
        <v>3.544597624554866</v>
      </c>
      <c r="O9" s="24">
        <f t="shared" si="0"/>
        <v>3.3156674712642702</v>
      </c>
      <c r="P9" s="24">
        <f t="shared" si="0"/>
        <v>3.1260412707874901</v>
      </c>
      <c r="Q9" s="24">
        <f t="shared" si="0"/>
        <v>2.9656231426126953</v>
      </c>
      <c r="R9" s="24">
        <f t="shared" si="0"/>
        <v>2.421421156263404</v>
      </c>
      <c r="S9" s="24">
        <f t="shared" si="0"/>
        <v>2.0970122345851965</v>
      </c>
      <c r="T9" s="24">
        <f t="shared" si="0"/>
        <v>1.875624762472494</v>
      </c>
      <c r="U9" s="24">
        <f t="shared" si="0"/>
        <v>1.7122033197024236</v>
      </c>
      <c r="V9" s="24">
        <f t="shared" si="0"/>
        <v>1.5851922482777916</v>
      </c>
      <c r="W9" s="24">
        <f t="shared" si="0"/>
        <v>1.4828115713063477</v>
      </c>
      <c r="X9" s="24">
        <f t="shared" si="0"/>
        <v>1.3980081563901312</v>
      </c>
      <c r="Y9" s="24">
        <f t="shared" si="0"/>
        <v>1.3262669885057079</v>
      </c>
      <c r="Z9" s="24">
        <f t="shared" si="0"/>
        <v>1.2645459568916066</v>
      </c>
      <c r="AA9" s="24">
        <f t="shared" si="0"/>
        <v>1.210710578131702</v>
      </c>
      <c r="AB9" s="24">
        <f t="shared" si="0"/>
        <v>1.1632130980111148</v>
      </c>
      <c r="AC9" s="24">
        <f t="shared" si="0"/>
        <v>1.1209001882415757</v>
      </c>
      <c r="AD9" s="24">
        <f t="shared" si="0"/>
        <v>1.0828924615122224</v>
      </c>
      <c r="AE9" s="24">
        <f t="shared" si="0"/>
        <v>1.0485061172925982</v>
      </c>
      <c r="AF9" s="24">
        <f t="shared" si="0"/>
        <v>1.017200346047916</v>
      </c>
      <c r="AG9" s="24">
        <f t="shared" si="0"/>
        <v>0.98854104753756522</v>
      </c>
      <c r="AH9" s="24">
        <f t="shared" si="0"/>
        <v>0.96217520146581903</v>
      </c>
      <c r="AI9" s="24">
        <f t="shared" si="0"/>
        <v>0.93781238123624699</v>
      </c>
    </row>
    <row r="10" spans="1:35" ht="15.75" x14ac:dyDescent="0.25">
      <c r="A10" s="23">
        <v>20</v>
      </c>
      <c r="B10" s="24">
        <f t="shared" si="1"/>
        <v>14.857162000866788</v>
      </c>
      <c r="C10" s="24">
        <f t="shared" si="0"/>
        <v>12.130821975997065</v>
      </c>
      <c r="D10" s="24">
        <f t="shared" si="0"/>
        <v>10.505600000000001</v>
      </c>
      <c r="E10" s="24">
        <f t="shared" si="0"/>
        <v>8.5777864805943196</v>
      </c>
      <c r="F10" s="24">
        <f t="shared" si="0"/>
        <v>7.4285810004333941</v>
      </c>
      <c r="G10" s="24">
        <f t="shared" si="0"/>
        <v>6.6443248373329862</v>
      </c>
      <c r="H10" s="24">
        <f t="shared" si="0"/>
        <v>6.0654109879985327</v>
      </c>
      <c r="I10" s="24">
        <f t="shared" si="0"/>
        <v>5.6154794060703317</v>
      </c>
      <c r="J10" s="24">
        <f t="shared" si="0"/>
        <v>5.2528000000000006</v>
      </c>
      <c r="K10" s="24">
        <f t="shared" si="0"/>
        <v>4.952387333622263</v>
      </c>
      <c r="L10" s="24">
        <f t="shared" si="0"/>
        <v>4.6982471488843585</v>
      </c>
      <c r="M10" s="24">
        <f t="shared" si="0"/>
        <v>4.2888932402971598</v>
      </c>
      <c r="N10" s="24">
        <f t="shared" si="0"/>
        <v>3.9707435676457381</v>
      </c>
      <c r="O10" s="24">
        <f t="shared" si="0"/>
        <v>3.714290500216697</v>
      </c>
      <c r="P10" s="24">
        <f t="shared" si="0"/>
        <v>3.5018666666666669</v>
      </c>
      <c r="Q10" s="24">
        <f t="shared" si="0"/>
        <v>3.3221624186664931</v>
      </c>
      <c r="R10" s="24">
        <f t="shared" si="0"/>
        <v>2.7125342561277761</v>
      </c>
      <c r="S10" s="24">
        <f t="shared" si="0"/>
        <v>2.3491235744421792</v>
      </c>
      <c r="T10" s="24">
        <f t="shared" si="0"/>
        <v>2.1011200000000003</v>
      </c>
      <c r="U10" s="24">
        <f t="shared" si="0"/>
        <v>1.9180513667087578</v>
      </c>
      <c r="V10" s="24">
        <f t="shared" si="0"/>
        <v>1.7757705076951811</v>
      </c>
      <c r="W10" s="24">
        <f t="shared" si="0"/>
        <v>1.6610812093332465</v>
      </c>
      <c r="X10" s="24">
        <f t="shared" si="0"/>
        <v>1.566082382961453</v>
      </c>
      <c r="Y10" s="24">
        <f t="shared" si="0"/>
        <v>1.4857162000866788</v>
      </c>
      <c r="Z10" s="24">
        <f t="shared" si="0"/>
        <v>1.4165748150187674</v>
      </c>
      <c r="AA10" s="24">
        <f t="shared" si="0"/>
        <v>1.356267128063888</v>
      </c>
      <c r="AB10" s="24">
        <f t="shared" si="0"/>
        <v>1.3030593077003887</v>
      </c>
      <c r="AC10" s="24">
        <f t="shared" si="0"/>
        <v>1.2556593678223407</v>
      </c>
      <c r="AD10" s="24">
        <f t="shared" si="0"/>
        <v>1.2130821975997066</v>
      </c>
      <c r="AE10" s="24">
        <f t="shared" si="0"/>
        <v>1.1745617872210896</v>
      </c>
      <c r="AF10" s="24">
        <f t="shared" si="0"/>
        <v>1.1394923088298372</v>
      </c>
      <c r="AG10" s="24">
        <f t="shared" si="0"/>
        <v>1.1073874728888311</v>
      </c>
      <c r="AH10" s="24">
        <f t="shared" si="0"/>
        <v>1.0778518175665797</v>
      </c>
      <c r="AI10" s="24">
        <f t="shared" si="0"/>
        <v>1.0505600000000002</v>
      </c>
    </row>
    <row r="11" spans="1:35" ht="15.75" x14ac:dyDescent="0.25">
      <c r="A11" s="23">
        <v>25</v>
      </c>
      <c r="B11" s="24">
        <f t="shared" si="1"/>
        <v>16.083349651114347</v>
      </c>
      <c r="C11" s="24">
        <f t="shared" si="0"/>
        <v>13.132</v>
      </c>
      <c r="D11" s="24">
        <f t="shared" si="0"/>
        <v>11.372645602497249</v>
      </c>
      <c r="E11" s="24">
        <f t="shared" si="0"/>
        <v>9.2857262505417424</v>
      </c>
      <c r="F11" s="24">
        <f t="shared" si="0"/>
        <v>8.0416748255571733</v>
      </c>
      <c r="G11" s="24">
        <f t="shared" si="0"/>
        <v>7.192692625157842</v>
      </c>
      <c r="H11" s="24">
        <f t="shared" si="0"/>
        <v>6.5659999999999998</v>
      </c>
      <c r="I11" s="24">
        <f t="shared" si="0"/>
        <v>6.078934775106573</v>
      </c>
      <c r="J11" s="24">
        <f t="shared" si="0"/>
        <v>5.6863228012486244</v>
      </c>
      <c r="K11" s="24">
        <f t="shared" si="0"/>
        <v>5.3611165503714497</v>
      </c>
      <c r="L11" s="24">
        <f t="shared" si="0"/>
        <v>5.0860017302395804</v>
      </c>
      <c r="M11" s="24">
        <f t="shared" si="0"/>
        <v>4.6428631252708712</v>
      </c>
      <c r="N11" s="24">
        <f t="shared" si="0"/>
        <v>4.298456001868578</v>
      </c>
      <c r="O11" s="24">
        <f t="shared" si="0"/>
        <v>4.0208374127785866</v>
      </c>
      <c r="P11" s="24">
        <f t="shared" si="0"/>
        <v>3.790881867499083</v>
      </c>
      <c r="Q11" s="24">
        <f t="shared" si="0"/>
        <v>3.596346312578921</v>
      </c>
      <c r="R11" s="24">
        <f t="shared" si="0"/>
        <v>2.9364044680527241</v>
      </c>
      <c r="S11" s="24">
        <f t="shared" si="0"/>
        <v>2.5430008651197902</v>
      </c>
      <c r="T11" s="24">
        <f t="shared" si="0"/>
        <v>2.2745291204994498</v>
      </c>
      <c r="U11" s="24">
        <f t="shared" si="0"/>
        <v>2.0763515116665578</v>
      </c>
      <c r="V11" s="24">
        <f t="shared" si="0"/>
        <v>1.9223279636940209</v>
      </c>
      <c r="W11" s="24">
        <f t="shared" si="0"/>
        <v>1.7981731562894605</v>
      </c>
      <c r="X11" s="24">
        <f t="shared" si="0"/>
        <v>1.6953339100798601</v>
      </c>
      <c r="Y11" s="24">
        <f t="shared" si="0"/>
        <v>1.6083349651114347</v>
      </c>
      <c r="Z11" s="24">
        <f t="shared" si="0"/>
        <v>1.5334872202093681</v>
      </c>
      <c r="AA11" s="24">
        <f t="shared" si="0"/>
        <v>1.4682022340263621</v>
      </c>
      <c r="AB11" s="24">
        <f t="shared" si="0"/>
        <v>1.4106030788828752</v>
      </c>
      <c r="AC11" s="24">
        <f t="shared" si="0"/>
        <v>1.3592911387925695</v>
      </c>
      <c r="AD11" s="24">
        <f t="shared" si="0"/>
        <v>1.3132000000000001</v>
      </c>
      <c r="AE11" s="24">
        <f t="shared" si="0"/>
        <v>1.2715004325598951</v>
      </c>
      <c r="AF11" s="24">
        <f t="shared" si="0"/>
        <v>1.2335366085795274</v>
      </c>
      <c r="AG11" s="24">
        <f t="shared" si="0"/>
        <v>1.1987821041929738</v>
      </c>
      <c r="AH11" s="24">
        <f t="shared" si="0"/>
        <v>1.1668088194098603</v>
      </c>
      <c r="AI11" s="24">
        <f t="shared" si="0"/>
        <v>1.1372645602497249</v>
      </c>
    </row>
    <row r="12" spans="1:35" ht="15.75" x14ac:dyDescent="0.25">
      <c r="A12" s="23">
        <v>30</v>
      </c>
      <c r="B12" s="24">
        <f t="shared" si="1"/>
        <v>17.021017370298406</v>
      </c>
      <c r="C12" s="24">
        <f t="shared" si="0"/>
        <v>13.897602486760082</v>
      </c>
      <c r="D12" s="24">
        <f t="shared" si="0"/>
        <v>12.035676805232018</v>
      </c>
      <c r="E12" s="24">
        <f t="shared" si="0"/>
        <v>9.8270889606230813</v>
      </c>
      <c r="F12" s="24">
        <f t="shared" si="0"/>
        <v>8.5105086851492029</v>
      </c>
      <c r="G12" s="24">
        <f t="shared" si="0"/>
        <v>7.6120303772383888</v>
      </c>
      <c r="H12" s="24">
        <f t="shared" si="0"/>
        <v>6.948801243380041</v>
      </c>
      <c r="I12" s="24">
        <f t="shared" si="0"/>
        <v>6.4333398604457388</v>
      </c>
      <c r="J12" s="24">
        <f t="shared" si="0"/>
        <v>6.0178384026160092</v>
      </c>
      <c r="K12" s="24">
        <f t="shared" si="0"/>
        <v>5.673672456766135</v>
      </c>
      <c r="L12" s="24">
        <f t="shared" si="0"/>
        <v>5.3825182983432578</v>
      </c>
      <c r="M12" s="24">
        <f t="shared" si="0"/>
        <v>4.9135444803115407</v>
      </c>
      <c r="N12" s="24">
        <f t="shared" si="0"/>
        <v>4.5490582409988995</v>
      </c>
      <c r="O12" s="24">
        <f t="shared" si="0"/>
        <v>4.2552543425746014</v>
      </c>
      <c r="P12" s="24">
        <f t="shared" si="0"/>
        <v>4.0118922684106728</v>
      </c>
      <c r="Q12" s="24">
        <f t="shared" si="0"/>
        <v>3.8060151886191944</v>
      </c>
      <c r="R12" s="24">
        <f t="shared" si="0"/>
        <v>3.1075983884665668</v>
      </c>
      <c r="S12" s="24">
        <f t="shared" si="0"/>
        <v>2.6912591491716289</v>
      </c>
      <c r="T12" s="24">
        <f t="shared" si="0"/>
        <v>2.4071353610464037</v>
      </c>
      <c r="U12" s="24">
        <f t="shared" si="0"/>
        <v>2.1974038936890961</v>
      </c>
      <c r="V12" s="24">
        <f t="shared" si="0"/>
        <v>2.034400692095832</v>
      </c>
      <c r="W12" s="24">
        <f t="shared" si="0"/>
        <v>1.9030075943095972</v>
      </c>
      <c r="X12" s="24">
        <f t="shared" si="0"/>
        <v>1.7941727661144196</v>
      </c>
      <c r="Y12" s="24">
        <f t="shared" si="0"/>
        <v>1.7021017370298406</v>
      </c>
      <c r="Z12" s="24">
        <f t="shared" si="0"/>
        <v>1.622890329347892</v>
      </c>
      <c r="AA12" s="24">
        <f t="shared" si="0"/>
        <v>1.5537991942332834</v>
      </c>
      <c r="AB12" s="24">
        <f t="shared" si="0"/>
        <v>1.4928419781384459</v>
      </c>
      <c r="AC12" s="24">
        <f t="shared" si="0"/>
        <v>1.4385385250315683</v>
      </c>
      <c r="AD12" s="24">
        <f t="shared" si="0"/>
        <v>1.3897602486760083</v>
      </c>
      <c r="AE12" s="24">
        <f t="shared" si="0"/>
        <v>1.3456295745858144</v>
      </c>
      <c r="AF12" s="24">
        <f t="shared" si="0"/>
        <v>1.3054524397581815</v>
      </c>
      <c r="AG12" s="24">
        <f t="shared" si="0"/>
        <v>1.2686717295397316</v>
      </c>
      <c r="AH12" s="24">
        <f t="shared" si="0"/>
        <v>1.2348343854861459</v>
      </c>
      <c r="AI12" s="24">
        <f t="shared" si="0"/>
        <v>1.2035676805232018</v>
      </c>
    </row>
    <row r="13" spans="1:35" ht="15.75" x14ac:dyDescent="0.25">
      <c r="A13" s="23">
        <v>35</v>
      </c>
      <c r="B13" s="24">
        <f t="shared" si="1"/>
        <v>17.716036568036319</v>
      </c>
      <c r="C13" s="24">
        <f t="shared" si="0"/>
        <v>14.46508328539222</v>
      </c>
      <c r="D13" s="24">
        <f t="shared" si="0"/>
        <v>12.527129593007333</v>
      </c>
      <c r="E13" s="24">
        <f t="shared" si="0"/>
        <v>10.228358481529023</v>
      </c>
      <c r="F13" s="24">
        <f t="shared" si="0"/>
        <v>8.8580182840181596</v>
      </c>
      <c r="G13" s="24">
        <f t="shared" si="0"/>
        <v>7.9228524116002577</v>
      </c>
      <c r="H13" s="24">
        <f t="shared" si="0"/>
        <v>7.23254164269611</v>
      </c>
      <c r="I13" s="24">
        <f t="shared" si="0"/>
        <v>6.6960324252500456</v>
      </c>
      <c r="J13" s="24">
        <f t="shared" si="0"/>
        <v>6.2635647965036663</v>
      </c>
      <c r="K13" s="24">
        <f t="shared" si="0"/>
        <v>5.9053455226787728</v>
      </c>
      <c r="L13" s="24">
        <f t="shared" si="0"/>
        <v>5.6023026665827338</v>
      </c>
      <c r="M13" s="24">
        <f t="shared" si="0"/>
        <v>5.1141792407645115</v>
      </c>
      <c r="N13" s="24">
        <f t="shared" si="0"/>
        <v>4.7348099349393111</v>
      </c>
      <c r="O13" s="24">
        <f t="shared" si="0"/>
        <v>4.4290091420090798</v>
      </c>
      <c r="P13" s="24">
        <f t="shared" si="0"/>
        <v>4.1757098643357775</v>
      </c>
      <c r="Q13" s="24">
        <f t="shared" si="0"/>
        <v>3.9614262058001288</v>
      </c>
      <c r="R13" s="24">
        <f t="shared" si="0"/>
        <v>3.2344909526332994</v>
      </c>
      <c r="S13" s="24">
        <f t="shared" si="0"/>
        <v>2.8011513332913669</v>
      </c>
      <c r="T13" s="24">
        <f t="shared" si="0"/>
        <v>2.5054259186014662</v>
      </c>
      <c r="U13" s="24">
        <f t="shared" si="0"/>
        <v>2.2871304862935422</v>
      </c>
      <c r="V13" s="24">
        <f t="shared" si="0"/>
        <v>2.1174713750131313</v>
      </c>
      <c r="W13" s="24">
        <f t="shared" si="0"/>
        <v>1.9807131029000644</v>
      </c>
      <c r="X13" s="24">
        <f t="shared" si="0"/>
        <v>1.8674342221942446</v>
      </c>
      <c r="Y13" s="24">
        <f t="shared" si="0"/>
        <v>1.771603656803632</v>
      </c>
      <c r="Z13" s="24">
        <f t="shared" si="0"/>
        <v>1.6891578097329507</v>
      </c>
      <c r="AA13" s="24">
        <f t="shared" si="0"/>
        <v>1.6172454763166497</v>
      </c>
      <c r="AB13" s="24">
        <f t="shared" si="0"/>
        <v>1.5537991942332834</v>
      </c>
      <c r="AC13" s="24">
        <f t="shared" si="0"/>
        <v>1.4972783682401882</v>
      </c>
      <c r="AD13" s="24">
        <f t="shared" si="0"/>
        <v>1.4465083285392222</v>
      </c>
      <c r="AE13" s="24">
        <f t="shared" si="0"/>
        <v>1.4005756666456834</v>
      </c>
      <c r="AF13" s="24">
        <f t="shared" si="0"/>
        <v>1.3587579788823583</v>
      </c>
      <c r="AG13" s="24">
        <f t="shared" si="0"/>
        <v>1.3204754019333764</v>
      </c>
      <c r="AH13" s="24">
        <f t="shared" si="0"/>
        <v>1.2852563776190828</v>
      </c>
      <c r="AI13" s="24">
        <f t="shared" si="0"/>
        <v>1.2527129593007331</v>
      </c>
    </row>
    <row r="14" spans="1:35" ht="15.75" x14ac:dyDescent="0.25">
      <c r="A14" s="23">
        <v>40</v>
      </c>
      <c r="B14" s="24">
        <f t="shared" si="1"/>
        <v>18.196232963995598</v>
      </c>
      <c r="C14" s="24">
        <f t="shared" si="0"/>
        <v>14.857162000866788</v>
      </c>
      <c r="D14" s="24">
        <f t="shared" si="0"/>
        <v>12.866679720891479</v>
      </c>
      <c r="E14" s="24">
        <f t="shared" si="0"/>
        <v>10.505600000000001</v>
      </c>
      <c r="F14" s="24">
        <f t="shared" si="0"/>
        <v>9.0981164819977991</v>
      </c>
      <c r="G14" s="24">
        <f t="shared" si="0"/>
        <v>8.1376027683833296</v>
      </c>
      <c r="H14" s="24">
        <f t="shared" si="0"/>
        <v>7.4285810004333941</v>
      </c>
      <c r="I14" s="24">
        <f t="shared" si="0"/>
        <v>6.8775296029897257</v>
      </c>
      <c r="J14" s="24">
        <f t="shared" si="0"/>
        <v>6.4333398604457397</v>
      </c>
      <c r="K14" s="24">
        <f t="shared" si="0"/>
        <v>6.0654109879985336</v>
      </c>
      <c r="L14" s="24">
        <f t="shared" si="0"/>
        <v>5.7541541001262742</v>
      </c>
      <c r="M14" s="24">
        <f t="shared" si="0"/>
        <v>5.2528000000000006</v>
      </c>
      <c r="N14" s="24">
        <f t="shared" si="0"/>
        <v>4.8631478200852589</v>
      </c>
      <c r="O14" s="24">
        <f t="shared" si="0"/>
        <v>4.5490582409988995</v>
      </c>
      <c r="P14" s="24">
        <f t="shared" si="0"/>
        <v>4.2888932402971598</v>
      </c>
      <c r="Q14" s="24">
        <f t="shared" si="0"/>
        <v>4.0688013841916648</v>
      </c>
      <c r="R14" s="24">
        <f t="shared" si="0"/>
        <v>3.3221624186664931</v>
      </c>
      <c r="S14" s="24">
        <f t="shared" si="0"/>
        <v>2.8770770500631371</v>
      </c>
      <c r="T14" s="24">
        <f t="shared" si="0"/>
        <v>2.5733359441782961</v>
      </c>
      <c r="U14" s="24">
        <f t="shared" si="0"/>
        <v>2.3491235744421792</v>
      </c>
      <c r="V14" s="24">
        <f t="shared" si="0"/>
        <v>2.1748658220681114</v>
      </c>
      <c r="W14" s="24">
        <f t="shared" si="0"/>
        <v>2.0344006920958324</v>
      </c>
      <c r="X14" s="24">
        <f t="shared" si="0"/>
        <v>1.9180513667087582</v>
      </c>
      <c r="Y14" s="24">
        <f t="shared" si="0"/>
        <v>1.81962329639956</v>
      </c>
      <c r="Z14" s="24">
        <f t="shared" si="0"/>
        <v>1.7349427396367243</v>
      </c>
      <c r="AA14" s="24">
        <f t="shared" si="0"/>
        <v>1.6610812093332465</v>
      </c>
      <c r="AB14" s="24">
        <f t="shared" si="0"/>
        <v>1.5959152042251257</v>
      </c>
      <c r="AC14" s="24">
        <f t="shared" si="0"/>
        <v>1.5378623709552166</v>
      </c>
      <c r="AD14" s="24">
        <f t="shared" si="0"/>
        <v>1.485716200086679</v>
      </c>
      <c r="AE14" s="24">
        <f t="shared" si="0"/>
        <v>1.4385385250315685</v>
      </c>
      <c r="AF14" s="24">
        <f t="shared" si="0"/>
        <v>1.395587361229504</v>
      </c>
      <c r="AG14" s="24">
        <f t="shared" si="0"/>
        <v>1.3562671280638883</v>
      </c>
      <c r="AH14" s="24">
        <f t="shared" si="0"/>
        <v>1.320093485684771</v>
      </c>
      <c r="AI14" s="24">
        <f t="shared" si="0"/>
        <v>1.2866679720891481</v>
      </c>
    </row>
    <row r="15" spans="1:35" ht="15.75" x14ac:dyDescent="0.25">
      <c r="A15" s="23">
        <v>45</v>
      </c>
      <c r="B15" s="24">
        <f t="shared" si="1"/>
        <v>18.478361927400385</v>
      </c>
      <c r="C15" s="24">
        <f t="shared" si="0"/>
        <v>15.087519334867478</v>
      </c>
      <c r="D15" s="24">
        <f t="shared" si="0"/>
        <v>13.066175024084135</v>
      </c>
      <c r="E15" s="24">
        <f t="shared" si="0"/>
        <v>10.668487232967944</v>
      </c>
      <c r="F15" s="24">
        <f t="shared" si="0"/>
        <v>9.2391809637001927</v>
      </c>
      <c r="G15" s="24">
        <f t="shared" si="0"/>
        <v>8.2637746765022584</v>
      </c>
      <c r="H15" s="24">
        <f t="shared" si="0"/>
        <v>7.543759667433739</v>
      </c>
      <c r="I15" s="24">
        <f t="shared" ref="I15:AI25" si="2">(1.96*1.34*(SQRT($A15*(100-$A15))))/SQRT(I$6)</f>
        <v>6.9841643279636543</v>
      </c>
      <c r="J15" s="24">
        <f t="shared" si="2"/>
        <v>6.5330875120420675</v>
      </c>
      <c r="K15" s="24">
        <f t="shared" si="2"/>
        <v>6.1594539758001279</v>
      </c>
      <c r="L15" s="24">
        <f t="shared" si="2"/>
        <v>5.8433711119524148</v>
      </c>
      <c r="M15" s="24">
        <f t="shared" si="2"/>
        <v>5.3342436164839722</v>
      </c>
      <c r="N15" s="24">
        <f t="shared" si="2"/>
        <v>4.9385499572242866</v>
      </c>
      <c r="O15" s="24">
        <f t="shared" si="2"/>
        <v>4.6195904818500964</v>
      </c>
      <c r="P15" s="24">
        <f t="shared" si="2"/>
        <v>4.3553916746947117</v>
      </c>
      <c r="Q15" s="24">
        <f t="shared" si="2"/>
        <v>4.1318873382511292</v>
      </c>
      <c r="R15" s="24">
        <f t="shared" si="2"/>
        <v>3.3736718844606099</v>
      </c>
      <c r="S15" s="24">
        <f t="shared" si="2"/>
        <v>2.9216855559762074</v>
      </c>
      <c r="T15" s="24">
        <f t="shared" si="2"/>
        <v>2.6132350048168269</v>
      </c>
      <c r="U15" s="24">
        <f t="shared" si="2"/>
        <v>2.3855462670004957</v>
      </c>
      <c r="V15" s="24">
        <f t="shared" si="2"/>
        <v>2.2085866829264367</v>
      </c>
      <c r="W15" s="24">
        <f t="shared" si="2"/>
        <v>2.0659436691255646</v>
      </c>
      <c r="X15" s="24">
        <f t="shared" si="2"/>
        <v>1.9477903706508053</v>
      </c>
      <c r="Y15" s="24">
        <f t="shared" si="2"/>
        <v>1.8478361927400384</v>
      </c>
      <c r="Z15" s="24">
        <f t="shared" si="2"/>
        <v>1.7618426808316345</v>
      </c>
      <c r="AA15" s="24">
        <f t="shared" si="2"/>
        <v>1.686835942230305</v>
      </c>
      <c r="AB15" s="24">
        <f t="shared" si="2"/>
        <v>1.6206595512084201</v>
      </c>
      <c r="AC15" s="24">
        <f t="shared" si="2"/>
        <v>1.5617066203355867</v>
      </c>
      <c r="AD15" s="24">
        <f t="shared" si="2"/>
        <v>1.5087519334867481</v>
      </c>
      <c r="AE15" s="24">
        <f t="shared" si="2"/>
        <v>1.4608427779881037</v>
      </c>
      <c r="AF15" s="24">
        <f t="shared" si="2"/>
        <v>1.417225664956631</v>
      </c>
      <c r="AG15" s="24">
        <f t="shared" si="2"/>
        <v>1.3772957794170433</v>
      </c>
      <c r="AH15" s="24">
        <f t="shared" si="2"/>
        <v>1.3405612719266038</v>
      </c>
      <c r="AI15" s="24">
        <f t="shared" si="2"/>
        <v>1.3066175024084135</v>
      </c>
    </row>
    <row r="16" spans="1:35" ht="15.75" x14ac:dyDescent="0.25">
      <c r="A16" s="23">
        <v>50</v>
      </c>
      <c r="B16" s="24">
        <f t="shared" si="1"/>
        <v>18.571452501083485</v>
      </c>
      <c r="C16" s="24">
        <f t="shared" si="1"/>
        <v>15.163527469996332</v>
      </c>
      <c r="D16" s="24">
        <f t="shared" si="1"/>
        <v>13.132000000000001</v>
      </c>
      <c r="E16" s="24">
        <f t="shared" si="1"/>
        <v>10.722233100742899</v>
      </c>
      <c r="F16" s="24">
        <f t="shared" si="1"/>
        <v>9.2857262505417424</v>
      </c>
      <c r="G16" s="24">
        <f t="shared" si="1"/>
        <v>8.3054060466662332</v>
      </c>
      <c r="H16" s="24">
        <f t="shared" si="1"/>
        <v>7.5817637349981659</v>
      </c>
      <c r="I16" s="24">
        <f t="shared" si="1"/>
        <v>7.0193492575879146</v>
      </c>
      <c r="J16" s="24">
        <f t="shared" si="1"/>
        <v>6.5660000000000007</v>
      </c>
      <c r="K16" s="24">
        <f t="shared" si="1"/>
        <v>6.1904841670278286</v>
      </c>
      <c r="L16" s="24">
        <f t="shared" si="1"/>
        <v>5.8728089361054483</v>
      </c>
      <c r="M16" s="24">
        <f t="shared" si="1"/>
        <v>5.3611165503714497</v>
      </c>
      <c r="N16" s="24">
        <f t="shared" si="1"/>
        <v>4.9634294595571733</v>
      </c>
      <c r="O16" s="24">
        <f t="shared" si="1"/>
        <v>4.6428631252708712</v>
      </c>
      <c r="P16" s="24">
        <f t="shared" si="1"/>
        <v>4.3773333333333344</v>
      </c>
      <c r="Q16" s="24">
        <f t="shared" si="1"/>
        <v>4.1527030233331166</v>
      </c>
      <c r="R16" s="24">
        <f t="shared" si="2"/>
        <v>3.3906678201597207</v>
      </c>
      <c r="S16" s="24">
        <f t="shared" si="2"/>
        <v>2.9364044680527241</v>
      </c>
      <c r="T16" s="24">
        <f t="shared" si="2"/>
        <v>2.6264000000000003</v>
      </c>
      <c r="U16" s="24">
        <f t="shared" si="2"/>
        <v>2.3975642083859476</v>
      </c>
      <c r="V16" s="24">
        <f t="shared" si="2"/>
        <v>2.2197131346189765</v>
      </c>
      <c r="W16" s="24">
        <f t="shared" si="2"/>
        <v>2.0763515116665583</v>
      </c>
      <c r="X16" s="24">
        <f t="shared" si="2"/>
        <v>1.9576029787018163</v>
      </c>
      <c r="Y16" s="24">
        <f t="shared" si="2"/>
        <v>1.8571452501083487</v>
      </c>
      <c r="Z16" s="24">
        <f t="shared" si="2"/>
        <v>1.7707185187734593</v>
      </c>
      <c r="AA16" s="24">
        <f t="shared" si="2"/>
        <v>1.6953339100798603</v>
      </c>
      <c r="AB16" s="24">
        <f t="shared" si="2"/>
        <v>1.6288241346254859</v>
      </c>
      <c r="AC16" s="24">
        <f t="shared" si="2"/>
        <v>1.5695742097779259</v>
      </c>
      <c r="AD16" s="24">
        <f t="shared" si="2"/>
        <v>1.5163527469996334</v>
      </c>
      <c r="AE16" s="24">
        <f t="shared" si="2"/>
        <v>1.4682022340263621</v>
      </c>
      <c r="AF16" s="24">
        <f t="shared" si="2"/>
        <v>1.4243653860372967</v>
      </c>
      <c r="AG16" s="24">
        <f t="shared" si="2"/>
        <v>1.3842343411110389</v>
      </c>
      <c r="AH16" s="24">
        <f t="shared" si="2"/>
        <v>1.3473147719582246</v>
      </c>
      <c r="AI16" s="24">
        <f t="shared" si="2"/>
        <v>1.3132000000000001</v>
      </c>
    </row>
    <row r="17" spans="1:35" ht="15.75" x14ac:dyDescent="0.25">
      <c r="A17" s="23">
        <v>55</v>
      </c>
      <c r="B17" s="24">
        <f t="shared" si="1"/>
        <v>18.478361927400385</v>
      </c>
      <c r="C17" s="24">
        <f t="shared" si="1"/>
        <v>15.087519334867478</v>
      </c>
      <c r="D17" s="24">
        <f t="shared" si="1"/>
        <v>13.066175024084135</v>
      </c>
      <c r="E17" s="24">
        <f t="shared" si="1"/>
        <v>10.668487232967944</v>
      </c>
      <c r="F17" s="24">
        <f t="shared" si="1"/>
        <v>9.2391809637001927</v>
      </c>
      <c r="G17" s="24">
        <f t="shared" si="1"/>
        <v>8.2637746765022584</v>
      </c>
      <c r="H17" s="24">
        <f t="shared" si="1"/>
        <v>7.543759667433739</v>
      </c>
      <c r="I17" s="24">
        <f t="shared" si="1"/>
        <v>6.9841643279636543</v>
      </c>
      <c r="J17" s="24">
        <f t="shared" si="1"/>
        <v>6.5330875120420675</v>
      </c>
      <c r="K17" s="24">
        <f t="shared" si="1"/>
        <v>6.1594539758001279</v>
      </c>
      <c r="L17" s="24">
        <f t="shared" si="1"/>
        <v>5.8433711119524148</v>
      </c>
      <c r="M17" s="24">
        <f t="shared" si="1"/>
        <v>5.3342436164839722</v>
      </c>
      <c r="N17" s="24">
        <f t="shared" si="1"/>
        <v>4.9385499572242866</v>
      </c>
      <c r="O17" s="24">
        <f t="shared" si="1"/>
        <v>4.6195904818500964</v>
      </c>
      <c r="P17" s="24">
        <f t="shared" si="1"/>
        <v>4.3553916746947117</v>
      </c>
      <c r="Q17" s="24">
        <f t="shared" si="1"/>
        <v>4.1318873382511292</v>
      </c>
      <c r="R17" s="24">
        <f t="shared" si="2"/>
        <v>3.3736718844606099</v>
      </c>
      <c r="S17" s="24">
        <f t="shared" si="2"/>
        <v>2.9216855559762074</v>
      </c>
      <c r="T17" s="24">
        <f t="shared" si="2"/>
        <v>2.6132350048168269</v>
      </c>
      <c r="U17" s="24">
        <f t="shared" si="2"/>
        <v>2.3855462670004957</v>
      </c>
      <c r="V17" s="24">
        <f t="shared" si="2"/>
        <v>2.2085866829264367</v>
      </c>
      <c r="W17" s="24">
        <f t="shared" si="2"/>
        <v>2.0659436691255646</v>
      </c>
      <c r="X17" s="24">
        <f t="shared" si="2"/>
        <v>1.9477903706508053</v>
      </c>
      <c r="Y17" s="24">
        <f t="shared" si="2"/>
        <v>1.8478361927400384</v>
      </c>
      <c r="Z17" s="24">
        <f t="shared" si="2"/>
        <v>1.7618426808316345</v>
      </c>
      <c r="AA17" s="24">
        <f t="shared" si="2"/>
        <v>1.686835942230305</v>
      </c>
      <c r="AB17" s="24">
        <f t="shared" si="2"/>
        <v>1.6206595512084201</v>
      </c>
      <c r="AC17" s="24">
        <f t="shared" si="2"/>
        <v>1.5617066203355867</v>
      </c>
      <c r="AD17" s="24">
        <f t="shared" si="2"/>
        <v>1.5087519334867481</v>
      </c>
      <c r="AE17" s="24">
        <f t="shared" si="2"/>
        <v>1.4608427779881037</v>
      </c>
      <c r="AF17" s="24">
        <f t="shared" si="2"/>
        <v>1.417225664956631</v>
      </c>
      <c r="AG17" s="24">
        <f t="shared" si="2"/>
        <v>1.3772957794170433</v>
      </c>
      <c r="AH17" s="24">
        <f t="shared" si="2"/>
        <v>1.3405612719266038</v>
      </c>
      <c r="AI17" s="24">
        <f t="shared" si="2"/>
        <v>1.3066175024084135</v>
      </c>
    </row>
    <row r="18" spans="1:35" ht="15.75" x14ac:dyDescent="0.25">
      <c r="A18" s="23">
        <v>60</v>
      </c>
      <c r="B18" s="24">
        <f t="shared" si="1"/>
        <v>18.196232963995598</v>
      </c>
      <c r="C18" s="24">
        <f t="shared" si="1"/>
        <v>14.857162000866788</v>
      </c>
      <c r="D18" s="24">
        <f t="shared" si="1"/>
        <v>12.866679720891479</v>
      </c>
      <c r="E18" s="24">
        <f t="shared" si="1"/>
        <v>10.505600000000001</v>
      </c>
      <c r="F18" s="24">
        <f t="shared" si="1"/>
        <v>9.0981164819977991</v>
      </c>
      <c r="G18" s="24">
        <f t="shared" si="1"/>
        <v>8.1376027683833296</v>
      </c>
      <c r="H18" s="24">
        <f t="shared" si="1"/>
        <v>7.4285810004333941</v>
      </c>
      <c r="I18" s="24">
        <f t="shared" si="1"/>
        <v>6.8775296029897257</v>
      </c>
      <c r="J18" s="24">
        <f t="shared" si="1"/>
        <v>6.4333398604457397</v>
      </c>
      <c r="K18" s="24">
        <f t="shared" si="1"/>
        <v>6.0654109879985336</v>
      </c>
      <c r="L18" s="24">
        <f t="shared" si="1"/>
        <v>5.7541541001262742</v>
      </c>
      <c r="M18" s="24">
        <f t="shared" si="1"/>
        <v>5.2528000000000006</v>
      </c>
      <c r="N18" s="24">
        <f t="shared" si="1"/>
        <v>4.8631478200852589</v>
      </c>
      <c r="O18" s="24">
        <f t="shared" si="1"/>
        <v>4.5490582409988995</v>
      </c>
      <c r="P18" s="24">
        <f t="shared" si="1"/>
        <v>4.2888932402971598</v>
      </c>
      <c r="Q18" s="24">
        <f t="shared" si="1"/>
        <v>4.0688013841916648</v>
      </c>
      <c r="R18" s="24">
        <f t="shared" si="2"/>
        <v>3.3221624186664931</v>
      </c>
      <c r="S18" s="24">
        <f t="shared" si="2"/>
        <v>2.8770770500631371</v>
      </c>
      <c r="T18" s="24">
        <f t="shared" si="2"/>
        <v>2.5733359441782961</v>
      </c>
      <c r="U18" s="24">
        <f t="shared" si="2"/>
        <v>2.3491235744421792</v>
      </c>
      <c r="V18" s="24">
        <f t="shared" si="2"/>
        <v>2.1748658220681114</v>
      </c>
      <c r="W18" s="24">
        <f t="shared" si="2"/>
        <v>2.0344006920958324</v>
      </c>
      <c r="X18" s="24">
        <f t="shared" si="2"/>
        <v>1.9180513667087582</v>
      </c>
      <c r="Y18" s="24">
        <f t="shared" si="2"/>
        <v>1.81962329639956</v>
      </c>
      <c r="Z18" s="24">
        <f t="shared" si="2"/>
        <v>1.7349427396367243</v>
      </c>
      <c r="AA18" s="24">
        <f t="shared" si="2"/>
        <v>1.6610812093332465</v>
      </c>
      <c r="AB18" s="24">
        <f t="shared" si="2"/>
        <v>1.5959152042251257</v>
      </c>
      <c r="AC18" s="24">
        <f t="shared" si="2"/>
        <v>1.5378623709552166</v>
      </c>
      <c r="AD18" s="24">
        <f t="shared" si="2"/>
        <v>1.485716200086679</v>
      </c>
      <c r="AE18" s="24">
        <f t="shared" si="2"/>
        <v>1.4385385250315685</v>
      </c>
      <c r="AF18" s="24">
        <f t="shared" si="2"/>
        <v>1.395587361229504</v>
      </c>
      <c r="AG18" s="24">
        <f t="shared" si="2"/>
        <v>1.3562671280638883</v>
      </c>
      <c r="AH18" s="24">
        <f t="shared" si="2"/>
        <v>1.320093485684771</v>
      </c>
      <c r="AI18" s="24">
        <f t="shared" si="2"/>
        <v>1.2866679720891481</v>
      </c>
    </row>
    <row r="19" spans="1:35" ht="15.75" x14ac:dyDescent="0.25">
      <c r="A19" s="23">
        <v>65</v>
      </c>
      <c r="B19" s="24">
        <f t="shared" si="1"/>
        <v>17.716036568036319</v>
      </c>
      <c r="C19" s="24">
        <f t="shared" si="1"/>
        <v>14.46508328539222</v>
      </c>
      <c r="D19" s="24">
        <f t="shared" si="1"/>
        <v>12.527129593007333</v>
      </c>
      <c r="E19" s="24">
        <f t="shared" si="1"/>
        <v>10.228358481529023</v>
      </c>
      <c r="F19" s="24">
        <f t="shared" si="1"/>
        <v>8.8580182840181596</v>
      </c>
      <c r="G19" s="24">
        <f t="shared" si="1"/>
        <v>7.9228524116002577</v>
      </c>
      <c r="H19" s="24">
        <f t="shared" si="1"/>
        <v>7.23254164269611</v>
      </c>
      <c r="I19" s="24">
        <f t="shared" si="1"/>
        <v>6.6960324252500456</v>
      </c>
      <c r="J19" s="24">
        <f t="shared" si="1"/>
        <v>6.2635647965036663</v>
      </c>
      <c r="K19" s="24">
        <f t="shared" si="1"/>
        <v>5.9053455226787728</v>
      </c>
      <c r="L19" s="24">
        <f t="shared" si="1"/>
        <v>5.6023026665827338</v>
      </c>
      <c r="M19" s="24">
        <f t="shared" si="1"/>
        <v>5.1141792407645115</v>
      </c>
      <c r="N19" s="24">
        <f t="shared" si="1"/>
        <v>4.7348099349393111</v>
      </c>
      <c r="O19" s="24">
        <f t="shared" si="1"/>
        <v>4.4290091420090798</v>
      </c>
      <c r="P19" s="24">
        <f t="shared" si="1"/>
        <v>4.1757098643357775</v>
      </c>
      <c r="Q19" s="24">
        <f t="shared" si="1"/>
        <v>3.9614262058001288</v>
      </c>
      <c r="R19" s="24">
        <f t="shared" si="2"/>
        <v>3.2344909526332994</v>
      </c>
      <c r="S19" s="24">
        <f t="shared" si="2"/>
        <v>2.8011513332913669</v>
      </c>
      <c r="T19" s="24">
        <f t="shared" si="2"/>
        <v>2.5054259186014662</v>
      </c>
      <c r="U19" s="24">
        <f t="shared" si="2"/>
        <v>2.2871304862935422</v>
      </c>
      <c r="V19" s="24">
        <f t="shared" si="2"/>
        <v>2.1174713750131313</v>
      </c>
      <c r="W19" s="24">
        <f t="shared" si="2"/>
        <v>1.9807131029000644</v>
      </c>
      <c r="X19" s="24">
        <f t="shared" si="2"/>
        <v>1.8674342221942446</v>
      </c>
      <c r="Y19" s="24">
        <f t="shared" si="2"/>
        <v>1.771603656803632</v>
      </c>
      <c r="Z19" s="24">
        <f t="shared" si="2"/>
        <v>1.6891578097329507</v>
      </c>
      <c r="AA19" s="24">
        <f t="shared" si="2"/>
        <v>1.6172454763166497</v>
      </c>
      <c r="AB19" s="24">
        <f t="shared" si="2"/>
        <v>1.5537991942332834</v>
      </c>
      <c r="AC19" s="24">
        <f t="shared" si="2"/>
        <v>1.4972783682401882</v>
      </c>
      <c r="AD19" s="24">
        <f t="shared" si="2"/>
        <v>1.4465083285392222</v>
      </c>
      <c r="AE19" s="24">
        <f t="shared" si="2"/>
        <v>1.4005756666456834</v>
      </c>
      <c r="AF19" s="24">
        <f t="shared" si="2"/>
        <v>1.3587579788823583</v>
      </c>
      <c r="AG19" s="24">
        <f t="shared" si="2"/>
        <v>1.3204754019333764</v>
      </c>
      <c r="AH19" s="24">
        <f t="shared" si="2"/>
        <v>1.2852563776190828</v>
      </c>
      <c r="AI19" s="24">
        <f t="shared" si="2"/>
        <v>1.2527129593007331</v>
      </c>
    </row>
    <row r="20" spans="1:35" ht="15.75" x14ac:dyDescent="0.25">
      <c r="A20" s="23">
        <v>70</v>
      </c>
      <c r="B20" s="24">
        <f t="shared" si="1"/>
        <v>17.021017370298406</v>
      </c>
      <c r="C20" s="24">
        <f t="shared" si="1"/>
        <v>13.897602486760082</v>
      </c>
      <c r="D20" s="24">
        <f t="shared" si="1"/>
        <v>12.035676805232018</v>
      </c>
      <c r="E20" s="24">
        <f t="shared" si="1"/>
        <v>9.8270889606230813</v>
      </c>
      <c r="F20" s="24">
        <f t="shared" si="1"/>
        <v>8.5105086851492029</v>
      </c>
      <c r="G20" s="24">
        <f t="shared" si="1"/>
        <v>7.6120303772383888</v>
      </c>
      <c r="H20" s="24">
        <f t="shared" si="1"/>
        <v>6.948801243380041</v>
      </c>
      <c r="I20" s="24">
        <f t="shared" si="1"/>
        <v>6.4333398604457388</v>
      </c>
      <c r="J20" s="24">
        <f t="shared" si="1"/>
        <v>6.0178384026160092</v>
      </c>
      <c r="K20" s="24">
        <f t="shared" si="1"/>
        <v>5.673672456766135</v>
      </c>
      <c r="L20" s="24">
        <f t="shared" si="1"/>
        <v>5.3825182983432578</v>
      </c>
      <c r="M20" s="24">
        <f t="shared" si="1"/>
        <v>4.9135444803115407</v>
      </c>
      <c r="N20" s="24">
        <f t="shared" si="1"/>
        <v>4.5490582409988995</v>
      </c>
      <c r="O20" s="24">
        <f t="shared" si="1"/>
        <v>4.2552543425746014</v>
      </c>
      <c r="P20" s="24">
        <f t="shared" si="1"/>
        <v>4.0118922684106728</v>
      </c>
      <c r="Q20" s="24">
        <f t="shared" si="1"/>
        <v>3.8060151886191944</v>
      </c>
      <c r="R20" s="24">
        <f t="shared" si="2"/>
        <v>3.1075983884665668</v>
      </c>
      <c r="S20" s="24">
        <f t="shared" si="2"/>
        <v>2.6912591491716289</v>
      </c>
      <c r="T20" s="24">
        <f t="shared" si="2"/>
        <v>2.4071353610464037</v>
      </c>
      <c r="U20" s="24">
        <f t="shared" si="2"/>
        <v>2.1974038936890961</v>
      </c>
      <c r="V20" s="24">
        <f t="shared" si="2"/>
        <v>2.034400692095832</v>
      </c>
      <c r="W20" s="24">
        <f t="shared" si="2"/>
        <v>1.9030075943095972</v>
      </c>
      <c r="X20" s="24">
        <f t="shared" si="2"/>
        <v>1.7941727661144196</v>
      </c>
      <c r="Y20" s="24">
        <f t="shared" si="2"/>
        <v>1.7021017370298406</v>
      </c>
      <c r="Z20" s="24">
        <f t="shared" si="2"/>
        <v>1.622890329347892</v>
      </c>
      <c r="AA20" s="24">
        <f t="shared" si="2"/>
        <v>1.5537991942332834</v>
      </c>
      <c r="AB20" s="24">
        <f t="shared" si="2"/>
        <v>1.4928419781384459</v>
      </c>
      <c r="AC20" s="24">
        <f t="shared" si="2"/>
        <v>1.4385385250315683</v>
      </c>
      <c r="AD20" s="24">
        <f t="shared" si="2"/>
        <v>1.3897602486760083</v>
      </c>
      <c r="AE20" s="24">
        <f t="shared" si="2"/>
        <v>1.3456295745858144</v>
      </c>
      <c r="AF20" s="24">
        <f t="shared" si="2"/>
        <v>1.3054524397581815</v>
      </c>
      <c r="AG20" s="24">
        <f t="shared" si="2"/>
        <v>1.2686717295397316</v>
      </c>
      <c r="AH20" s="24">
        <f t="shared" si="2"/>
        <v>1.2348343854861459</v>
      </c>
      <c r="AI20" s="24">
        <f t="shared" si="2"/>
        <v>1.2035676805232018</v>
      </c>
    </row>
    <row r="21" spans="1:35" ht="15.75" x14ac:dyDescent="0.25">
      <c r="A21" s="23">
        <v>75</v>
      </c>
      <c r="B21" s="24">
        <f t="shared" si="1"/>
        <v>16.083349651114347</v>
      </c>
      <c r="C21" s="24">
        <f t="shared" si="1"/>
        <v>13.132</v>
      </c>
      <c r="D21" s="24">
        <f t="shared" si="1"/>
        <v>11.372645602497249</v>
      </c>
      <c r="E21" s="24">
        <f t="shared" si="1"/>
        <v>9.2857262505417424</v>
      </c>
      <c r="F21" s="24">
        <f t="shared" si="1"/>
        <v>8.0416748255571733</v>
      </c>
      <c r="G21" s="24">
        <f t="shared" si="1"/>
        <v>7.192692625157842</v>
      </c>
      <c r="H21" s="24">
        <f t="shared" si="1"/>
        <v>6.5659999999999998</v>
      </c>
      <c r="I21" s="24">
        <f t="shared" si="1"/>
        <v>6.078934775106573</v>
      </c>
      <c r="J21" s="24">
        <f t="shared" si="1"/>
        <v>5.6863228012486244</v>
      </c>
      <c r="K21" s="24">
        <f t="shared" si="1"/>
        <v>5.3611165503714497</v>
      </c>
      <c r="L21" s="24">
        <f t="shared" si="1"/>
        <v>5.0860017302395804</v>
      </c>
      <c r="M21" s="24">
        <f t="shared" si="1"/>
        <v>4.6428631252708712</v>
      </c>
      <c r="N21" s="24">
        <f t="shared" si="1"/>
        <v>4.298456001868578</v>
      </c>
      <c r="O21" s="24">
        <f t="shared" si="1"/>
        <v>4.0208374127785866</v>
      </c>
      <c r="P21" s="24">
        <f t="shared" si="1"/>
        <v>3.790881867499083</v>
      </c>
      <c r="Q21" s="24">
        <f t="shared" si="1"/>
        <v>3.596346312578921</v>
      </c>
      <c r="R21" s="24">
        <f t="shared" si="2"/>
        <v>2.9364044680527241</v>
      </c>
      <c r="S21" s="24">
        <f t="shared" si="2"/>
        <v>2.5430008651197902</v>
      </c>
      <c r="T21" s="24">
        <f t="shared" si="2"/>
        <v>2.2745291204994498</v>
      </c>
      <c r="U21" s="24">
        <f t="shared" si="2"/>
        <v>2.0763515116665578</v>
      </c>
      <c r="V21" s="24">
        <f t="shared" si="2"/>
        <v>1.9223279636940209</v>
      </c>
      <c r="W21" s="24">
        <f t="shared" si="2"/>
        <v>1.7981731562894605</v>
      </c>
      <c r="X21" s="24">
        <f t="shared" si="2"/>
        <v>1.6953339100798601</v>
      </c>
      <c r="Y21" s="24">
        <f t="shared" si="2"/>
        <v>1.6083349651114347</v>
      </c>
      <c r="Z21" s="24">
        <f t="shared" si="2"/>
        <v>1.5334872202093681</v>
      </c>
      <c r="AA21" s="24">
        <f t="shared" si="2"/>
        <v>1.4682022340263621</v>
      </c>
      <c r="AB21" s="24">
        <f t="shared" si="2"/>
        <v>1.4106030788828752</v>
      </c>
      <c r="AC21" s="24">
        <f t="shared" si="2"/>
        <v>1.3592911387925695</v>
      </c>
      <c r="AD21" s="24">
        <f t="shared" si="2"/>
        <v>1.3132000000000001</v>
      </c>
      <c r="AE21" s="24">
        <f t="shared" si="2"/>
        <v>1.2715004325598951</v>
      </c>
      <c r="AF21" s="24">
        <f t="shared" si="2"/>
        <v>1.2335366085795274</v>
      </c>
      <c r="AG21" s="24">
        <f t="shared" si="2"/>
        <v>1.1987821041929738</v>
      </c>
      <c r="AH21" s="24">
        <f t="shared" si="2"/>
        <v>1.1668088194098603</v>
      </c>
      <c r="AI21" s="24">
        <f t="shared" si="2"/>
        <v>1.1372645602497249</v>
      </c>
    </row>
    <row r="22" spans="1:35" ht="15.75" x14ac:dyDescent="0.25">
      <c r="A22" s="23">
        <v>80</v>
      </c>
      <c r="B22" s="24">
        <f t="shared" si="1"/>
        <v>14.857162000866788</v>
      </c>
      <c r="C22" s="24">
        <f t="shared" si="1"/>
        <v>12.130821975997065</v>
      </c>
      <c r="D22" s="24">
        <f t="shared" si="1"/>
        <v>10.505600000000001</v>
      </c>
      <c r="E22" s="24">
        <f t="shared" si="1"/>
        <v>8.5777864805943196</v>
      </c>
      <c r="F22" s="24">
        <f t="shared" si="1"/>
        <v>7.4285810004333941</v>
      </c>
      <c r="G22" s="24">
        <f t="shared" si="1"/>
        <v>6.6443248373329862</v>
      </c>
      <c r="H22" s="24">
        <f t="shared" si="1"/>
        <v>6.0654109879985327</v>
      </c>
      <c r="I22" s="24">
        <f t="shared" si="1"/>
        <v>5.6154794060703317</v>
      </c>
      <c r="J22" s="24">
        <f t="shared" si="1"/>
        <v>5.2528000000000006</v>
      </c>
      <c r="K22" s="24">
        <f t="shared" si="1"/>
        <v>4.952387333622263</v>
      </c>
      <c r="L22" s="24">
        <f t="shared" si="1"/>
        <v>4.6982471488843585</v>
      </c>
      <c r="M22" s="24">
        <f t="shared" si="1"/>
        <v>4.2888932402971598</v>
      </c>
      <c r="N22" s="24">
        <f t="shared" si="1"/>
        <v>3.9707435676457381</v>
      </c>
      <c r="O22" s="24">
        <f t="shared" si="1"/>
        <v>3.714290500216697</v>
      </c>
      <c r="P22" s="24">
        <f t="shared" si="1"/>
        <v>3.5018666666666669</v>
      </c>
      <c r="Q22" s="24">
        <f t="shared" si="1"/>
        <v>3.3221624186664931</v>
      </c>
      <c r="R22" s="24">
        <f t="shared" si="2"/>
        <v>2.7125342561277761</v>
      </c>
      <c r="S22" s="24">
        <f t="shared" si="2"/>
        <v>2.3491235744421792</v>
      </c>
      <c r="T22" s="24">
        <f t="shared" si="2"/>
        <v>2.1011200000000003</v>
      </c>
      <c r="U22" s="24">
        <f t="shared" si="2"/>
        <v>1.9180513667087578</v>
      </c>
      <c r="V22" s="24">
        <f t="shared" si="2"/>
        <v>1.7757705076951811</v>
      </c>
      <c r="W22" s="24">
        <f t="shared" si="2"/>
        <v>1.6610812093332465</v>
      </c>
      <c r="X22" s="24">
        <f t="shared" si="2"/>
        <v>1.566082382961453</v>
      </c>
      <c r="Y22" s="24">
        <f t="shared" si="2"/>
        <v>1.4857162000866788</v>
      </c>
      <c r="Z22" s="24">
        <f t="shared" si="2"/>
        <v>1.4165748150187674</v>
      </c>
      <c r="AA22" s="24">
        <f t="shared" si="2"/>
        <v>1.356267128063888</v>
      </c>
      <c r="AB22" s="24">
        <f t="shared" si="2"/>
        <v>1.3030593077003887</v>
      </c>
      <c r="AC22" s="24">
        <f t="shared" si="2"/>
        <v>1.2556593678223407</v>
      </c>
      <c r="AD22" s="24">
        <f t="shared" si="2"/>
        <v>1.2130821975997066</v>
      </c>
      <c r="AE22" s="24">
        <f t="shared" si="2"/>
        <v>1.1745617872210896</v>
      </c>
      <c r="AF22" s="24">
        <f t="shared" si="2"/>
        <v>1.1394923088298372</v>
      </c>
      <c r="AG22" s="24">
        <f t="shared" si="2"/>
        <v>1.1073874728888311</v>
      </c>
      <c r="AH22" s="24">
        <f t="shared" si="2"/>
        <v>1.0778518175665797</v>
      </c>
      <c r="AI22" s="24">
        <f t="shared" si="2"/>
        <v>1.0505600000000002</v>
      </c>
    </row>
    <row r="23" spans="1:35" ht="15.75" x14ac:dyDescent="0.25">
      <c r="A23" s="23">
        <v>85</v>
      </c>
      <c r="B23" s="24">
        <f t="shared" si="1"/>
        <v>13.262669885057081</v>
      </c>
      <c r="C23" s="24">
        <f t="shared" si="1"/>
        <v>10.828924615122222</v>
      </c>
      <c r="D23" s="24">
        <f t="shared" si="1"/>
        <v>9.3781238123624711</v>
      </c>
      <c r="E23" s="24">
        <f t="shared" si="1"/>
        <v>7.6572060283108483</v>
      </c>
      <c r="F23" s="24">
        <f t="shared" si="1"/>
        <v>6.6313349425285404</v>
      </c>
      <c r="G23" s="24">
        <f t="shared" si="1"/>
        <v>5.9312462852253907</v>
      </c>
      <c r="H23" s="24">
        <f t="shared" si="1"/>
        <v>5.4144623075611111</v>
      </c>
      <c r="I23" s="24">
        <f t="shared" si="1"/>
        <v>5.0128180338009471</v>
      </c>
      <c r="J23" s="24">
        <f t="shared" si="1"/>
        <v>4.6890619061812355</v>
      </c>
      <c r="K23" s="24">
        <f t="shared" si="1"/>
        <v>4.4208899616856936</v>
      </c>
      <c r="L23" s="24">
        <f t="shared" si="1"/>
        <v>4.194024469170393</v>
      </c>
      <c r="M23" s="24">
        <f t="shared" si="1"/>
        <v>3.8286030141554241</v>
      </c>
      <c r="N23" s="24">
        <f t="shared" si="1"/>
        <v>3.544597624554866</v>
      </c>
      <c r="O23" s="24">
        <f t="shared" si="1"/>
        <v>3.3156674712642702</v>
      </c>
      <c r="P23" s="24">
        <f t="shared" si="1"/>
        <v>3.1260412707874901</v>
      </c>
      <c r="Q23" s="24">
        <f t="shared" si="1"/>
        <v>2.9656231426126953</v>
      </c>
      <c r="R23" s="24">
        <f t="shared" si="2"/>
        <v>2.421421156263404</v>
      </c>
      <c r="S23" s="24">
        <f t="shared" si="2"/>
        <v>2.0970122345851965</v>
      </c>
      <c r="T23" s="24">
        <f t="shared" si="2"/>
        <v>1.875624762472494</v>
      </c>
      <c r="U23" s="24">
        <f t="shared" si="2"/>
        <v>1.7122033197024236</v>
      </c>
      <c r="V23" s="24">
        <f t="shared" si="2"/>
        <v>1.5851922482777916</v>
      </c>
      <c r="W23" s="24">
        <f t="shared" si="2"/>
        <v>1.4828115713063477</v>
      </c>
      <c r="X23" s="24">
        <f t="shared" si="2"/>
        <v>1.3980081563901312</v>
      </c>
      <c r="Y23" s="24">
        <f t="shared" si="2"/>
        <v>1.3262669885057079</v>
      </c>
      <c r="Z23" s="24">
        <f t="shared" si="2"/>
        <v>1.2645459568916066</v>
      </c>
      <c r="AA23" s="24">
        <f t="shared" si="2"/>
        <v>1.210710578131702</v>
      </c>
      <c r="AB23" s="24">
        <f t="shared" si="2"/>
        <v>1.1632130980111148</v>
      </c>
      <c r="AC23" s="24">
        <f t="shared" si="2"/>
        <v>1.1209001882415757</v>
      </c>
      <c r="AD23" s="24">
        <f t="shared" si="2"/>
        <v>1.0828924615122224</v>
      </c>
      <c r="AE23" s="24">
        <f t="shared" si="2"/>
        <v>1.0485061172925982</v>
      </c>
      <c r="AF23" s="24">
        <f t="shared" si="2"/>
        <v>1.017200346047916</v>
      </c>
      <c r="AG23" s="24">
        <f t="shared" si="2"/>
        <v>0.98854104753756522</v>
      </c>
      <c r="AH23" s="24">
        <f t="shared" si="2"/>
        <v>0.96217520146581903</v>
      </c>
      <c r="AI23" s="24">
        <f t="shared" si="2"/>
        <v>0.93781238123624699</v>
      </c>
    </row>
    <row r="24" spans="1:35" ht="15.75" x14ac:dyDescent="0.25">
      <c r="A24" s="23">
        <v>90</v>
      </c>
      <c r="B24" s="24">
        <f t="shared" si="1"/>
        <v>11.14287150065009</v>
      </c>
      <c r="C24" s="24">
        <f t="shared" si="1"/>
        <v>9.0981164819977973</v>
      </c>
      <c r="D24" s="24">
        <f t="shared" si="1"/>
        <v>7.8792</v>
      </c>
      <c r="E24" s="24">
        <f t="shared" si="1"/>
        <v>6.4333398604457388</v>
      </c>
      <c r="F24" s="24">
        <f t="shared" si="1"/>
        <v>5.5714357503250449</v>
      </c>
      <c r="G24" s="24">
        <f t="shared" si="1"/>
        <v>4.9832436279997392</v>
      </c>
      <c r="H24" s="24">
        <f t="shared" si="1"/>
        <v>4.5490582409988987</v>
      </c>
      <c r="I24" s="24">
        <f t="shared" si="1"/>
        <v>4.2116095545527479</v>
      </c>
      <c r="J24" s="24">
        <f t="shared" si="1"/>
        <v>3.9396</v>
      </c>
      <c r="K24" s="24">
        <f t="shared" si="1"/>
        <v>3.7142905002166966</v>
      </c>
      <c r="L24" s="24">
        <f t="shared" si="1"/>
        <v>3.5236853616632686</v>
      </c>
      <c r="M24" s="24">
        <f t="shared" si="1"/>
        <v>3.2166699302228694</v>
      </c>
      <c r="N24" s="24">
        <f t="shared" si="1"/>
        <v>2.9780576757343034</v>
      </c>
      <c r="O24" s="24">
        <f t="shared" si="1"/>
        <v>2.7857178751625224</v>
      </c>
      <c r="P24" s="24">
        <f t="shared" si="1"/>
        <v>2.6263999999999998</v>
      </c>
      <c r="Q24" s="24">
        <f t="shared" si="1"/>
        <v>2.4916218139998696</v>
      </c>
      <c r="R24" s="24">
        <f t="shared" si="2"/>
        <v>2.034400692095832</v>
      </c>
      <c r="S24" s="24">
        <f t="shared" si="2"/>
        <v>1.7618426808316343</v>
      </c>
      <c r="T24" s="24">
        <f t="shared" si="2"/>
        <v>1.5758400000000001</v>
      </c>
      <c r="U24" s="24">
        <f t="shared" si="2"/>
        <v>1.4385385250315683</v>
      </c>
      <c r="V24" s="24">
        <f t="shared" si="2"/>
        <v>1.3318278807713857</v>
      </c>
      <c r="W24" s="24">
        <f t="shared" si="2"/>
        <v>1.2458109069999348</v>
      </c>
      <c r="X24" s="24">
        <f t="shared" si="2"/>
        <v>1.1745617872210896</v>
      </c>
      <c r="Y24" s="24">
        <f t="shared" si="2"/>
        <v>1.1142871500650091</v>
      </c>
      <c r="Z24" s="24">
        <f t="shared" si="2"/>
        <v>1.0624311112640754</v>
      </c>
      <c r="AA24" s="24">
        <f t="shared" si="2"/>
        <v>1.017200346047916</v>
      </c>
      <c r="AB24" s="24">
        <f t="shared" si="2"/>
        <v>0.97729448077529135</v>
      </c>
      <c r="AC24" s="24">
        <f t="shared" si="2"/>
        <v>0.94174452586675539</v>
      </c>
      <c r="AD24" s="24">
        <f t="shared" si="2"/>
        <v>0.90981164819977989</v>
      </c>
      <c r="AE24" s="24">
        <f t="shared" si="2"/>
        <v>0.88092134041581716</v>
      </c>
      <c r="AF24" s="24">
        <f t="shared" si="2"/>
        <v>0.85461923162237785</v>
      </c>
      <c r="AG24" s="24">
        <f t="shared" si="2"/>
        <v>0.83054060466662316</v>
      </c>
      <c r="AH24" s="24">
        <f t="shared" si="2"/>
        <v>0.80838886317493464</v>
      </c>
      <c r="AI24" s="24">
        <f t="shared" si="2"/>
        <v>0.78792000000000006</v>
      </c>
    </row>
    <row r="25" spans="1:35" ht="15.75" x14ac:dyDescent="0.25">
      <c r="A25" s="23">
        <v>95</v>
      </c>
      <c r="B25" s="24">
        <f t="shared" si="1"/>
        <v>8.0951084686988608</v>
      </c>
      <c r="C25" s="24">
        <f t="shared" si="1"/>
        <v>6.609628386931699</v>
      </c>
      <c r="D25" s="24">
        <f t="shared" si="1"/>
        <v>5.7241060926576131</v>
      </c>
      <c r="E25" s="24">
        <f t="shared" si="1"/>
        <v>4.6737130535225067</v>
      </c>
      <c r="F25" s="24">
        <f t="shared" si="1"/>
        <v>4.0475542343494304</v>
      </c>
      <c r="G25" s="24">
        <f t="shared" si="1"/>
        <v>3.6202425642489762</v>
      </c>
      <c r="H25" s="24">
        <f t="shared" si="1"/>
        <v>3.3048141934658495</v>
      </c>
      <c r="I25" s="24">
        <f t="shared" si="1"/>
        <v>3.0596634063242973</v>
      </c>
      <c r="J25" s="24">
        <f t="shared" si="1"/>
        <v>2.8620530463288065</v>
      </c>
      <c r="K25" s="24">
        <f t="shared" si="1"/>
        <v>2.6983694895662871</v>
      </c>
      <c r="L25" s="24">
        <f t="shared" si="1"/>
        <v>2.5598980667206264</v>
      </c>
      <c r="M25" s="24">
        <f t="shared" si="1"/>
        <v>2.3368565267612533</v>
      </c>
      <c r="N25" s="24">
        <f t="shared" si="1"/>
        <v>2.1635087427602415</v>
      </c>
      <c r="O25" s="24">
        <f t="shared" si="1"/>
        <v>2.0237771171747152</v>
      </c>
      <c r="P25" s="24">
        <f t="shared" si="1"/>
        <v>1.9080353642192045</v>
      </c>
      <c r="Q25" s="24">
        <f t="shared" si="1"/>
        <v>1.8101212821244881</v>
      </c>
      <c r="R25" s="24">
        <f t="shared" si="2"/>
        <v>1.4779578379191565</v>
      </c>
      <c r="S25" s="24">
        <f t="shared" si="2"/>
        <v>1.2799490333603132</v>
      </c>
      <c r="T25" s="24">
        <f t="shared" si="2"/>
        <v>1.1448212185315227</v>
      </c>
      <c r="U25" s="24">
        <f t="shared" si="2"/>
        <v>1.0450740095004438</v>
      </c>
      <c r="V25" s="24">
        <f t="shared" si="2"/>
        <v>0.96755052374540129</v>
      </c>
      <c r="W25" s="24">
        <f t="shared" si="2"/>
        <v>0.90506064106224404</v>
      </c>
      <c r="X25" s="24">
        <f t="shared" si="2"/>
        <v>0.8532993555735422</v>
      </c>
      <c r="Y25" s="24">
        <f t="shared" si="2"/>
        <v>0.80951084686988606</v>
      </c>
      <c r="Z25" s="24">
        <f t="shared" si="2"/>
        <v>0.77183830807895382</v>
      </c>
      <c r="AA25" s="24">
        <f t="shared" si="2"/>
        <v>0.73897891895957823</v>
      </c>
      <c r="AB25" s="24">
        <f t="shared" si="2"/>
        <v>0.70998797996325813</v>
      </c>
      <c r="AC25" s="24">
        <f t="shared" si="2"/>
        <v>0.68416153648096889</v>
      </c>
      <c r="AD25" s="24">
        <f t="shared" si="2"/>
        <v>0.66096283869316996</v>
      </c>
      <c r="AE25" s="24">
        <f t="shared" si="2"/>
        <v>0.63997451668015659</v>
      </c>
      <c r="AF25" s="24">
        <f t="shared" si="2"/>
        <v>0.62086647764138758</v>
      </c>
      <c r="AG25" s="24">
        <f t="shared" si="2"/>
        <v>0.60337376070816273</v>
      </c>
      <c r="AH25" s="24">
        <f t="shared" si="2"/>
        <v>0.58728089361054481</v>
      </c>
      <c r="AI25" s="24">
        <f t="shared" si="2"/>
        <v>0.57241060926576137</v>
      </c>
    </row>
  </sheetData>
  <pageMargins left="0.70000000000000007" right="0.70000000000000007" top="0.75" bottom="0.75" header="0.30000000000000004" footer="0.30000000000000004"/>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16"/>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142</v>
      </c>
      <c r="B1" s="5"/>
      <c r="C1" s="5"/>
      <c r="D1" s="5"/>
      <c r="E1" s="5"/>
      <c r="F1" s="5"/>
    </row>
    <row r="2" spans="1:6" ht="34.5" x14ac:dyDescent="0.3">
      <c r="A2" s="2" t="s">
        <v>0</v>
      </c>
      <c r="B2" s="5"/>
      <c r="C2" s="5"/>
      <c r="D2" s="5"/>
      <c r="E2" s="5"/>
      <c r="F2" s="5"/>
    </row>
    <row r="3" spans="1:6" ht="138" x14ac:dyDescent="0.3">
      <c r="A3" s="2" t="s">
        <v>132</v>
      </c>
      <c r="B3" s="5"/>
      <c r="C3" s="5"/>
      <c r="D3" s="5"/>
      <c r="E3" s="5"/>
      <c r="F3" s="5"/>
    </row>
    <row r="4" spans="1:6" ht="30.75" x14ac:dyDescent="0.25">
      <c r="A4" s="8" t="s">
        <v>17</v>
      </c>
      <c r="B4" s="9" t="s">
        <v>79</v>
      </c>
      <c r="C4" s="9" t="s">
        <v>80</v>
      </c>
      <c r="D4" s="9" t="s">
        <v>81</v>
      </c>
      <c r="E4" s="9" t="s">
        <v>82</v>
      </c>
      <c r="F4" s="9" t="s">
        <v>24</v>
      </c>
    </row>
    <row r="5" spans="1:6" ht="15.75" x14ac:dyDescent="0.25">
      <c r="A5" s="10" t="s">
        <v>119</v>
      </c>
      <c r="B5" s="11">
        <v>0.1</v>
      </c>
      <c r="C5" s="11">
        <v>0.26</v>
      </c>
      <c r="D5" s="11">
        <v>0.24</v>
      </c>
      <c r="E5" s="11">
        <v>0.14000000000000001</v>
      </c>
      <c r="F5" s="11">
        <v>0.14000000000000001</v>
      </c>
    </row>
    <row r="6" spans="1:6" ht="15.75" x14ac:dyDescent="0.25">
      <c r="A6" s="10" t="s">
        <v>139</v>
      </c>
      <c r="B6" s="11">
        <v>0.06</v>
      </c>
      <c r="C6" s="11">
        <v>0.14000000000000001</v>
      </c>
      <c r="D6" s="11">
        <v>0.12</v>
      </c>
      <c r="E6" s="11">
        <v>0.03</v>
      </c>
      <c r="F6" s="11">
        <v>0.08</v>
      </c>
    </row>
    <row r="7" spans="1:6" ht="15.75" x14ac:dyDescent="0.25">
      <c r="A7" s="10" t="s">
        <v>121</v>
      </c>
      <c r="B7" s="11">
        <v>0.38</v>
      </c>
      <c r="C7" s="11">
        <v>0.46</v>
      </c>
      <c r="D7" s="11">
        <v>0.46</v>
      </c>
      <c r="E7" s="11">
        <v>0.43</v>
      </c>
      <c r="F7" s="11">
        <v>0.4</v>
      </c>
    </row>
    <row r="8" spans="1:6" ht="15.75" x14ac:dyDescent="0.25">
      <c r="A8" s="10" t="s">
        <v>122</v>
      </c>
      <c r="B8" s="11">
        <v>0.04</v>
      </c>
      <c r="C8" s="11">
        <v>0.13</v>
      </c>
      <c r="D8" s="11">
        <v>7.0000000000000007E-2</v>
      </c>
      <c r="E8" s="11">
        <v>0.03</v>
      </c>
      <c r="F8" s="11">
        <v>0.05</v>
      </c>
    </row>
    <row r="9" spans="1:6" ht="15.75" x14ac:dyDescent="0.25">
      <c r="A9" s="10" t="s">
        <v>140</v>
      </c>
      <c r="B9" s="11">
        <v>0.03</v>
      </c>
      <c r="C9" s="11">
        <v>0.1</v>
      </c>
      <c r="D9" s="11">
        <v>0.06</v>
      </c>
      <c r="E9" s="11">
        <v>0.04</v>
      </c>
      <c r="F9" s="11">
        <v>0.04</v>
      </c>
    </row>
    <row r="10" spans="1:6" ht="15.75" x14ac:dyDescent="0.25">
      <c r="A10" s="10" t="s">
        <v>141</v>
      </c>
      <c r="B10" s="11">
        <v>7.0000000000000007E-2</v>
      </c>
      <c r="C10" s="11">
        <v>0.21</v>
      </c>
      <c r="D10" s="11">
        <v>0.13</v>
      </c>
      <c r="E10" s="11">
        <v>0.16</v>
      </c>
      <c r="F10" s="11">
        <v>0.1</v>
      </c>
    </row>
    <row r="11" spans="1:6" ht="15.75" x14ac:dyDescent="0.25">
      <c r="A11" s="10" t="s">
        <v>130</v>
      </c>
      <c r="B11" s="11">
        <v>0.09</v>
      </c>
      <c r="C11" s="11">
        <v>0.2</v>
      </c>
      <c r="D11" s="11">
        <v>0.2</v>
      </c>
      <c r="E11" s="11">
        <v>0.18</v>
      </c>
      <c r="F11" s="11">
        <v>0.12</v>
      </c>
    </row>
    <row r="12" spans="1:6" ht="15.75" x14ac:dyDescent="0.25">
      <c r="A12" s="10" t="s">
        <v>126</v>
      </c>
      <c r="B12" s="11">
        <v>0.02</v>
      </c>
      <c r="C12" s="11">
        <v>0.03</v>
      </c>
      <c r="D12" s="11">
        <v>0.02</v>
      </c>
      <c r="E12" s="11">
        <v>0</v>
      </c>
      <c r="F12" s="11">
        <v>0.02</v>
      </c>
    </row>
    <row r="13" spans="1:6" ht="15.75" x14ac:dyDescent="0.25">
      <c r="A13" s="10" t="s">
        <v>127</v>
      </c>
      <c r="B13" s="11">
        <v>0.4</v>
      </c>
      <c r="C13" s="11">
        <v>0.45</v>
      </c>
      <c r="D13" s="11">
        <v>0.31</v>
      </c>
      <c r="E13" s="11">
        <v>0.32</v>
      </c>
      <c r="F13" s="11">
        <v>0.4</v>
      </c>
    </row>
    <row r="14" spans="1:6" ht="15.75" x14ac:dyDescent="0.25">
      <c r="A14" s="10" t="s">
        <v>128</v>
      </c>
      <c r="B14" s="11">
        <v>0.6</v>
      </c>
      <c r="C14" s="11">
        <v>0.71</v>
      </c>
      <c r="D14" s="11">
        <v>0.67</v>
      </c>
      <c r="E14" s="11">
        <v>0.55000000000000004</v>
      </c>
      <c r="F14" s="11">
        <v>0.63</v>
      </c>
    </row>
    <row r="15" spans="1:6" ht="15.75" x14ac:dyDescent="0.25">
      <c r="A15" s="12" t="s">
        <v>31</v>
      </c>
      <c r="B15" s="13">
        <v>7020</v>
      </c>
      <c r="C15" s="13">
        <v>1180</v>
      </c>
      <c r="D15" s="13">
        <v>750</v>
      </c>
      <c r="E15" s="13">
        <v>80</v>
      </c>
      <c r="F15" s="13">
        <v>9030</v>
      </c>
    </row>
    <row r="16" spans="1:6" ht="15.75" x14ac:dyDescent="0.25">
      <c r="A16" s="14"/>
      <c r="B16" s="14"/>
      <c r="C16" s="14"/>
      <c r="D16" s="14"/>
      <c r="E16" s="14"/>
      <c r="F16" s="14"/>
    </row>
  </sheetData>
  <pageMargins left="0.7" right="0.7" top="0.75" bottom="0.75" header="0.3" footer="0.3"/>
  <pageSetup paperSize="9" orientation="portrait"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17"/>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143</v>
      </c>
      <c r="B1" s="5"/>
      <c r="C1" s="5"/>
      <c r="D1" s="5"/>
      <c r="E1" s="5"/>
      <c r="F1" s="5"/>
      <c r="G1" s="5"/>
      <c r="H1" s="5"/>
    </row>
    <row r="2" spans="1:8" ht="34.5" x14ac:dyDescent="0.3">
      <c r="A2" s="2" t="s">
        <v>0</v>
      </c>
      <c r="B2" s="5"/>
      <c r="C2" s="5"/>
      <c r="D2" s="5"/>
      <c r="E2" s="5"/>
      <c r="F2" s="5"/>
      <c r="G2" s="5"/>
      <c r="H2" s="5"/>
    </row>
    <row r="3" spans="1:8" ht="138" x14ac:dyDescent="0.3">
      <c r="A3" s="2" t="s">
        <v>118</v>
      </c>
      <c r="B3" s="5"/>
      <c r="C3" s="5"/>
      <c r="D3" s="5"/>
      <c r="E3" s="5"/>
      <c r="F3" s="5"/>
      <c r="G3" s="5"/>
      <c r="H3" s="5"/>
    </row>
    <row r="4" spans="1:8" ht="103.5" x14ac:dyDescent="0.3">
      <c r="A4" s="2" t="s">
        <v>2</v>
      </c>
      <c r="B4" s="5"/>
      <c r="C4" s="5"/>
      <c r="D4" s="5"/>
      <c r="E4" s="5"/>
      <c r="F4" s="5"/>
      <c r="G4" s="5"/>
      <c r="H4" s="5"/>
    </row>
    <row r="5" spans="1:8" ht="30.75" x14ac:dyDescent="0.25">
      <c r="A5" s="8" t="s">
        <v>17</v>
      </c>
      <c r="B5" s="9" t="s">
        <v>18</v>
      </c>
      <c r="C5" s="9" t="s">
        <v>19</v>
      </c>
      <c r="D5" s="9" t="s">
        <v>20</v>
      </c>
      <c r="E5" s="9" t="s">
        <v>21</v>
      </c>
      <c r="F5" s="9" t="s">
        <v>22</v>
      </c>
      <c r="G5" s="9" t="s">
        <v>23</v>
      </c>
      <c r="H5" s="9" t="s">
        <v>24</v>
      </c>
    </row>
    <row r="6" spans="1:8" ht="15.75" x14ac:dyDescent="0.25">
      <c r="A6" s="10" t="s">
        <v>119</v>
      </c>
      <c r="B6" s="11">
        <v>0.19</v>
      </c>
      <c r="C6" s="11">
        <v>0.13</v>
      </c>
      <c r="D6" s="11">
        <v>0.09</v>
      </c>
      <c r="E6" s="11">
        <v>0.1</v>
      </c>
      <c r="F6" s="11">
        <v>7.0000000000000007E-2</v>
      </c>
      <c r="G6" s="11">
        <v>7.0000000000000007E-2</v>
      </c>
      <c r="H6" s="11">
        <v>0.14000000000000001</v>
      </c>
    </row>
    <row r="7" spans="1:8" ht="15.75" x14ac:dyDescent="0.25">
      <c r="A7" s="10" t="s">
        <v>139</v>
      </c>
      <c r="B7" s="11">
        <v>0.12</v>
      </c>
      <c r="C7" s="11">
        <v>7.0000000000000007E-2</v>
      </c>
      <c r="D7" s="11">
        <v>0.05</v>
      </c>
      <c r="E7" s="11">
        <v>0.01</v>
      </c>
      <c r="F7" s="11">
        <v>0.03</v>
      </c>
      <c r="G7" s="11">
        <v>0.02</v>
      </c>
      <c r="H7" s="11">
        <v>0.08</v>
      </c>
    </row>
    <row r="8" spans="1:8" ht="15.75" x14ac:dyDescent="0.25">
      <c r="A8" s="10" t="s">
        <v>121</v>
      </c>
      <c r="B8" s="11">
        <v>0.49</v>
      </c>
      <c r="C8" s="11">
        <v>0.4</v>
      </c>
      <c r="D8" s="11">
        <v>0.35</v>
      </c>
      <c r="E8" s="11">
        <v>0.26</v>
      </c>
      <c r="F8" s="11">
        <v>0.28000000000000003</v>
      </c>
      <c r="G8" s="11">
        <v>0.22</v>
      </c>
      <c r="H8" s="11">
        <v>0.4</v>
      </c>
    </row>
    <row r="9" spans="1:8" ht="15.75" x14ac:dyDescent="0.25">
      <c r="A9" s="10" t="s">
        <v>122</v>
      </c>
      <c r="B9" s="11">
        <v>0.06</v>
      </c>
      <c r="C9" s="11">
        <v>0.06</v>
      </c>
      <c r="D9" s="11">
        <v>0.03</v>
      </c>
      <c r="E9" s="11">
        <v>0.05</v>
      </c>
      <c r="F9" s="11">
        <v>0.04</v>
      </c>
      <c r="G9" s="11">
        <v>0.03</v>
      </c>
      <c r="H9" s="11">
        <v>0.05</v>
      </c>
    </row>
    <row r="10" spans="1:8" ht="15.75" x14ac:dyDescent="0.25">
      <c r="A10" s="10" t="s">
        <v>140</v>
      </c>
      <c r="B10" s="11">
        <v>0.06</v>
      </c>
      <c r="C10" s="11">
        <v>0.04</v>
      </c>
      <c r="D10" s="11">
        <v>0.03</v>
      </c>
      <c r="E10" s="11">
        <v>0</v>
      </c>
      <c r="F10" s="11">
        <v>0.03</v>
      </c>
      <c r="G10" s="11">
        <v>0.01</v>
      </c>
      <c r="H10" s="11">
        <v>0.04</v>
      </c>
    </row>
    <row r="11" spans="1:8" ht="15.75" x14ac:dyDescent="0.25">
      <c r="A11" s="10" t="s">
        <v>141</v>
      </c>
      <c r="B11" s="11">
        <v>0.12</v>
      </c>
      <c r="C11" s="11">
        <v>0.11</v>
      </c>
      <c r="D11" s="11">
        <v>0.06</v>
      </c>
      <c r="E11" s="11">
        <v>0.14000000000000001</v>
      </c>
      <c r="F11" s="11">
        <v>0.05</v>
      </c>
      <c r="G11" s="11">
        <v>0.02</v>
      </c>
      <c r="H11" s="11">
        <v>0.1</v>
      </c>
    </row>
    <row r="12" spans="1:8" ht="15.75" x14ac:dyDescent="0.25">
      <c r="A12" s="10" t="s">
        <v>130</v>
      </c>
      <c r="B12" s="11">
        <v>0.16</v>
      </c>
      <c r="C12" s="11">
        <v>0.13</v>
      </c>
      <c r="D12" s="11">
        <v>0.05</v>
      </c>
      <c r="E12" s="11">
        <v>7.0000000000000007E-2</v>
      </c>
      <c r="F12" s="11">
        <v>0.05</v>
      </c>
      <c r="G12" s="11">
        <v>0.02</v>
      </c>
      <c r="H12" s="11">
        <v>0.12</v>
      </c>
    </row>
    <row r="13" spans="1:8" ht="15.75" x14ac:dyDescent="0.25">
      <c r="A13" s="10" t="s">
        <v>126</v>
      </c>
      <c r="B13" s="11">
        <v>0.03</v>
      </c>
      <c r="C13" s="11">
        <v>0.01</v>
      </c>
      <c r="D13" s="11">
        <v>0.02</v>
      </c>
      <c r="E13" s="11">
        <v>0.03</v>
      </c>
      <c r="F13" s="11">
        <v>0.03</v>
      </c>
      <c r="G13" s="11">
        <v>0.02</v>
      </c>
      <c r="H13" s="11">
        <v>0.02</v>
      </c>
    </row>
    <row r="14" spans="1:8" ht="15.75" x14ac:dyDescent="0.25">
      <c r="A14" s="10" t="s">
        <v>127</v>
      </c>
      <c r="B14" s="11">
        <v>0.41</v>
      </c>
      <c r="C14" s="11">
        <v>0.4</v>
      </c>
      <c r="D14" s="11">
        <v>0.43</v>
      </c>
      <c r="E14" s="11">
        <v>0.39</v>
      </c>
      <c r="F14" s="11">
        <v>0.4</v>
      </c>
      <c r="G14" s="11">
        <v>0.27</v>
      </c>
      <c r="H14" s="11">
        <v>0.4</v>
      </c>
    </row>
    <row r="15" spans="1:8" ht="15.75" x14ac:dyDescent="0.25">
      <c r="A15" s="10" t="s">
        <v>128</v>
      </c>
      <c r="B15" s="11">
        <v>0.69</v>
      </c>
      <c r="C15" s="11">
        <v>0.62</v>
      </c>
      <c r="D15" s="11">
        <v>0.59</v>
      </c>
      <c r="E15" s="11">
        <v>0.62</v>
      </c>
      <c r="F15" s="11">
        <v>0.54</v>
      </c>
      <c r="G15" s="11">
        <v>0.44</v>
      </c>
      <c r="H15" s="11">
        <v>0.63</v>
      </c>
    </row>
    <row r="16" spans="1:8" ht="15.75" x14ac:dyDescent="0.25">
      <c r="A16" s="12" t="s">
        <v>31</v>
      </c>
      <c r="B16" s="13">
        <v>2950</v>
      </c>
      <c r="C16" s="13">
        <v>2670</v>
      </c>
      <c r="D16" s="13">
        <v>850</v>
      </c>
      <c r="E16" s="13">
        <v>370</v>
      </c>
      <c r="F16" s="13">
        <v>1210</v>
      </c>
      <c r="G16" s="13">
        <v>990</v>
      </c>
      <c r="H16" s="13">
        <v>9030</v>
      </c>
    </row>
    <row r="17" spans="1:8" ht="15.75" x14ac:dyDescent="0.25">
      <c r="A17" s="14"/>
      <c r="B17" s="14"/>
      <c r="C17" s="14"/>
      <c r="D17" s="14"/>
      <c r="E17" s="14"/>
      <c r="F17" s="14"/>
      <c r="G17" s="14"/>
      <c r="H17" s="14"/>
    </row>
  </sheetData>
  <pageMargins left="0.7" right="0.7" top="0.75" bottom="0.75" header="0.3" footer="0.3"/>
  <pageSetup paperSize="9" orientation="portrait" horizontalDpi="300" verticalDpi="300"/>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6"/>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144</v>
      </c>
      <c r="B1" s="5"/>
      <c r="C1" s="5"/>
      <c r="D1" s="5"/>
      <c r="E1" s="5"/>
      <c r="F1" s="5"/>
    </row>
    <row r="2" spans="1:6" ht="45.75" x14ac:dyDescent="0.25">
      <c r="A2" s="8" t="s">
        <v>17</v>
      </c>
      <c r="B2" s="9" t="s">
        <v>84</v>
      </c>
      <c r="C2" s="9" t="s">
        <v>85</v>
      </c>
      <c r="D2" s="9" t="s">
        <v>86</v>
      </c>
      <c r="E2" s="9" t="s">
        <v>87</v>
      </c>
      <c r="F2" s="9" t="s">
        <v>24</v>
      </c>
    </row>
    <row r="3" spans="1:6" ht="15.75" x14ac:dyDescent="0.25">
      <c r="A3" s="10" t="s">
        <v>145</v>
      </c>
      <c r="B3" s="11">
        <v>0.08</v>
      </c>
      <c r="C3" s="11">
        <v>0.09</v>
      </c>
      <c r="D3" s="11" t="s">
        <v>14</v>
      </c>
      <c r="E3" s="11" t="s">
        <v>14</v>
      </c>
      <c r="F3" s="11">
        <v>0.09</v>
      </c>
    </row>
    <row r="4" spans="1:6" ht="15.75" x14ac:dyDescent="0.25">
      <c r="A4" s="10" t="s">
        <v>146</v>
      </c>
      <c r="B4" s="11">
        <v>0.92</v>
      </c>
      <c r="C4" s="11">
        <v>0.91</v>
      </c>
      <c r="D4" s="11" t="s">
        <v>14</v>
      </c>
      <c r="E4" s="11" t="s">
        <v>14</v>
      </c>
      <c r="F4" s="11">
        <v>0.91</v>
      </c>
    </row>
    <row r="5" spans="1:6" ht="15.75" x14ac:dyDescent="0.25">
      <c r="A5" s="12" t="s">
        <v>31</v>
      </c>
      <c r="B5" s="13">
        <v>3880</v>
      </c>
      <c r="C5" s="13">
        <v>5120</v>
      </c>
      <c r="D5" s="13">
        <v>30</v>
      </c>
      <c r="E5" s="13">
        <v>0</v>
      </c>
      <c r="F5" s="13">
        <v>9030</v>
      </c>
    </row>
    <row r="6" spans="1:6" ht="15.75" x14ac:dyDescent="0.25">
      <c r="A6" s="14"/>
      <c r="B6" s="14"/>
      <c r="C6" s="14"/>
      <c r="D6" s="14"/>
      <c r="E6" s="14"/>
      <c r="F6" s="14"/>
    </row>
  </sheetData>
  <pageMargins left="0.7" right="0.7" top="0.75" bottom="0.75" header="0.3" footer="0.3"/>
  <pageSetup paperSize="9"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6"/>
  <sheetViews>
    <sheetView showGridLines="0" workbookViewId="0"/>
  </sheetViews>
  <sheetFormatPr defaultColWidth="11.42578125" defaultRowHeight="15" x14ac:dyDescent="0.25"/>
  <cols>
    <col min="1" max="1" width="70.7109375" customWidth="1"/>
    <col min="2" max="5" width="15.7109375" customWidth="1"/>
  </cols>
  <sheetData>
    <row r="1" spans="1:5" ht="19.5" x14ac:dyDescent="0.3">
      <c r="A1" s="1" t="s">
        <v>147</v>
      </c>
      <c r="B1" s="5"/>
      <c r="C1" s="5"/>
      <c r="D1" s="5"/>
      <c r="E1" s="5"/>
    </row>
    <row r="2" spans="1:5" ht="15.75" x14ac:dyDescent="0.25">
      <c r="A2" s="8" t="s">
        <v>17</v>
      </c>
      <c r="B2" s="9" t="s">
        <v>148</v>
      </c>
      <c r="C2" s="9" t="s">
        <v>149</v>
      </c>
      <c r="D2" s="9" t="s">
        <v>150</v>
      </c>
      <c r="E2" s="9" t="s">
        <v>24</v>
      </c>
    </row>
    <row r="3" spans="1:5" ht="15.75" x14ac:dyDescent="0.25">
      <c r="A3" s="10" t="s">
        <v>145</v>
      </c>
      <c r="B3" s="11">
        <v>0.13</v>
      </c>
      <c r="C3" s="11">
        <v>0.09</v>
      </c>
      <c r="D3" s="11">
        <v>0.04</v>
      </c>
      <c r="E3" s="11">
        <v>0.09</v>
      </c>
    </row>
    <row r="4" spans="1:5" ht="15.75" x14ac:dyDescent="0.25">
      <c r="A4" s="10" t="s">
        <v>146</v>
      </c>
      <c r="B4" s="11">
        <v>0.87</v>
      </c>
      <c r="C4" s="11">
        <v>0.91</v>
      </c>
      <c r="D4" s="11">
        <v>0.96</v>
      </c>
      <c r="E4" s="11">
        <v>0.91</v>
      </c>
    </row>
    <row r="5" spans="1:5" ht="15.75" x14ac:dyDescent="0.25">
      <c r="A5" s="12" t="s">
        <v>31</v>
      </c>
      <c r="B5" s="13">
        <v>1310</v>
      </c>
      <c r="C5" s="13">
        <v>3210</v>
      </c>
      <c r="D5" s="13">
        <v>4520</v>
      </c>
      <c r="E5" s="13">
        <v>9030</v>
      </c>
    </row>
    <row r="6" spans="1:5" ht="15.75" x14ac:dyDescent="0.25">
      <c r="A6" s="14"/>
      <c r="B6" s="14"/>
      <c r="C6" s="14"/>
      <c r="D6" s="14"/>
      <c r="E6" s="14"/>
    </row>
  </sheetData>
  <pageMargins left="0.7" right="0.7" top="0.75" bottom="0.75" header="0.3" footer="0.3"/>
  <pageSetup paperSize="9"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7"/>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151</v>
      </c>
      <c r="B1" s="5"/>
      <c r="C1" s="5"/>
      <c r="D1" s="5"/>
      <c r="E1" s="5"/>
      <c r="F1" s="5"/>
      <c r="G1" s="5"/>
    </row>
    <row r="2" spans="1:7" ht="120.75" x14ac:dyDescent="0.3">
      <c r="A2" s="2" t="s">
        <v>37</v>
      </c>
      <c r="B2" s="5"/>
      <c r="C2" s="5"/>
      <c r="D2" s="5"/>
      <c r="E2" s="5"/>
      <c r="F2" s="5"/>
      <c r="G2" s="5"/>
    </row>
    <row r="3" spans="1:7" ht="45.75" x14ac:dyDescent="0.25">
      <c r="A3" s="8" t="s">
        <v>17</v>
      </c>
      <c r="B3" s="9" t="s">
        <v>49</v>
      </c>
      <c r="C3" s="9" t="s">
        <v>50</v>
      </c>
      <c r="D3" s="9" t="s">
        <v>51</v>
      </c>
      <c r="E3" s="9" t="s">
        <v>52</v>
      </c>
      <c r="F3" s="9" t="s">
        <v>53</v>
      </c>
      <c r="G3" s="9" t="s">
        <v>24</v>
      </c>
    </row>
    <row r="4" spans="1:7" ht="15.75" x14ac:dyDescent="0.25">
      <c r="A4" s="10" t="s">
        <v>145</v>
      </c>
      <c r="B4" s="11">
        <v>0.11</v>
      </c>
      <c r="C4" s="11">
        <v>0.1</v>
      </c>
      <c r="D4" s="11">
        <v>0.08</v>
      </c>
      <c r="E4" s="11">
        <v>0.06</v>
      </c>
      <c r="F4" s="11">
        <v>0.08</v>
      </c>
      <c r="G4" s="11">
        <v>0.09</v>
      </c>
    </row>
    <row r="5" spans="1:7" ht="15.75" x14ac:dyDescent="0.25">
      <c r="A5" s="10" t="s">
        <v>146</v>
      </c>
      <c r="B5" s="11">
        <v>0.89</v>
      </c>
      <c r="C5" s="11">
        <v>0.9</v>
      </c>
      <c r="D5" s="11">
        <v>0.92</v>
      </c>
      <c r="E5" s="11">
        <v>0.94</v>
      </c>
      <c r="F5" s="11">
        <v>0.92</v>
      </c>
      <c r="G5" s="11">
        <v>0.91</v>
      </c>
    </row>
    <row r="6" spans="1:7" ht="15.75" x14ac:dyDescent="0.25">
      <c r="A6" s="12" t="s">
        <v>31</v>
      </c>
      <c r="B6" s="13">
        <v>1180</v>
      </c>
      <c r="C6" s="13">
        <v>1540</v>
      </c>
      <c r="D6" s="13">
        <v>1980</v>
      </c>
      <c r="E6" s="13">
        <v>2230</v>
      </c>
      <c r="F6" s="13">
        <v>2110</v>
      </c>
      <c r="G6" s="13">
        <v>9030</v>
      </c>
    </row>
    <row r="7" spans="1:7" ht="15.75" x14ac:dyDescent="0.25">
      <c r="A7" s="14"/>
      <c r="B7" s="14"/>
      <c r="C7" s="14"/>
      <c r="D7" s="14"/>
      <c r="E7" s="14"/>
      <c r="F7" s="14"/>
      <c r="G7" s="14"/>
    </row>
  </sheetData>
  <pageMargins left="0.7" right="0.7" top="0.75" bottom="0.75" header="0.3" footer="0.3"/>
  <pageSetup paperSize="9" orientation="portrait" horizontalDpi="300" verticalDpi="300"/>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6"/>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152</v>
      </c>
      <c r="B1" s="5"/>
      <c r="C1" s="5"/>
      <c r="D1" s="5"/>
      <c r="E1" s="5"/>
      <c r="F1" s="5"/>
    </row>
    <row r="2" spans="1:6" ht="30.75" x14ac:dyDescent="0.25">
      <c r="A2" s="8" t="s">
        <v>17</v>
      </c>
      <c r="B2" s="9" t="s">
        <v>153</v>
      </c>
      <c r="C2" s="9" t="s">
        <v>154</v>
      </c>
      <c r="D2" s="9" t="s">
        <v>82</v>
      </c>
      <c r="E2" s="9" t="s">
        <v>155</v>
      </c>
      <c r="F2" s="9" t="s">
        <v>24</v>
      </c>
    </row>
    <row r="3" spans="1:6" ht="15.75" x14ac:dyDescent="0.25">
      <c r="A3" s="10" t="s">
        <v>145</v>
      </c>
      <c r="B3" s="11">
        <v>0.08</v>
      </c>
      <c r="C3" s="11">
        <v>0.17</v>
      </c>
      <c r="D3" s="11" t="s">
        <v>14</v>
      </c>
      <c r="E3" s="11">
        <v>0.16</v>
      </c>
      <c r="F3" s="11">
        <v>0.09</v>
      </c>
    </row>
    <row r="4" spans="1:6" ht="15.75" x14ac:dyDescent="0.25">
      <c r="A4" s="10" t="s">
        <v>146</v>
      </c>
      <c r="B4" s="11">
        <v>0.92</v>
      </c>
      <c r="C4" s="11">
        <v>0.83</v>
      </c>
      <c r="D4" s="11" t="s">
        <v>14</v>
      </c>
      <c r="E4" s="11">
        <v>0.84</v>
      </c>
      <c r="F4" s="11">
        <v>0.91</v>
      </c>
    </row>
    <row r="5" spans="1:6" ht="15.75" x14ac:dyDescent="0.25">
      <c r="A5" s="12" t="s">
        <v>31</v>
      </c>
      <c r="B5" s="13">
        <v>8660</v>
      </c>
      <c r="C5" s="13">
        <v>280</v>
      </c>
      <c r="D5" s="13">
        <v>40</v>
      </c>
      <c r="E5" s="13">
        <v>60</v>
      </c>
      <c r="F5" s="13">
        <v>9030</v>
      </c>
    </row>
    <row r="6" spans="1:6" ht="15.75" x14ac:dyDescent="0.25">
      <c r="A6" s="14"/>
      <c r="B6" s="14"/>
      <c r="C6" s="14"/>
      <c r="D6" s="14"/>
      <c r="E6" s="14"/>
      <c r="F6" s="14"/>
    </row>
  </sheetData>
  <pageMargins left="0.7" right="0.7" top="0.75" bottom="0.75" header="0.3" footer="0.3"/>
  <pageSetup paperSize="9"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7"/>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156</v>
      </c>
      <c r="B1" s="5"/>
      <c r="C1" s="5"/>
      <c r="D1" s="5"/>
      <c r="E1" s="5"/>
      <c r="F1" s="5"/>
      <c r="G1" s="5"/>
      <c r="H1" s="5"/>
    </row>
    <row r="2" spans="1:8" ht="69" x14ac:dyDescent="0.3">
      <c r="A2" s="2" t="s">
        <v>94</v>
      </c>
      <c r="B2" s="5"/>
      <c r="C2" s="5"/>
      <c r="D2" s="5"/>
      <c r="E2" s="5"/>
      <c r="F2" s="5"/>
      <c r="G2" s="5"/>
      <c r="H2" s="5"/>
    </row>
    <row r="3" spans="1:8" ht="30.75" x14ac:dyDescent="0.25">
      <c r="A3" s="8" t="s">
        <v>17</v>
      </c>
      <c r="B3" s="9" t="s">
        <v>95</v>
      </c>
      <c r="C3" s="9" t="s">
        <v>96</v>
      </c>
      <c r="D3" s="9" t="s">
        <v>97</v>
      </c>
      <c r="E3" s="9" t="s">
        <v>98</v>
      </c>
      <c r="F3" s="9" t="s">
        <v>60</v>
      </c>
      <c r="G3" s="9" t="s">
        <v>87</v>
      </c>
      <c r="H3" s="9" t="s">
        <v>24</v>
      </c>
    </row>
    <row r="4" spans="1:8" ht="15.75" x14ac:dyDescent="0.25">
      <c r="A4" s="10" t="s">
        <v>145</v>
      </c>
      <c r="B4" s="11">
        <v>7.0000000000000007E-2</v>
      </c>
      <c r="C4" s="11">
        <v>0.1</v>
      </c>
      <c r="D4" s="11">
        <v>0.14000000000000001</v>
      </c>
      <c r="E4" s="11">
        <v>0.22</v>
      </c>
      <c r="F4" s="11" t="s">
        <v>14</v>
      </c>
      <c r="G4" s="11" t="s">
        <v>14</v>
      </c>
      <c r="H4" s="11">
        <v>0.09</v>
      </c>
    </row>
    <row r="5" spans="1:8" ht="15.75" x14ac:dyDescent="0.25">
      <c r="A5" s="10" t="s">
        <v>146</v>
      </c>
      <c r="B5" s="11">
        <v>0.93</v>
      </c>
      <c r="C5" s="11">
        <v>0.9</v>
      </c>
      <c r="D5" s="11">
        <v>0.86</v>
      </c>
      <c r="E5" s="11">
        <v>0.78</v>
      </c>
      <c r="F5" s="11" t="s">
        <v>14</v>
      </c>
      <c r="G5" s="11" t="s">
        <v>14</v>
      </c>
      <c r="H5" s="11">
        <v>0.91</v>
      </c>
    </row>
    <row r="6" spans="1:8" ht="15.75" x14ac:dyDescent="0.25">
      <c r="A6" s="12" t="s">
        <v>31</v>
      </c>
      <c r="B6" s="13">
        <v>6510</v>
      </c>
      <c r="C6" s="13">
        <v>1810</v>
      </c>
      <c r="D6" s="13">
        <v>490</v>
      </c>
      <c r="E6" s="13">
        <v>210</v>
      </c>
      <c r="F6" s="13">
        <v>10</v>
      </c>
      <c r="G6" s="13">
        <v>10</v>
      </c>
      <c r="H6" s="13">
        <v>9030</v>
      </c>
    </row>
    <row r="7" spans="1:8" ht="15.75" x14ac:dyDescent="0.25">
      <c r="A7" s="14"/>
      <c r="B7" s="14"/>
      <c r="C7" s="14"/>
      <c r="D7" s="14"/>
      <c r="E7" s="14"/>
      <c r="F7" s="14"/>
      <c r="G7" s="14"/>
      <c r="H7" s="14"/>
    </row>
  </sheetData>
  <pageMargins left="0.7" right="0.7" top="0.75" bottom="0.75" header="0.3" footer="0.3"/>
  <pageSetup paperSize="9"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7"/>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157</v>
      </c>
      <c r="B1" s="5"/>
      <c r="C1" s="5"/>
      <c r="D1" s="5"/>
      <c r="E1" s="5"/>
      <c r="F1" s="5"/>
      <c r="G1" s="5"/>
    </row>
    <row r="2" spans="1:7" ht="69" x14ac:dyDescent="0.3">
      <c r="A2" s="2" t="s">
        <v>158</v>
      </c>
      <c r="B2" s="5"/>
      <c r="C2" s="5"/>
      <c r="D2" s="5"/>
      <c r="E2" s="5"/>
      <c r="F2" s="5"/>
      <c r="G2" s="5"/>
    </row>
    <row r="3" spans="1:7" ht="30.75" x14ac:dyDescent="0.25">
      <c r="A3" s="8" t="s">
        <v>17</v>
      </c>
      <c r="B3" s="9" t="s">
        <v>159</v>
      </c>
      <c r="C3" s="9" t="s">
        <v>160</v>
      </c>
      <c r="D3" s="9" t="s">
        <v>161</v>
      </c>
      <c r="E3" s="9" t="s">
        <v>162</v>
      </c>
      <c r="F3" s="9" t="s">
        <v>163</v>
      </c>
      <c r="G3" s="9" t="s">
        <v>24</v>
      </c>
    </row>
    <row r="4" spans="1:7" ht="15.75" x14ac:dyDescent="0.25">
      <c r="A4" s="10" t="s">
        <v>145</v>
      </c>
      <c r="B4" s="11">
        <v>0.09</v>
      </c>
      <c r="C4" s="11">
        <v>0.05</v>
      </c>
      <c r="D4" s="11">
        <v>0.1</v>
      </c>
      <c r="E4" s="11">
        <v>0.11</v>
      </c>
      <c r="F4" s="11">
        <v>0.13</v>
      </c>
      <c r="G4" s="11">
        <v>0.09</v>
      </c>
    </row>
    <row r="5" spans="1:7" ht="15.75" x14ac:dyDescent="0.25">
      <c r="A5" s="10" t="s">
        <v>146</v>
      </c>
      <c r="B5" s="11">
        <v>0.91</v>
      </c>
      <c r="C5" s="11">
        <v>0.95</v>
      </c>
      <c r="D5" s="11">
        <v>0.9</v>
      </c>
      <c r="E5" s="11">
        <v>0.89</v>
      </c>
      <c r="F5" s="11">
        <v>0.87</v>
      </c>
      <c r="G5" s="11">
        <v>0.91</v>
      </c>
    </row>
    <row r="6" spans="1:7" ht="15.75" x14ac:dyDescent="0.25">
      <c r="A6" s="12" t="s">
        <v>31</v>
      </c>
      <c r="B6" s="13">
        <v>4540</v>
      </c>
      <c r="C6" s="13">
        <v>2150</v>
      </c>
      <c r="D6" s="13">
        <v>1020</v>
      </c>
      <c r="E6" s="13">
        <v>1130</v>
      </c>
      <c r="F6" s="13">
        <v>190</v>
      </c>
      <c r="G6" s="13">
        <v>9030</v>
      </c>
    </row>
    <row r="7" spans="1:7" ht="15.75" x14ac:dyDescent="0.25">
      <c r="A7" s="14"/>
      <c r="B7" s="14"/>
      <c r="C7" s="14"/>
      <c r="D7" s="14"/>
      <c r="E7" s="14"/>
      <c r="F7" s="14"/>
      <c r="G7" s="14"/>
    </row>
  </sheetData>
  <pageMargins left="0.7" right="0.7" top="0.75" bottom="0.75" header="0.3" footer="0.3"/>
  <pageSetup paperSize="9" orientation="portrait" horizontalDpi="300" verticalDpi="300"/>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F7"/>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164</v>
      </c>
      <c r="B1" s="5"/>
      <c r="C1" s="5"/>
      <c r="D1" s="5"/>
      <c r="E1" s="5"/>
      <c r="F1" s="5"/>
    </row>
    <row r="2" spans="1:6" ht="34.5" x14ac:dyDescent="0.3">
      <c r="A2" s="2" t="s">
        <v>165</v>
      </c>
      <c r="B2" s="5"/>
      <c r="C2" s="5"/>
      <c r="D2" s="5"/>
      <c r="E2" s="5"/>
      <c r="F2" s="5"/>
    </row>
    <row r="3" spans="1:6" ht="15.75" x14ac:dyDescent="0.25">
      <c r="A3" s="8" t="s">
        <v>17</v>
      </c>
      <c r="B3" s="9" t="s">
        <v>166</v>
      </c>
      <c r="C3" s="9" t="s">
        <v>167</v>
      </c>
      <c r="D3" s="9" t="s">
        <v>60</v>
      </c>
      <c r="E3" s="9" t="s">
        <v>168</v>
      </c>
      <c r="F3" s="9" t="s">
        <v>24</v>
      </c>
    </row>
    <row r="4" spans="1:6" ht="15.75" x14ac:dyDescent="0.25">
      <c r="A4" s="10" t="s">
        <v>145</v>
      </c>
      <c r="B4" s="11">
        <v>0.14000000000000001</v>
      </c>
      <c r="C4" s="11">
        <v>7.0000000000000007E-2</v>
      </c>
      <c r="D4" s="11" t="s">
        <v>14</v>
      </c>
      <c r="E4" s="11" t="s">
        <v>14</v>
      </c>
      <c r="F4" s="11">
        <v>0.09</v>
      </c>
    </row>
    <row r="5" spans="1:6" ht="15.75" x14ac:dyDescent="0.25">
      <c r="A5" s="10" t="s">
        <v>146</v>
      </c>
      <c r="B5" s="11">
        <v>0.86</v>
      </c>
      <c r="C5" s="11">
        <v>0.93</v>
      </c>
      <c r="D5" s="11" t="s">
        <v>14</v>
      </c>
      <c r="E5" s="11" t="s">
        <v>14</v>
      </c>
      <c r="F5" s="11">
        <v>0.91</v>
      </c>
    </row>
    <row r="6" spans="1:6" ht="15.75" x14ac:dyDescent="0.25">
      <c r="A6" s="12" t="s">
        <v>31</v>
      </c>
      <c r="B6" s="13">
        <v>2550</v>
      </c>
      <c r="C6" s="13">
        <v>6440</v>
      </c>
      <c r="D6" s="13">
        <v>30</v>
      </c>
      <c r="E6" s="13">
        <v>10</v>
      </c>
      <c r="F6" s="13">
        <v>9030</v>
      </c>
    </row>
    <row r="7" spans="1:6" ht="15.75" x14ac:dyDescent="0.25">
      <c r="A7" s="14"/>
      <c r="B7" s="14"/>
      <c r="C7" s="14"/>
      <c r="D7" s="14"/>
      <c r="E7" s="14"/>
      <c r="F7" s="14"/>
    </row>
  </sheetData>
  <pageMargins left="0.7" right="0.7" top="0.75" bottom="0.75" header="0.3" footer="0.3"/>
  <pageSetup paperSize="9" orientation="portrait" horizontalDpi="300" verticalDpi="300"/>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20"/>
  <sheetViews>
    <sheetView showGridLines="0" workbookViewId="0"/>
  </sheetViews>
  <sheetFormatPr defaultColWidth="11.42578125" defaultRowHeight="15" x14ac:dyDescent="0.25"/>
  <cols>
    <col min="1" max="1" width="70.7109375" customWidth="1"/>
    <col min="2" max="3" width="15.7109375" customWidth="1"/>
  </cols>
  <sheetData>
    <row r="1" spans="1:3" ht="19.5" x14ac:dyDescent="0.3">
      <c r="A1" s="1" t="s">
        <v>169</v>
      </c>
      <c r="B1" s="5"/>
      <c r="C1" s="5"/>
    </row>
    <row r="2" spans="1:3" ht="34.5" x14ac:dyDescent="0.3">
      <c r="A2" s="2" t="s">
        <v>170</v>
      </c>
      <c r="B2" s="5"/>
      <c r="C2" s="5"/>
    </row>
    <row r="3" spans="1:3" ht="15.75" x14ac:dyDescent="0.25">
      <c r="A3" s="8" t="s">
        <v>17</v>
      </c>
      <c r="B3" s="9" t="s">
        <v>171</v>
      </c>
      <c r="C3" s="9" t="s">
        <v>172</v>
      </c>
    </row>
    <row r="4" spans="1:3" ht="15.75" x14ac:dyDescent="0.25">
      <c r="A4" s="10" t="s">
        <v>173</v>
      </c>
      <c r="B4" s="11">
        <v>0.14000000000000001</v>
      </c>
      <c r="C4" s="11">
        <v>0.16</v>
      </c>
    </row>
    <row r="5" spans="1:3" ht="15.75" x14ac:dyDescent="0.25">
      <c r="A5" s="10" t="s">
        <v>174</v>
      </c>
      <c r="B5" s="11">
        <v>0.14000000000000001</v>
      </c>
      <c r="C5" s="11">
        <v>0.19</v>
      </c>
    </row>
    <row r="6" spans="1:3" ht="15.75" x14ac:dyDescent="0.25">
      <c r="A6" s="10" t="s">
        <v>175</v>
      </c>
      <c r="B6" s="11">
        <v>0.05</v>
      </c>
      <c r="C6" s="11">
        <v>0.02</v>
      </c>
    </row>
    <row r="7" spans="1:3" ht="15.75" x14ac:dyDescent="0.25">
      <c r="A7" s="10" t="s">
        <v>176</v>
      </c>
      <c r="B7" s="11">
        <v>0.02</v>
      </c>
      <c r="C7" s="11">
        <v>0.02</v>
      </c>
    </row>
    <row r="8" spans="1:3" ht="15.75" x14ac:dyDescent="0.25">
      <c r="A8" s="10" t="s">
        <v>177</v>
      </c>
      <c r="B8" s="11">
        <v>0.14000000000000001</v>
      </c>
      <c r="C8" s="11">
        <v>0.12</v>
      </c>
    </row>
    <row r="9" spans="1:3" ht="15.75" x14ac:dyDescent="0.25">
      <c r="A9" s="10" t="s">
        <v>178</v>
      </c>
      <c r="B9" s="11">
        <v>0.12</v>
      </c>
      <c r="C9" s="11">
        <v>0.16</v>
      </c>
    </row>
    <row r="10" spans="1:3" ht="15.75" x14ac:dyDescent="0.25">
      <c r="A10" s="10" t="s">
        <v>179</v>
      </c>
      <c r="B10" s="11">
        <v>0.06</v>
      </c>
      <c r="C10" s="11">
        <v>0.14000000000000001</v>
      </c>
    </row>
    <row r="11" spans="1:3" ht="15.75" x14ac:dyDescent="0.25">
      <c r="A11" s="10" t="s">
        <v>180</v>
      </c>
      <c r="B11" s="11">
        <v>0.05</v>
      </c>
      <c r="C11" s="11">
        <v>0.03</v>
      </c>
    </row>
    <row r="12" spans="1:3" ht="15.75" x14ac:dyDescent="0.25">
      <c r="A12" s="10" t="s">
        <v>181</v>
      </c>
      <c r="B12" s="11">
        <v>0.01</v>
      </c>
      <c r="C12" s="11">
        <v>0.06</v>
      </c>
    </row>
    <row r="13" spans="1:3" ht="15.75" x14ac:dyDescent="0.25">
      <c r="A13" s="10" t="s">
        <v>182</v>
      </c>
      <c r="B13" s="11">
        <v>0.01</v>
      </c>
      <c r="C13" s="11">
        <v>0.01</v>
      </c>
    </row>
    <row r="14" spans="1:3" ht="15.75" x14ac:dyDescent="0.25">
      <c r="A14" s="10" t="s">
        <v>183</v>
      </c>
      <c r="B14" s="11">
        <v>7.0000000000000007E-2</v>
      </c>
      <c r="C14" s="11">
        <v>0.06</v>
      </c>
    </row>
    <row r="15" spans="1:3" ht="15.75" x14ac:dyDescent="0.25">
      <c r="A15" s="10" t="s">
        <v>184</v>
      </c>
      <c r="B15" s="11">
        <v>0.1</v>
      </c>
      <c r="C15" s="11">
        <v>0.06</v>
      </c>
    </row>
    <row r="16" spans="1:3" ht="15.75" x14ac:dyDescent="0.25">
      <c r="A16" s="10" t="s">
        <v>185</v>
      </c>
      <c r="B16" s="11">
        <v>0.08</v>
      </c>
      <c r="C16" s="11">
        <v>0.11</v>
      </c>
    </row>
    <row r="17" spans="1:3" ht="15.75" x14ac:dyDescent="0.25">
      <c r="A17" s="10" t="s">
        <v>186</v>
      </c>
      <c r="B17" s="11">
        <v>0.11</v>
      </c>
      <c r="C17" s="11">
        <v>0.11</v>
      </c>
    </row>
    <row r="18" spans="1:3" ht="15.75" x14ac:dyDescent="0.25">
      <c r="A18" s="10" t="s">
        <v>187</v>
      </c>
      <c r="B18" s="11">
        <v>0.27</v>
      </c>
      <c r="C18" s="11">
        <v>0.15</v>
      </c>
    </row>
    <row r="19" spans="1:3" ht="15.75" x14ac:dyDescent="0.25">
      <c r="A19" s="12" t="s">
        <v>31</v>
      </c>
      <c r="B19" s="13">
        <v>160</v>
      </c>
      <c r="C19" s="13">
        <v>670</v>
      </c>
    </row>
    <row r="20" spans="1:3" ht="15.75" x14ac:dyDescent="0.25">
      <c r="A20" s="14"/>
      <c r="B20" s="14"/>
      <c r="C20" s="14"/>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6D84-CA43-465D-8896-8B73BDD1E061}">
  <dimension ref="A1:AI25"/>
  <sheetViews>
    <sheetView showGridLines="0" workbookViewId="0"/>
  </sheetViews>
  <sheetFormatPr defaultColWidth="9.140625" defaultRowHeight="12" x14ac:dyDescent="0.2"/>
  <cols>
    <col min="1" max="16384" width="9.140625" style="21"/>
  </cols>
  <sheetData>
    <row r="1" spans="1:35" ht="20.25" x14ac:dyDescent="0.35">
      <c r="A1" s="20" t="s">
        <v>260</v>
      </c>
    </row>
    <row r="2" spans="1:35" ht="17.25" x14ac:dyDescent="0.3">
      <c r="A2" s="22" t="s">
        <v>255</v>
      </c>
    </row>
    <row r="3" spans="1:35" ht="17.25" x14ac:dyDescent="0.3">
      <c r="A3" s="22" t="s">
        <v>261</v>
      </c>
    </row>
    <row r="4" spans="1:35" ht="17.25" x14ac:dyDescent="0.3">
      <c r="A4" s="22" t="s">
        <v>257</v>
      </c>
    </row>
    <row r="5" spans="1:35" ht="17.25" x14ac:dyDescent="0.3">
      <c r="A5" s="22" t="s">
        <v>258</v>
      </c>
    </row>
    <row r="6" spans="1:35" ht="31.5" x14ac:dyDescent="0.25">
      <c r="A6" s="25" t="s">
        <v>259</v>
      </c>
      <c r="B6" s="25">
        <v>50</v>
      </c>
      <c r="C6" s="25">
        <v>75</v>
      </c>
      <c r="D6" s="25">
        <v>100</v>
      </c>
      <c r="E6" s="25">
        <v>150</v>
      </c>
      <c r="F6" s="25">
        <v>200</v>
      </c>
      <c r="G6" s="25">
        <v>250</v>
      </c>
      <c r="H6" s="25">
        <v>300</v>
      </c>
      <c r="I6" s="25">
        <v>350</v>
      </c>
      <c r="J6" s="25">
        <v>400</v>
      </c>
      <c r="K6" s="25">
        <v>450</v>
      </c>
      <c r="L6" s="25">
        <v>500</v>
      </c>
      <c r="M6" s="25">
        <v>600</v>
      </c>
      <c r="N6" s="25">
        <v>700</v>
      </c>
      <c r="O6" s="25">
        <v>800</v>
      </c>
      <c r="P6" s="25">
        <v>900</v>
      </c>
      <c r="Q6" s="25">
        <v>1000</v>
      </c>
      <c r="R6" s="25">
        <v>1500</v>
      </c>
      <c r="S6" s="25">
        <v>2000</v>
      </c>
      <c r="T6" s="25">
        <v>2500</v>
      </c>
      <c r="U6" s="25">
        <v>3000</v>
      </c>
      <c r="V6" s="25">
        <v>3500</v>
      </c>
      <c r="W6" s="25">
        <v>4000</v>
      </c>
      <c r="X6" s="25">
        <v>4500</v>
      </c>
      <c r="Y6" s="25">
        <v>5000</v>
      </c>
      <c r="Z6" s="25">
        <v>5500</v>
      </c>
      <c r="AA6" s="25">
        <v>6000</v>
      </c>
      <c r="AB6" s="25">
        <v>6500</v>
      </c>
      <c r="AC6" s="25">
        <v>7000</v>
      </c>
      <c r="AD6" s="25">
        <v>7500</v>
      </c>
      <c r="AE6" s="25">
        <v>8000</v>
      </c>
      <c r="AF6" s="25">
        <v>8500</v>
      </c>
      <c r="AG6" s="25">
        <v>9000</v>
      </c>
      <c r="AH6" s="25">
        <v>9500</v>
      </c>
      <c r="AI6" s="25">
        <v>10000</v>
      </c>
    </row>
    <row r="7" spans="1:35" ht="15.75" x14ac:dyDescent="0.25">
      <c r="A7" s="23">
        <v>5</v>
      </c>
      <c r="B7" s="24">
        <f>(1.96*1.24*(SQRT($A7*(100-$A7))))/SQRT(B$6)</f>
        <v>7.4909958964079006</v>
      </c>
      <c r="C7" s="24">
        <f t="shared" ref="C7:AI15" si="0">(1.96*1.24*(SQRT($A7*(100-$A7))))/SQRT(C$6)</f>
        <v>6.116372537160677</v>
      </c>
      <c r="D7" s="24">
        <f t="shared" si="0"/>
        <v>5.296933996190627</v>
      </c>
      <c r="E7" s="24">
        <f t="shared" si="0"/>
        <v>4.3249284972894841</v>
      </c>
      <c r="F7" s="24">
        <f t="shared" si="0"/>
        <v>3.7454979482039503</v>
      </c>
      <c r="G7" s="24">
        <f t="shared" si="0"/>
        <v>3.3500752087080081</v>
      </c>
      <c r="H7" s="24">
        <f t="shared" si="0"/>
        <v>3.0581862685803385</v>
      </c>
      <c r="I7" s="24">
        <f t="shared" si="0"/>
        <v>2.8313303163000958</v>
      </c>
      <c r="J7" s="24">
        <f t="shared" si="0"/>
        <v>2.6484669980953135</v>
      </c>
      <c r="K7" s="24">
        <f t="shared" si="0"/>
        <v>2.4969986321359667</v>
      </c>
      <c r="L7" s="24">
        <f t="shared" si="0"/>
        <v>2.3688608975623708</v>
      </c>
      <c r="M7" s="24">
        <f t="shared" si="0"/>
        <v>2.1624642486447421</v>
      </c>
      <c r="N7" s="24">
        <f t="shared" si="0"/>
        <v>2.0020528664348505</v>
      </c>
      <c r="O7" s="24">
        <f t="shared" si="0"/>
        <v>1.8727489741019752</v>
      </c>
      <c r="P7" s="24">
        <f t="shared" si="0"/>
        <v>1.7656446653968758</v>
      </c>
      <c r="Q7" s="24">
        <f t="shared" si="0"/>
        <v>1.6750376043540041</v>
      </c>
      <c r="R7" s="24">
        <f t="shared" si="0"/>
        <v>1.3676624768804133</v>
      </c>
      <c r="S7" s="24">
        <f t="shared" si="0"/>
        <v>1.1844304487811854</v>
      </c>
      <c r="T7" s="24">
        <f t="shared" si="0"/>
        <v>1.0593867992381254</v>
      </c>
      <c r="U7" s="24">
        <f t="shared" si="0"/>
        <v>0.96708341177653001</v>
      </c>
      <c r="V7" s="24">
        <f t="shared" si="0"/>
        <v>0.89534526077932652</v>
      </c>
      <c r="W7" s="24">
        <f t="shared" si="0"/>
        <v>0.83751880217700203</v>
      </c>
      <c r="X7" s="24">
        <f t="shared" si="0"/>
        <v>0.78962029918745702</v>
      </c>
      <c r="Y7" s="24">
        <f t="shared" si="0"/>
        <v>0.74909958964079004</v>
      </c>
      <c r="Z7" s="24">
        <f t="shared" si="0"/>
        <v>0.71423843434171841</v>
      </c>
      <c r="AA7" s="24">
        <f t="shared" si="0"/>
        <v>0.68383123844020666</v>
      </c>
      <c r="AB7" s="24">
        <f t="shared" si="0"/>
        <v>0.65700380235405975</v>
      </c>
      <c r="AC7" s="24">
        <f t="shared" si="0"/>
        <v>0.63310470540029951</v>
      </c>
      <c r="AD7" s="24">
        <f t="shared" si="0"/>
        <v>0.61163725371606781</v>
      </c>
      <c r="AE7" s="24">
        <f t="shared" si="0"/>
        <v>0.59221522439059271</v>
      </c>
      <c r="AF7" s="24">
        <f t="shared" si="0"/>
        <v>0.57453315841441832</v>
      </c>
      <c r="AG7" s="24">
        <f t="shared" si="0"/>
        <v>0.55834586811800135</v>
      </c>
      <c r="AH7" s="24">
        <f t="shared" si="0"/>
        <v>0.54345396125154899</v>
      </c>
      <c r="AI7" s="24">
        <f t="shared" si="0"/>
        <v>0.5296933996190627</v>
      </c>
    </row>
    <row r="8" spans="1:35" ht="15.75" x14ac:dyDescent="0.25">
      <c r="A8" s="23">
        <v>10</v>
      </c>
      <c r="B8" s="24">
        <f t="shared" ref="B8:Q25" si="1">(1.96*1.24*(SQRT($A8*(100-$A8))))/SQRT(B$6)</f>
        <v>10.31131392597471</v>
      </c>
      <c r="C8" s="24">
        <f t="shared" si="1"/>
        <v>8.4191525654307995</v>
      </c>
      <c r="D8" s="24">
        <f t="shared" si="1"/>
        <v>7.2912000000000008</v>
      </c>
      <c r="E8" s="24">
        <f t="shared" si="1"/>
        <v>5.9532398708602363</v>
      </c>
      <c r="F8" s="24">
        <f t="shared" si="1"/>
        <v>5.1556569629873552</v>
      </c>
      <c r="G8" s="24">
        <f t="shared" si="1"/>
        <v>4.6113597751639377</v>
      </c>
      <c r="H8" s="24">
        <f t="shared" si="1"/>
        <v>4.2095762827153997</v>
      </c>
      <c r="I8" s="24">
        <f t="shared" si="1"/>
        <v>3.8973103340637376</v>
      </c>
      <c r="J8" s="24">
        <f t="shared" si="1"/>
        <v>3.6456000000000004</v>
      </c>
      <c r="K8" s="24">
        <f t="shared" si="1"/>
        <v>3.4371046419915703</v>
      </c>
      <c r="L8" s="24">
        <f t="shared" si="1"/>
        <v>3.2607237675092935</v>
      </c>
      <c r="M8" s="24">
        <f t="shared" si="1"/>
        <v>2.9766199354301182</v>
      </c>
      <c r="N8" s="24">
        <f t="shared" si="1"/>
        <v>2.755814565604878</v>
      </c>
      <c r="O8" s="24">
        <f t="shared" si="1"/>
        <v>2.5778284814936776</v>
      </c>
      <c r="P8" s="24">
        <f t="shared" si="1"/>
        <v>2.4304000000000001</v>
      </c>
      <c r="Q8" s="24">
        <f t="shared" si="1"/>
        <v>2.3056798875819688</v>
      </c>
      <c r="R8" s="24">
        <f t="shared" si="0"/>
        <v>1.8825797449245014</v>
      </c>
      <c r="S8" s="24">
        <f t="shared" si="0"/>
        <v>1.6303618837546467</v>
      </c>
      <c r="T8" s="24">
        <f t="shared" si="0"/>
        <v>1.4582400000000002</v>
      </c>
      <c r="U8" s="24">
        <f t="shared" si="0"/>
        <v>1.3311849037605559</v>
      </c>
      <c r="V8" s="24">
        <f t="shared" si="0"/>
        <v>1.2324377404153122</v>
      </c>
      <c r="W8" s="24">
        <f t="shared" si="0"/>
        <v>1.1528399437909844</v>
      </c>
      <c r="X8" s="24">
        <f t="shared" si="0"/>
        <v>1.086907922503098</v>
      </c>
      <c r="Y8" s="24">
        <f t="shared" si="0"/>
        <v>1.0311313925974712</v>
      </c>
      <c r="Z8" s="24">
        <f t="shared" si="0"/>
        <v>0.98314520743839817</v>
      </c>
      <c r="AA8" s="24">
        <f t="shared" si="0"/>
        <v>0.94128987246225071</v>
      </c>
      <c r="AB8" s="24">
        <f t="shared" si="0"/>
        <v>0.90436205683683679</v>
      </c>
      <c r="AC8" s="24">
        <f t="shared" si="0"/>
        <v>0.8714650836378931</v>
      </c>
      <c r="AD8" s="24">
        <f t="shared" si="0"/>
        <v>0.84191525654307997</v>
      </c>
      <c r="AE8" s="24">
        <f t="shared" si="0"/>
        <v>0.81518094187732337</v>
      </c>
      <c r="AF8" s="24">
        <f t="shared" si="0"/>
        <v>0.79084167702369301</v>
      </c>
      <c r="AG8" s="24">
        <f t="shared" si="0"/>
        <v>0.76855996252732306</v>
      </c>
      <c r="AH8" s="24">
        <f t="shared" si="0"/>
        <v>0.74806133607232761</v>
      </c>
      <c r="AI8" s="24">
        <f t="shared" si="0"/>
        <v>0.7291200000000001</v>
      </c>
    </row>
    <row r="9" spans="1:35" ht="15.75" x14ac:dyDescent="0.25">
      <c r="A9" s="23">
        <v>15</v>
      </c>
      <c r="B9" s="24">
        <f t="shared" si="1"/>
        <v>12.272918401097597</v>
      </c>
      <c r="C9" s="24">
        <f t="shared" si="0"/>
        <v>10.020795912501161</v>
      </c>
      <c r="D9" s="24">
        <f t="shared" si="0"/>
        <v>8.6782638263652707</v>
      </c>
      <c r="E9" s="24">
        <f t="shared" si="0"/>
        <v>7.0857727426160091</v>
      </c>
      <c r="F9" s="24">
        <f t="shared" si="0"/>
        <v>6.1364592005487983</v>
      </c>
      <c r="G9" s="24">
        <f t="shared" si="0"/>
        <v>5.4886159654324516</v>
      </c>
      <c r="H9" s="24">
        <f t="shared" si="0"/>
        <v>5.0103979562505803</v>
      </c>
      <c r="I9" s="24">
        <f t="shared" si="0"/>
        <v>4.6387271357561009</v>
      </c>
      <c r="J9" s="24">
        <f t="shared" si="0"/>
        <v>4.3391319131826354</v>
      </c>
      <c r="K9" s="24">
        <f t="shared" si="0"/>
        <v>4.0909728003658659</v>
      </c>
      <c r="L9" s="24">
        <f t="shared" si="0"/>
        <v>3.8810375684860356</v>
      </c>
      <c r="M9" s="24">
        <f t="shared" si="0"/>
        <v>3.5428863713080045</v>
      </c>
      <c r="N9" s="24">
        <f t="shared" si="0"/>
        <v>3.2800754137671899</v>
      </c>
      <c r="O9" s="24">
        <f t="shared" si="0"/>
        <v>3.0682296002743992</v>
      </c>
      <c r="P9" s="24">
        <f t="shared" si="0"/>
        <v>2.8927546087884237</v>
      </c>
      <c r="Q9" s="24">
        <f t="shared" si="0"/>
        <v>2.7443079827162258</v>
      </c>
      <c r="R9" s="24">
        <f t="shared" si="0"/>
        <v>2.2407180849004633</v>
      </c>
      <c r="S9" s="24">
        <f t="shared" si="0"/>
        <v>1.9405187842430178</v>
      </c>
      <c r="T9" s="24">
        <f t="shared" si="0"/>
        <v>1.7356527652730542</v>
      </c>
      <c r="U9" s="24">
        <f t="shared" si="0"/>
        <v>1.5844269525604517</v>
      </c>
      <c r="V9" s="24">
        <f t="shared" si="0"/>
        <v>1.4668943193018371</v>
      </c>
      <c r="W9" s="24">
        <f t="shared" si="0"/>
        <v>1.3721539913581129</v>
      </c>
      <c r="X9" s="24">
        <f t="shared" si="0"/>
        <v>1.2936791894953452</v>
      </c>
      <c r="Y9" s="24">
        <f t="shared" si="0"/>
        <v>1.2272918401097597</v>
      </c>
      <c r="Z9" s="24">
        <f t="shared" si="0"/>
        <v>1.170176855631039</v>
      </c>
      <c r="AA9" s="24">
        <f t="shared" si="0"/>
        <v>1.1203590424502317</v>
      </c>
      <c r="AB9" s="24">
        <f t="shared" si="0"/>
        <v>1.0764061503983451</v>
      </c>
      <c r="AC9" s="24">
        <f t="shared" si="0"/>
        <v>1.0372509204623537</v>
      </c>
      <c r="AD9" s="24">
        <f t="shared" si="0"/>
        <v>1.0020795912501164</v>
      </c>
      <c r="AE9" s="24">
        <f t="shared" si="0"/>
        <v>0.97025939212150891</v>
      </c>
      <c r="AF9" s="24">
        <f t="shared" si="0"/>
        <v>0.9412898724622506</v>
      </c>
      <c r="AG9" s="24">
        <f t="shared" si="0"/>
        <v>0.9147693275720753</v>
      </c>
      <c r="AH9" s="24">
        <f t="shared" si="0"/>
        <v>0.8903710819534445</v>
      </c>
      <c r="AI9" s="24">
        <f t="shared" si="0"/>
        <v>0.86782638263652712</v>
      </c>
    </row>
    <row r="10" spans="1:35" ht="15.75" x14ac:dyDescent="0.25">
      <c r="A10" s="23">
        <v>20</v>
      </c>
      <c r="B10" s="24">
        <f t="shared" si="1"/>
        <v>13.748418567966281</v>
      </c>
      <c r="C10" s="24">
        <f t="shared" si="0"/>
        <v>11.225536753907731</v>
      </c>
      <c r="D10" s="24">
        <f t="shared" si="0"/>
        <v>9.7216000000000005</v>
      </c>
      <c r="E10" s="24">
        <f t="shared" si="0"/>
        <v>7.9376531611469821</v>
      </c>
      <c r="F10" s="24">
        <f t="shared" si="0"/>
        <v>6.8742092839831406</v>
      </c>
      <c r="G10" s="24">
        <f t="shared" si="0"/>
        <v>6.1484797002185836</v>
      </c>
      <c r="H10" s="24">
        <f t="shared" si="0"/>
        <v>5.6127683769538654</v>
      </c>
      <c r="I10" s="24">
        <f t="shared" si="0"/>
        <v>5.1964137787516496</v>
      </c>
      <c r="J10" s="24">
        <f t="shared" si="0"/>
        <v>4.8608000000000002</v>
      </c>
      <c r="K10" s="24">
        <f t="shared" si="0"/>
        <v>4.5828061893220937</v>
      </c>
      <c r="L10" s="24">
        <f t="shared" si="0"/>
        <v>4.347631690012391</v>
      </c>
      <c r="M10" s="24">
        <f t="shared" si="0"/>
        <v>3.968826580573491</v>
      </c>
      <c r="N10" s="24">
        <f t="shared" si="0"/>
        <v>3.6744194208065037</v>
      </c>
      <c r="O10" s="24">
        <f t="shared" si="0"/>
        <v>3.4371046419915703</v>
      </c>
      <c r="P10" s="24">
        <f t="shared" si="0"/>
        <v>3.2405333333333335</v>
      </c>
      <c r="Q10" s="24">
        <f t="shared" si="0"/>
        <v>3.0742398501092918</v>
      </c>
      <c r="R10" s="24">
        <f t="shared" si="0"/>
        <v>2.5101063265660017</v>
      </c>
      <c r="S10" s="24">
        <f t="shared" si="0"/>
        <v>2.1738158450061955</v>
      </c>
      <c r="T10" s="24">
        <f t="shared" si="0"/>
        <v>1.9443200000000003</v>
      </c>
      <c r="U10" s="24">
        <f t="shared" si="0"/>
        <v>1.7749132050140743</v>
      </c>
      <c r="V10" s="24">
        <f t="shared" si="0"/>
        <v>1.6432503205537494</v>
      </c>
      <c r="W10" s="24">
        <f t="shared" si="0"/>
        <v>1.5371199250546459</v>
      </c>
      <c r="X10" s="24">
        <f t="shared" si="0"/>
        <v>1.4492105633374639</v>
      </c>
      <c r="Y10" s="24">
        <f t="shared" si="0"/>
        <v>1.3748418567966281</v>
      </c>
      <c r="Z10" s="24">
        <f t="shared" si="0"/>
        <v>1.310860276584531</v>
      </c>
      <c r="AA10" s="24">
        <f t="shared" si="0"/>
        <v>1.2550531632830009</v>
      </c>
      <c r="AB10" s="24">
        <f t="shared" si="0"/>
        <v>1.2058160757824492</v>
      </c>
      <c r="AC10" s="24">
        <f t="shared" si="0"/>
        <v>1.1619534448505242</v>
      </c>
      <c r="AD10" s="24">
        <f t="shared" si="0"/>
        <v>1.1225536753907732</v>
      </c>
      <c r="AE10" s="24">
        <f t="shared" si="0"/>
        <v>1.0869079225030978</v>
      </c>
      <c r="AF10" s="24">
        <f t="shared" si="0"/>
        <v>1.054455569364924</v>
      </c>
      <c r="AG10" s="24">
        <f t="shared" si="0"/>
        <v>1.0247466167030974</v>
      </c>
      <c r="AH10" s="24">
        <f t="shared" si="0"/>
        <v>0.99741511476310352</v>
      </c>
      <c r="AI10" s="24">
        <f t="shared" si="0"/>
        <v>0.97216000000000014</v>
      </c>
    </row>
    <row r="11" spans="1:35" ht="15.75" x14ac:dyDescent="0.25">
      <c r="A11" s="23">
        <v>25</v>
      </c>
      <c r="B11" s="24">
        <f t="shared" si="1"/>
        <v>14.883099677150589</v>
      </c>
      <c r="C11" s="24">
        <f t="shared" si="0"/>
        <v>12.151999999999999</v>
      </c>
      <c r="D11" s="24">
        <f t="shared" si="0"/>
        <v>10.523940706788498</v>
      </c>
      <c r="E11" s="24">
        <f t="shared" si="0"/>
        <v>8.592761604978925</v>
      </c>
      <c r="F11" s="24">
        <f t="shared" si="0"/>
        <v>7.4415498385752947</v>
      </c>
      <c r="G11" s="24">
        <f t="shared" si="0"/>
        <v>6.6559245188027782</v>
      </c>
      <c r="H11" s="24">
        <f t="shared" si="0"/>
        <v>6.0759999999999996</v>
      </c>
      <c r="I11" s="24">
        <f t="shared" si="0"/>
        <v>5.6252829262180226</v>
      </c>
      <c r="J11" s="24">
        <f t="shared" si="0"/>
        <v>5.2619703533942488</v>
      </c>
      <c r="K11" s="24">
        <f t="shared" si="0"/>
        <v>4.9610332257168634</v>
      </c>
      <c r="L11" s="24">
        <f t="shared" si="0"/>
        <v>4.7064493623112531</v>
      </c>
      <c r="M11" s="24">
        <f t="shared" si="0"/>
        <v>4.2963808024894625</v>
      </c>
      <c r="N11" s="24">
        <f t="shared" si="0"/>
        <v>3.977675703221669</v>
      </c>
      <c r="O11" s="24">
        <f t="shared" si="0"/>
        <v>3.7207749192876474</v>
      </c>
      <c r="P11" s="24">
        <f t="shared" si="0"/>
        <v>3.507980235596166</v>
      </c>
      <c r="Q11" s="24">
        <f t="shared" si="0"/>
        <v>3.3279622594013891</v>
      </c>
      <c r="R11" s="24">
        <f t="shared" si="0"/>
        <v>2.7172698062577445</v>
      </c>
      <c r="S11" s="24">
        <f t="shared" si="0"/>
        <v>2.3532246811556266</v>
      </c>
      <c r="T11" s="24">
        <f t="shared" si="0"/>
        <v>2.1047881413576999</v>
      </c>
      <c r="U11" s="24">
        <f t="shared" si="0"/>
        <v>1.9213999063183071</v>
      </c>
      <c r="V11" s="24">
        <f t="shared" si="0"/>
        <v>1.7788706529705862</v>
      </c>
      <c r="W11" s="24">
        <f t="shared" si="0"/>
        <v>1.6639811297006946</v>
      </c>
      <c r="X11" s="24">
        <f t="shared" si="0"/>
        <v>1.568816454103751</v>
      </c>
      <c r="Y11" s="24">
        <f t="shared" si="0"/>
        <v>1.4883099677150589</v>
      </c>
      <c r="Z11" s="24">
        <f t="shared" si="0"/>
        <v>1.4190478754176241</v>
      </c>
      <c r="AA11" s="24">
        <f t="shared" si="0"/>
        <v>1.3586349031288723</v>
      </c>
      <c r="AB11" s="24">
        <f t="shared" si="0"/>
        <v>1.3053341923990782</v>
      </c>
      <c r="AC11" s="24">
        <f t="shared" si="0"/>
        <v>1.2578515015692431</v>
      </c>
      <c r="AD11" s="24">
        <f t="shared" si="0"/>
        <v>1.2152000000000001</v>
      </c>
      <c r="AE11" s="24">
        <f t="shared" si="0"/>
        <v>1.1766123405778133</v>
      </c>
      <c r="AF11" s="24">
        <f t="shared" si="0"/>
        <v>1.1414816377900103</v>
      </c>
      <c r="AG11" s="24">
        <f t="shared" si="0"/>
        <v>1.1093207531337965</v>
      </c>
      <c r="AH11" s="24">
        <f t="shared" si="0"/>
        <v>1.0797335343792736</v>
      </c>
      <c r="AI11" s="24">
        <f t="shared" si="0"/>
        <v>1.0523940706788499</v>
      </c>
    </row>
    <row r="12" spans="1:35" ht="15.75" x14ac:dyDescent="0.25">
      <c r="A12" s="23">
        <v>30</v>
      </c>
      <c r="B12" s="24">
        <f t="shared" si="1"/>
        <v>15.750792193410463</v>
      </c>
      <c r="C12" s="24">
        <f t="shared" si="0"/>
        <v>12.860467972822761</v>
      </c>
      <c r="D12" s="24">
        <f t="shared" si="0"/>
        <v>11.137491969020674</v>
      </c>
      <c r="E12" s="24">
        <f t="shared" si="0"/>
        <v>9.0937241128153872</v>
      </c>
      <c r="F12" s="24">
        <f t="shared" si="0"/>
        <v>7.8753960967052317</v>
      </c>
      <c r="G12" s="24">
        <f t="shared" si="0"/>
        <v>7.0439684087877623</v>
      </c>
      <c r="H12" s="24">
        <f t="shared" si="0"/>
        <v>6.4302339864113804</v>
      </c>
      <c r="I12" s="24">
        <f t="shared" si="0"/>
        <v>5.9532398708602354</v>
      </c>
      <c r="J12" s="24">
        <f t="shared" si="0"/>
        <v>5.5687459845103371</v>
      </c>
      <c r="K12" s="24">
        <f t="shared" si="0"/>
        <v>5.2502640644701541</v>
      </c>
      <c r="L12" s="24">
        <f t="shared" si="0"/>
        <v>4.9808378283176413</v>
      </c>
      <c r="M12" s="24">
        <f t="shared" si="0"/>
        <v>4.5468620564076936</v>
      </c>
      <c r="N12" s="24">
        <f t="shared" si="0"/>
        <v>4.2095762827153997</v>
      </c>
      <c r="O12" s="24">
        <f t="shared" si="0"/>
        <v>3.9376980483526158</v>
      </c>
      <c r="P12" s="24">
        <f t="shared" si="0"/>
        <v>3.7124973230068914</v>
      </c>
      <c r="Q12" s="24">
        <f t="shared" si="0"/>
        <v>3.5219842043938812</v>
      </c>
      <c r="R12" s="24">
        <f t="shared" si="0"/>
        <v>2.8756880609690616</v>
      </c>
      <c r="S12" s="24">
        <f t="shared" si="0"/>
        <v>2.4904189141588207</v>
      </c>
      <c r="T12" s="24">
        <f t="shared" si="0"/>
        <v>2.2274983938041348</v>
      </c>
      <c r="U12" s="24">
        <f t="shared" si="0"/>
        <v>2.0334185284884172</v>
      </c>
      <c r="V12" s="24">
        <f t="shared" si="0"/>
        <v>1.8825797449245012</v>
      </c>
      <c r="W12" s="24">
        <f t="shared" si="0"/>
        <v>1.7609921021969406</v>
      </c>
      <c r="X12" s="24">
        <f t="shared" si="0"/>
        <v>1.6602792761058807</v>
      </c>
      <c r="Y12" s="24">
        <f t="shared" si="0"/>
        <v>1.5750792193410463</v>
      </c>
      <c r="Z12" s="24">
        <f t="shared" si="0"/>
        <v>1.5017791107398404</v>
      </c>
      <c r="AA12" s="24">
        <f t="shared" si="0"/>
        <v>1.4378440304845308</v>
      </c>
      <c r="AB12" s="24">
        <f t="shared" si="0"/>
        <v>1.3814358603669201</v>
      </c>
      <c r="AC12" s="24">
        <f t="shared" si="0"/>
        <v>1.3311849037605556</v>
      </c>
      <c r="AD12" s="24">
        <f t="shared" si="0"/>
        <v>1.2860467972822762</v>
      </c>
      <c r="AE12" s="24">
        <f t="shared" si="0"/>
        <v>1.2452094570794103</v>
      </c>
      <c r="AF12" s="24">
        <f t="shared" si="0"/>
        <v>1.2080306158956304</v>
      </c>
      <c r="AG12" s="24">
        <f t="shared" si="0"/>
        <v>1.1739947347979605</v>
      </c>
      <c r="AH12" s="24">
        <f t="shared" si="0"/>
        <v>1.1426825656737469</v>
      </c>
      <c r="AI12" s="24">
        <f t="shared" si="0"/>
        <v>1.1137491969020674</v>
      </c>
    </row>
    <row r="13" spans="1:35" ht="15.75" x14ac:dyDescent="0.25">
      <c r="A13" s="23">
        <v>35</v>
      </c>
      <c r="B13" s="24">
        <f t="shared" si="1"/>
        <v>16.393944286839577</v>
      </c>
      <c r="C13" s="24">
        <f t="shared" si="0"/>
        <v>13.38559945812414</v>
      </c>
      <c r="D13" s="24">
        <f t="shared" si="0"/>
        <v>11.592269175618723</v>
      </c>
      <c r="E13" s="24">
        <f t="shared" si="0"/>
        <v>9.4650481470865575</v>
      </c>
      <c r="F13" s="24">
        <f t="shared" si="0"/>
        <v>8.1969721434197886</v>
      </c>
      <c r="G13" s="24">
        <f t="shared" si="0"/>
        <v>7.3315947689435212</v>
      </c>
      <c r="H13" s="24">
        <f t="shared" si="0"/>
        <v>6.6927997290620702</v>
      </c>
      <c r="I13" s="24">
        <f t="shared" si="0"/>
        <v>6.1963285129179519</v>
      </c>
      <c r="J13" s="24">
        <f t="shared" si="0"/>
        <v>5.7961345878093615</v>
      </c>
      <c r="K13" s="24">
        <f t="shared" si="0"/>
        <v>5.4646480956131924</v>
      </c>
      <c r="L13" s="24">
        <f t="shared" si="0"/>
        <v>5.1842203780317826</v>
      </c>
      <c r="M13" s="24">
        <f t="shared" si="0"/>
        <v>4.7325240735432788</v>
      </c>
      <c r="N13" s="24">
        <f t="shared" si="0"/>
        <v>4.3814659099438398</v>
      </c>
      <c r="O13" s="24">
        <f t="shared" si="0"/>
        <v>4.0984860717098943</v>
      </c>
      <c r="P13" s="24">
        <f t="shared" si="0"/>
        <v>3.8640897252062412</v>
      </c>
      <c r="Q13" s="24">
        <f t="shared" si="0"/>
        <v>3.6657973844717606</v>
      </c>
      <c r="R13" s="24">
        <f t="shared" si="0"/>
        <v>2.9931110307949931</v>
      </c>
      <c r="S13" s="24">
        <f t="shared" si="0"/>
        <v>2.5921101890158913</v>
      </c>
      <c r="T13" s="24">
        <f t="shared" si="0"/>
        <v>2.3184538351237447</v>
      </c>
      <c r="U13" s="24">
        <f t="shared" si="0"/>
        <v>2.1164491067193967</v>
      </c>
      <c r="V13" s="24">
        <f t="shared" si="0"/>
        <v>1.9594511231464795</v>
      </c>
      <c r="W13" s="24">
        <f t="shared" si="0"/>
        <v>1.8328986922358803</v>
      </c>
      <c r="X13" s="24">
        <f t="shared" si="0"/>
        <v>1.7280734593439278</v>
      </c>
      <c r="Y13" s="24">
        <f t="shared" si="0"/>
        <v>1.6393944286839577</v>
      </c>
      <c r="Z13" s="24">
        <f t="shared" si="0"/>
        <v>1.5631012567678049</v>
      </c>
      <c r="AA13" s="24">
        <f t="shared" si="0"/>
        <v>1.4965555153974965</v>
      </c>
      <c r="AB13" s="24">
        <f t="shared" si="0"/>
        <v>1.4378440304845308</v>
      </c>
      <c r="AC13" s="24">
        <f t="shared" si="0"/>
        <v>1.3855411765804724</v>
      </c>
      <c r="AD13" s="24">
        <f t="shared" si="0"/>
        <v>1.3385599458124142</v>
      </c>
      <c r="AE13" s="24">
        <f t="shared" si="0"/>
        <v>1.2960550945079456</v>
      </c>
      <c r="AF13" s="24">
        <f t="shared" si="0"/>
        <v>1.2573581297120326</v>
      </c>
      <c r="AG13" s="24">
        <f t="shared" si="0"/>
        <v>1.2219324614905869</v>
      </c>
      <c r="AH13" s="24">
        <f t="shared" si="0"/>
        <v>1.1893417225728826</v>
      </c>
      <c r="AI13" s="24">
        <f t="shared" si="0"/>
        <v>1.1592269175618723</v>
      </c>
    </row>
    <row r="14" spans="1:35" ht="15.75" x14ac:dyDescent="0.25">
      <c r="A14" s="23">
        <v>40</v>
      </c>
      <c r="B14" s="24">
        <f t="shared" si="1"/>
        <v>16.838305130861599</v>
      </c>
      <c r="C14" s="24">
        <f t="shared" si="0"/>
        <v>13.748418567966281</v>
      </c>
      <c r="D14" s="24">
        <f t="shared" si="0"/>
        <v>11.906479741720473</v>
      </c>
      <c r="E14" s="24">
        <f t="shared" si="0"/>
        <v>9.7216000000000005</v>
      </c>
      <c r="F14" s="24">
        <f t="shared" si="0"/>
        <v>8.4191525654307995</v>
      </c>
      <c r="G14" s="24">
        <f t="shared" si="0"/>
        <v>7.5303189796980057</v>
      </c>
      <c r="H14" s="24">
        <f t="shared" si="0"/>
        <v>6.8742092839831406</v>
      </c>
      <c r="I14" s="24">
        <f t="shared" si="0"/>
        <v>6.3642811251546707</v>
      </c>
      <c r="J14" s="24">
        <f t="shared" si="0"/>
        <v>5.9532398708602363</v>
      </c>
      <c r="K14" s="24">
        <f t="shared" si="0"/>
        <v>5.6127683769538663</v>
      </c>
      <c r="L14" s="24">
        <f t="shared" si="0"/>
        <v>5.3247396150422226</v>
      </c>
      <c r="M14" s="24">
        <f t="shared" si="0"/>
        <v>4.8608000000000002</v>
      </c>
      <c r="N14" s="24">
        <f t="shared" si="0"/>
        <v>4.500226340974419</v>
      </c>
      <c r="O14" s="24">
        <f t="shared" si="0"/>
        <v>4.2095762827153997</v>
      </c>
      <c r="P14" s="24">
        <f t="shared" si="0"/>
        <v>3.968826580573491</v>
      </c>
      <c r="Q14" s="24">
        <f t="shared" si="0"/>
        <v>3.7651594898490028</v>
      </c>
      <c r="R14" s="24">
        <f t="shared" si="0"/>
        <v>3.0742398501092918</v>
      </c>
      <c r="S14" s="24">
        <f t="shared" si="0"/>
        <v>2.6623698075211113</v>
      </c>
      <c r="T14" s="24">
        <f t="shared" si="0"/>
        <v>2.3812959483440945</v>
      </c>
      <c r="U14" s="24">
        <f t="shared" si="0"/>
        <v>2.1738158450061955</v>
      </c>
      <c r="V14" s="24">
        <f t="shared" si="0"/>
        <v>2.0125624025107895</v>
      </c>
      <c r="W14" s="24">
        <f t="shared" si="0"/>
        <v>1.8825797449245014</v>
      </c>
      <c r="X14" s="24">
        <f t="shared" si="0"/>
        <v>1.7749132050140746</v>
      </c>
      <c r="Y14" s="24">
        <f t="shared" si="0"/>
        <v>1.6838305130861597</v>
      </c>
      <c r="Z14" s="24">
        <f t="shared" si="0"/>
        <v>1.6054694008578643</v>
      </c>
      <c r="AA14" s="24">
        <f t="shared" si="0"/>
        <v>1.5371199250546459</v>
      </c>
      <c r="AB14" s="24">
        <f t="shared" si="0"/>
        <v>1.4768170546560861</v>
      </c>
      <c r="AC14" s="24">
        <f t="shared" si="0"/>
        <v>1.4230965223764691</v>
      </c>
      <c r="AD14" s="24">
        <f t="shared" si="0"/>
        <v>1.3748418567966283</v>
      </c>
      <c r="AE14" s="24">
        <f t="shared" si="0"/>
        <v>1.3311849037605556</v>
      </c>
      <c r="AF14" s="24">
        <f t="shared" si="0"/>
        <v>1.2914390506899887</v>
      </c>
      <c r="AG14" s="24">
        <f t="shared" si="0"/>
        <v>1.2550531632830009</v>
      </c>
      <c r="AH14" s="24">
        <f t="shared" si="0"/>
        <v>1.2215790464545642</v>
      </c>
      <c r="AI14" s="24">
        <f t="shared" si="0"/>
        <v>1.1906479741720473</v>
      </c>
    </row>
    <row r="15" spans="1:35" ht="15.75" x14ac:dyDescent="0.25">
      <c r="A15" s="23">
        <v>45</v>
      </c>
      <c r="B15" s="24">
        <f t="shared" si="1"/>
        <v>17.099379694012296</v>
      </c>
      <c r="C15" s="24">
        <f t="shared" si="0"/>
        <v>13.961585056146024</v>
      </c>
      <c r="D15" s="24">
        <f t="shared" si="0"/>
        <v>12.091087335719646</v>
      </c>
      <c r="E15" s="24">
        <f t="shared" si="0"/>
        <v>9.8723314693136199</v>
      </c>
      <c r="F15" s="24">
        <f t="shared" si="0"/>
        <v>8.5496898470061478</v>
      </c>
      <c r="G15" s="24">
        <f t="shared" si="0"/>
        <v>7.6470750737782094</v>
      </c>
      <c r="H15" s="24">
        <f t="shared" si="0"/>
        <v>6.9807925280730121</v>
      </c>
      <c r="I15" s="24">
        <f t="shared" ref="I15:AI25" si="2">(1.96*1.24*(SQRT($A15*(100-$A15))))/SQRT(I$6)</f>
        <v>6.4629580348320381</v>
      </c>
      <c r="J15" s="24">
        <f t="shared" si="2"/>
        <v>6.0455436678598229</v>
      </c>
      <c r="K15" s="24">
        <f t="shared" si="2"/>
        <v>5.6997932313374315</v>
      </c>
      <c r="L15" s="24">
        <f t="shared" si="2"/>
        <v>5.4072986409111898</v>
      </c>
      <c r="M15" s="24">
        <f t="shared" si="2"/>
        <v>4.93616573465681</v>
      </c>
      <c r="N15" s="24">
        <f t="shared" si="2"/>
        <v>4.570001452953818</v>
      </c>
      <c r="O15" s="24">
        <f t="shared" si="2"/>
        <v>4.2748449235030739</v>
      </c>
      <c r="P15" s="24">
        <f t="shared" si="2"/>
        <v>4.0303624452398825</v>
      </c>
      <c r="Q15" s="24">
        <f t="shared" si="2"/>
        <v>3.8235375368891047</v>
      </c>
      <c r="R15" s="24">
        <f t="shared" si="2"/>
        <v>3.1219053259187732</v>
      </c>
      <c r="S15" s="24">
        <f t="shared" si="2"/>
        <v>2.7036493204555949</v>
      </c>
      <c r="T15" s="24">
        <f t="shared" si="2"/>
        <v>2.4182174671439292</v>
      </c>
      <c r="U15" s="24">
        <f t="shared" si="2"/>
        <v>2.2075204261795633</v>
      </c>
      <c r="V15" s="24">
        <f t="shared" si="2"/>
        <v>2.0437667812155085</v>
      </c>
      <c r="W15" s="24">
        <f t="shared" si="2"/>
        <v>1.9117687684445523</v>
      </c>
      <c r="X15" s="24">
        <f t="shared" si="2"/>
        <v>1.8024328803037302</v>
      </c>
      <c r="Y15" s="24">
        <f t="shared" si="2"/>
        <v>1.7099379694012296</v>
      </c>
      <c r="Z15" s="24">
        <f t="shared" si="2"/>
        <v>1.6303618837546467</v>
      </c>
      <c r="AA15" s="24">
        <f t="shared" si="2"/>
        <v>1.5609526629593866</v>
      </c>
      <c r="AB15" s="24">
        <f t="shared" si="2"/>
        <v>1.499714808580926</v>
      </c>
      <c r="AC15" s="24">
        <f t="shared" si="2"/>
        <v>1.445161350161289</v>
      </c>
      <c r="AD15" s="24">
        <f t="shared" si="2"/>
        <v>1.3961585056146026</v>
      </c>
      <c r="AE15" s="24">
        <f t="shared" si="2"/>
        <v>1.3518246602277975</v>
      </c>
      <c r="AF15" s="24">
        <f t="shared" si="2"/>
        <v>1.3114625556315092</v>
      </c>
      <c r="AG15" s="24">
        <f t="shared" si="2"/>
        <v>1.2745125122963683</v>
      </c>
      <c r="AH15" s="24">
        <f t="shared" si="2"/>
        <v>1.2405193859619319</v>
      </c>
      <c r="AI15" s="24">
        <f t="shared" si="2"/>
        <v>1.2091087335719646</v>
      </c>
    </row>
    <row r="16" spans="1:35" ht="15.75" x14ac:dyDescent="0.25">
      <c r="A16" s="23">
        <v>50</v>
      </c>
      <c r="B16" s="24">
        <f t="shared" si="1"/>
        <v>17.18552320995785</v>
      </c>
      <c r="C16" s="24">
        <f t="shared" si="1"/>
        <v>14.031920942384664</v>
      </c>
      <c r="D16" s="24">
        <f t="shared" si="1"/>
        <v>12.152000000000001</v>
      </c>
      <c r="E16" s="24">
        <f t="shared" si="1"/>
        <v>9.9220664514337269</v>
      </c>
      <c r="F16" s="24">
        <f t="shared" si="1"/>
        <v>8.592761604978925</v>
      </c>
      <c r="G16" s="24">
        <f t="shared" si="1"/>
        <v>7.6855996252732304</v>
      </c>
      <c r="H16" s="24">
        <f t="shared" si="1"/>
        <v>7.015960471192332</v>
      </c>
      <c r="I16" s="24">
        <f t="shared" si="1"/>
        <v>6.4955172234395624</v>
      </c>
      <c r="J16" s="24">
        <f t="shared" si="1"/>
        <v>6.0760000000000005</v>
      </c>
      <c r="K16" s="24">
        <f t="shared" si="1"/>
        <v>5.7285077366526176</v>
      </c>
      <c r="L16" s="24">
        <f t="shared" si="1"/>
        <v>5.434539612515489</v>
      </c>
      <c r="M16" s="24">
        <f t="shared" si="1"/>
        <v>4.9610332257168634</v>
      </c>
      <c r="N16" s="24">
        <f t="shared" si="1"/>
        <v>4.5930242760081299</v>
      </c>
      <c r="O16" s="24">
        <f t="shared" si="1"/>
        <v>4.2963808024894625</v>
      </c>
      <c r="P16" s="24">
        <f t="shared" si="1"/>
        <v>4.0506666666666673</v>
      </c>
      <c r="Q16" s="24">
        <f t="shared" si="1"/>
        <v>3.8427998126366152</v>
      </c>
      <c r="R16" s="24">
        <f t="shared" si="2"/>
        <v>3.1376329082075025</v>
      </c>
      <c r="S16" s="24">
        <f t="shared" si="2"/>
        <v>2.7172698062577445</v>
      </c>
      <c r="T16" s="24">
        <f t="shared" si="2"/>
        <v>2.4304000000000001</v>
      </c>
      <c r="U16" s="24">
        <f t="shared" si="2"/>
        <v>2.218641506267593</v>
      </c>
      <c r="V16" s="24">
        <f t="shared" si="2"/>
        <v>2.0540629006921871</v>
      </c>
      <c r="W16" s="24">
        <f t="shared" si="2"/>
        <v>1.9213999063183076</v>
      </c>
      <c r="X16" s="24">
        <f t="shared" si="2"/>
        <v>1.8115132041718298</v>
      </c>
      <c r="Y16" s="24">
        <f t="shared" si="2"/>
        <v>1.7185523209957851</v>
      </c>
      <c r="Z16" s="24">
        <f t="shared" si="2"/>
        <v>1.6385753457306638</v>
      </c>
      <c r="AA16" s="24">
        <f t="shared" si="2"/>
        <v>1.5688164541037513</v>
      </c>
      <c r="AB16" s="24">
        <f t="shared" si="2"/>
        <v>1.5072700947280613</v>
      </c>
      <c r="AC16" s="24">
        <f t="shared" si="2"/>
        <v>1.4524418060631552</v>
      </c>
      <c r="AD16" s="24">
        <f t="shared" si="2"/>
        <v>1.4031920942384666</v>
      </c>
      <c r="AE16" s="24">
        <f t="shared" si="2"/>
        <v>1.3586349031288723</v>
      </c>
      <c r="AF16" s="24">
        <f t="shared" si="2"/>
        <v>1.318069461706155</v>
      </c>
      <c r="AG16" s="24">
        <f t="shared" si="2"/>
        <v>1.2809332708788717</v>
      </c>
      <c r="AH16" s="24">
        <f t="shared" si="2"/>
        <v>1.2467688934538794</v>
      </c>
      <c r="AI16" s="24">
        <f t="shared" si="2"/>
        <v>1.2152000000000001</v>
      </c>
    </row>
    <row r="17" spans="1:35" ht="15.75" x14ac:dyDescent="0.25">
      <c r="A17" s="23">
        <v>55</v>
      </c>
      <c r="B17" s="24">
        <f t="shared" si="1"/>
        <v>17.099379694012296</v>
      </c>
      <c r="C17" s="24">
        <f t="shared" si="1"/>
        <v>13.961585056146024</v>
      </c>
      <c r="D17" s="24">
        <f t="shared" si="1"/>
        <v>12.091087335719646</v>
      </c>
      <c r="E17" s="24">
        <f t="shared" si="1"/>
        <v>9.8723314693136199</v>
      </c>
      <c r="F17" s="24">
        <f t="shared" si="1"/>
        <v>8.5496898470061478</v>
      </c>
      <c r="G17" s="24">
        <f t="shared" si="1"/>
        <v>7.6470750737782094</v>
      </c>
      <c r="H17" s="24">
        <f t="shared" si="1"/>
        <v>6.9807925280730121</v>
      </c>
      <c r="I17" s="24">
        <f t="shared" si="1"/>
        <v>6.4629580348320381</v>
      </c>
      <c r="J17" s="24">
        <f t="shared" si="1"/>
        <v>6.0455436678598229</v>
      </c>
      <c r="K17" s="24">
        <f t="shared" si="1"/>
        <v>5.6997932313374315</v>
      </c>
      <c r="L17" s="24">
        <f t="shared" si="1"/>
        <v>5.4072986409111898</v>
      </c>
      <c r="M17" s="24">
        <f t="shared" si="1"/>
        <v>4.93616573465681</v>
      </c>
      <c r="N17" s="24">
        <f t="shared" si="1"/>
        <v>4.570001452953818</v>
      </c>
      <c r="O17" s="24">
        <f t="shared" si="1"/>
        <v>4.2748449235030739</v>
      </c>
      <c r="P17" s="24">
        <f t="shared" si="1"/>
        <v>4.0303624452398825</v>
      </c>
      <c r="Q17" s="24">
        <f t="shared" si="1"/>
        <v>3.8235375368891047</v>
      </c>
      <c r="R17" s="24">
        <f t="shared" si="2"/>
        <v>3.1219053259187732</v>
      </c>
      <c r="S17" s="24">
        <f t="shared" si="2"/>
        <v>2.7036493204555949</v>
      </c>
      <c r="T17" s="24">
        <f t="shared" si="2"/>
        <v>2.4182174671439292</v>
      </c>
      <c r="U17" s="24">
        <f t="shared" si="2"/>
        <v>2.2075204261795633</v>
      </c>
      <c r="V17" s="24">
        <f t="shared" si="2"/>
        <v>2.0437667812155085</v>
      </c>
      <c r="W17" s="24">
        <f t="shared" si="2"/>
        <v>1.9117687684445523</v>
      </c>
      <c r="X17" s="24">
        <f t="shared" si="2"/>
        <v>1.8024328803037302</v>
      </c>
      <c r="Y17" s="24">
        <f t="shared" si="2"/>
        <v>1.7099379694012296</v>
      </c>
      <c r="Z17" s="24">
        <f t="shared" si="2"/>
        <v>1.6303618837546467</v>
      </c>
      <c r="AA17" s="24">
        <f t="shared" si="2"/>
        <v>1.5609526629593866</v>
      </c>
      <c r="AB17" s="24">
        <f t="shared" si="2"/>
        <v>1.499714808580926</v>
      </c>
      <c r="AC17" s="24">
        <f t="shared" si="2"/>
        <v>1.445161350161289</v>
      </c>
      <c r="AD17" s="24">
        <f t="shared" si="2"/>
        <v>1.3961585056146026</v>
      </c>
      <c r="AE17" s="24">
        <f t="shared" si="2"/>
        <v>1.3518246602277975</v>
      </c>
      <c r="AF17" s="24">
        <f t="shared" si="2"/>
        <v>1.3114625556315092</v>
      </c>
      <c r="AG17" s="24">
        <f t="shared" si="2"/>
        <v>1.2745125122963683</v>
      </c>
      <c r="AH17" s="24">
        <f t="shared" si="2"/>
        <v>1.2405193859619319</v>
      </c>
      <c r="AI17" s="24">
        <f t="shared" si="2"/>
        <v>1.2091087335719646</v>
      </c>
    </row>
    <row r="18" spans="1:35" ht="15.75" x14ac:dyDescent="0.25">
      <c r="A18" s="23">
        <v>60</v>
      </c>
      <c r="B18" s="24">
        <f t="shared" si="1"/>
        <v>16.838305130861599</v>
      </c>
      <c r="C18" s="24">
        <f t="shared" si="1"/>
        <v>13.748418567966281</v>
      </c>
      <c r="D18" s="24">
        <f t="shared" si="1"/>
        <v>11.906479741720473</v>
      </c>
      <c r="E18" s="24">
        <f t="shared" si="1"/>
        <v>9.7216000000000005</v>
      </c>
      <c r="F18" s="24">
        <f t="shared" si="1"/>
        <v>8.4191525654307995</v>
      </c>
      <c r="G18" s="24">
        <f t="shared" si="1"/>
        <v>7.5303189796980057</v>
      </c>
      <c r="H18" s="24">
        <f t="shared" si="1"/>
        <v>6.8742092839831406</v>
      </c>
      <c r="I18" s="24">
        <f t="shared" si="1"/>
        <v>6.3642811251546707</v>
      </c>
      <c r="J18" s="24">
        <f t="shared" si="1"/>
        <v>5.9532398708602363</v>
      </c>
      <c r="K18" s="24">
        <f t="shared" si="1"/>
        <v>5.6127683769538663</v>
      </c>
      <c r="L18" s="24">
        <f t="shared" si="1"/>
        <v>5.3247396150422226</v>
      </c>
      <c r="M18" s="24">
        <f t="shared" si="1"/>
        <v>4.8608000000000002</v>
      </c>
      <c r="N18" s="24">
        <f t="shared" si="1"/>
        <v>4.500226340974419</v>
      </c>
      <c r="O18" s="24">
        <f t="shared" si="1"/>
        <v>4.2095762827153997</v>
      </c>
      <c r="P18" s="24">
        <f t="shared" si="1"/>
        <v>3.968826580573491</v>
      </c>
      <c r="Q18" s="24">
        <f t="shared" si="1"/>
        <v>3.7651594898490028</v>
      </c>
      <c r="R18" s="24">
        <f t="shared" si="2"/>
        <v>3.0742398501092918</v>
      </c>
      <c r="S18" s="24">
        <f t="shared" si="2"/>
        <v>2.6623698075211113</v>
      </c>
      <c r="T18" s="24">
        <f t="shared" si="2"/>
        <v>2.3812959483440945</v>
      </c>
      <c r="U18" s="24">
        <f t="shared" si="2"/>
        <v>2.1738158450061955</v>
      </c>
      <c r="V18" s="24">
        <f t="shared" si="2"/>
        <v>2.0125624025107895</v>
      </c>
      <c r="W18" s="24">
        <f t="shared" si="2"/>
        <v>1.8825797449245014</v>
      </c>
      <c r="X18" s="24">
        <f t="shared" si="2"/>
        <v>1.7749132050140746</v>
      </c>
      <c r="Y18" s="24">
        <f t="shared" si="2"/>
        <v>1.6838305130861597</v>
      </c>
      <c r="Z18" s="24">
        <f t="shared" si="2"/>
        <v>1.6054694008578643</v>
      </c>
      <c r="AA18" s="24">
        <f t="shared" si="2"/>
        <v>1.5371199250546459</v>
      </c>
      <c r="AB18" s="24">
        <f t="shared" si="2"/>
        <v>1.4768170546560861</v>
      </c>
      <c r="AC18" s="24">
        <f t="shared" si="2"/>
        <v>1.4230965223764691</v>
      </c>
      <c r="AD18" s="24">
        <f t="shared" si="2"/>
        <v>1.3748418567966283</v>
      </c>
      <c r="AE18" s="24">
        <f t="shared" si="2"/>
        <v>1.3311849037605556</v>
      </c>
      <c r="AF18" s="24">
        <f t="shared" si="2"/>
        <v>1.2914390506899887</v>
      </c>
      <c r="AG18" s="24">
        <f t="shared" si="2"/>
        <v>1.2550531632830009</v>
      </c>
      <c r="AH18" s="24">
        <f t="shared" si="2"/>
        <v>1.2215790464545642</v>
      </c>
      <c r="AI18" s="24">
        <f t="shared" si="2"/>
        <v>1.1906479741720473</v>
      </c>
    </row>
    <row r="19" spans="1:35" ht="15.75" x14ac:dyDescent="0.25">
      <c r="A19" s="23">
        <v>65</v>
      </c>
      <c r="B19" s="24">
        <f t="shared" si="1"/>
        <v>16.393944286839577</v>
      </c>
      <c r="C19" s="24">
        <f t="shared" si="1"/>
        <v>13.38559945812414</v>
      </c>
      <c r="D19" s="24">
        <f t="shared" si="1"/>
        <v>11.592269175618723</v>
      </c>
      <c r="E19" s="24">
        <f t="shared" si="1"/>
        <v>9.4650481470865575</v>
      </c>
      <c r="F19" s="24">
        <f t="shared" si="1"/>
        <v>8.1969721434197886</v>
      </c>
      <c r="G19" s="24">
        <f t="shared" si="1"/>
        <v>7.3315947689435212</v>
      </c>
      <c r="H19" s="24">
        <f t="shared" si="1"/>
        <v>6.6927997290620702</v>
      </c>
      <c r="I19" s="24">
        <f t="shared" si="1"/>
        <v>6.1963285129179519</v>
      </c>
      <c r="J19" s="24">
        <f t="shared" si="1"/>
        <v>5.7961345878093615</v>
      </c>
      <c r="K19" s="24">
        <f t="shared" si="1"/>
        <v>5.4646480956131924</v>
      </c>
      <c r="L19" s="24">
        <f t="shared" si="1"/>
        <v>5.1842203780317826</v>
      </c>
      <c r="M19" s="24">
        <f t="shared" si="1"/>
        <v>4.7325240735432788</v>
      </c>
      <c r="N19" s="24">
        <f t="shared" si="1"/>
        <v>4.3814659099438398</v>
      </c>
      <c r="O19" s="24">
        <f t="shared" si="1"/>
        <v>4.0984860717098943</v>
      </c>
      <c r="P19" s="24">
        <f t="shared" si="1"/>
        <v>3.8640897252062412</v>
      </c>
      <c r="Q19" s="24">
        <f t="shared" si="1"/>
        <v>3.6657973844717606</v>
      </c>
      <c r="R19" s="24">
        <f t="shared" si="2"/>
        <v>2.9931110307949931</v>
      </c>
      <c r="S19" s="24">
        <f t="shared" si="2"/>
        <v>2.5921101890158913</v>
      </c>
      <c r="T19" s="24">
        <f t="shared" si="2"/>
        <v>2.3184538351237447</v>
      </c>
      <c r="U19" s="24">
        <f t="shared" si="2"/>
        <v>2.1164491067193967</v>
      </c>
      <c r="V19" s="24">
        <f t="shared" si="2"/>
        <v>1.9594511231464795</v>
      </c>
      <c r="W19" s="24">
        <f t="shared" si="2"/>
        <v>1.8328986922358803</v>
      </c>
      <c r="X19" s="24">
        <f t="shared" si="2"/>
        <v>1.7280734593439278</v>
      </c>
      <c r="Y19" s="24">
        <f t="shared" si="2"/>
        <v>1.6393944286839577</v>
      </c>
      <c r="Z19" s="24">
        <f t="shared" si="2"/>
        <v>1.5631012567678049</v>
      </c>
      <c r="AA19" s="24">
        <f t="shared" si="2"/>
        <v>1.4965555153974965</v>
      </c>
      <c r="AB19" s="24">
        <f t="shared" si="2"/>
        <v>1.4378440304845308</v>
      </c>
      <c r="AC19" s="24">
        <f t="shared" si="2"/>
        <v>1.3855411765804724</v>
      </c>
      <c r="AD19" s="24">
        <f t="shared" si="2"/>
        <v>1.3385599458124142</v>
      </c>
      <c r="AE19" s="24">
        <f t="shared" si="2"/>
        <v>1.2960550945079456</v>
      </c>
      <c r="AF19" s="24">
        <f t="shared" si="2"/>
        <v>1.2573581297120326</v>
      </c>
      <c r="AG19" s="24">
        <f t="shared" si="2"/>
        <v>1.2219324614905869</v>
      </c>
      <c r="AH19" s="24">
        <f t="shared" si="2"/>
        <v>1.1893417225728826</v>
      </c>
      <c r="AI19" s="24">
        <f t="shared" si="2"/>
        <v>1.1592269175618723</v>
      </c>
    </row>
    <row r="20" spans="1:35" ht="15.75" x14ac:dyDescent="0.25">
      <c r="A20" s="23">
        <v>70</v>
      </c>
      <c r="B20" s="24">
        <f t="shared" si="1"/>
        <v>15.750792193410463</v>
      </c>
      <c r="C20" s="24">
        <f t="shared" si="1"/>
        <v>12.860467972822761</v>
      </c>
      <c r="D20" s="24">
        <f t="shared" si="1"/>
        <v>11.137491969020674</v>
      </c>
      <c r="E20" s="24">
        <f t="shared" si="1"/>
        <v>9.0937241128153872</v>
      </c>
      <c r="F20" s="24">
        <f t="shared" si="1"/>
        <v>7.8753960967052317</v>
      </c>
      <c r="G20" s="24">
        <f t="shared" si="1"/>
        <v>7.0439684087877623</v>
      </c>
      <c r="H20" s="24">
        <f t="shared" si="1"/>
        <v>6.4302339864113804</v>
      </c>
      <c r="I20" s="24">
        <f t="shared" si="1"/>
        <v>5.9532398708602354</v>
      </c>
      <c r="J20" s="24">
        <f t="shared" si="1"/>
        <v>5.5687459845103371</v>
      </c>
      <c r="K20" s="24">
        <f t="shared" si="1"/>
        <v>5.2502640644701541</v>
      </c>
      <c r="L20" s="24">
        <f t="shared" si="1"/>
        <v>4.9808378283176413</v>
      </c>
      <c r="M20" s="24">
        <f t="shared" si="1"/>
        <v>4.5468620564076936</v>
      </c>
      <c r="N20" s="24">
        <f t="shared" si="1"/>
        <v>4.2095762827153997</v>
      </c>
      <c r="O20" s="24">
        <f t="shared" si="1"/>
        <v>3.9376980483526158</v>
      </c>
      <c r="P20" s="24">
        <f t="shared" si="1"/>
        <v>3.7124973230068914</v>
      </c>
      <c r="Q20" s="24">
        <f t="shared" si="1"/>
        <v>3.5219842043938812</v>
      </c>
      <c r="R20" s="24">
        <f t="shared" si="2"/>
        <v>2.8756880609690616</v>
      </c>
      <c r="S20" s="24">
        <f t="shared" si="2"/>
        <v>2.4904189141588207</v>
      </c>
      <c r="T20" s="24">
        <f t="shared" si="2"/>
        <v>2.2274983938041348</v>
      </c>
      <c r="U20" s="24">
        <f t="shared" si="2"/>
        <v>2.0334185284884172</v>
      </c>
      <c r="V20" s="24">
        <f t="shared" si="2"/>
        <v>1.8825797449245012</v>
      </c>
      <c r="W20" s="24">
        <f t="shared" si="2"/>
        <v>1.7609921021969406</v>
      </c>
      <c r="X20" s="24">
        <f t="shared" si="2"/>
        <v>1.6602792761058807</v>
      </c>
      <c r="Y20" s="24">
        <f t="shared" si="2"/>
        <v>1.5750792193410463</v>
      </c>
      <c r="Z20" s="24">
        <f t="shared" si="2"/>
        <v>1.5017791107398404</v>
      </c>
      <c r="AA20" s="24">
        <f t="shared" si="2"/>
        <v>1.4378440304845308</v>
      </c>
      <c r="AB20" s="24">
        <f t="shared" si="2"/>
        <v>1.3814358603669201</v>
      </c>
      <c r="AC20" s="24">
        <f t="shared" si="2"/>
        <v>1.3311849037605556</v>
      </c>
      <c r="AD20" s="24">
        <f t="shared" si="2"/>
        <v>1.2860467972822762</v>
      </c>
      <c r="AE20" s="24">
        <f t="shared" si="2"/>
        <v>1.2452094570794103</v>
      </c>
      <c r="AF20" s="24">
        <f t="shared" si="2"/>
        <v>1.2080306158956304</v>
      </c>
      <c r="AG20" s="24">
        <f t="shared" si="2"/>
        <v>1.1739947347979605</v>
      </c>
      <c r="AH20" s="24">
        <f t="shared" si="2"/>
        <v>1.1426825656737469</v>
      </c>
      <c r="AI20" s="24">
        <f t="shared" si="2"/>
        <v>1.1137491969020674</v>
      </c>
    </row>
    <row r="21" spans="1:35" ht="15.75" x14ac:dyDescent="0.25">
      <c r="A21" s="23">
        <v>75</v>
      </c>
      <c r="B21" s="24">
        <f t="shared" si="1"/>
        <v>14.883099677150589</v>
      </c>
      <c r="C21" s="24">
        <f t="shared" si="1"/>
        <v>12.151999999999999</v>
      </c>
      <c r="D21" s="24">
        <f t="shared" si="1"/>
        <v>10.523940706788498</v>
      </c>
      <c r="E21" s="24">
        <f t="shared" si="1"/>
        <v>8.592761604978925</v>
      </c>
      <c r="F21" s="24">
        <f t="shared" si="1"/>
        <v>7.4415498385752947</v>
      </c>
      <c r="G21" s="24">
        <f t="shared" si="1"/>
        <v>6.6559245188027782</v>
      </c>
      <c r="H21" s="24">
        <f t="shared" si="1"/>
        <v>6.0759999999999996</v>
      </c>
      <c r="I21" s="24">
        <f t="shared" si="1"/>
        <v>5.6252829262180226</v>
      </c>
      <c r="J21" s="24">
        <f t="shared" si="1"/>
        <v>5.2619703533942488</v>
      </c>
      <c r="K21" s="24">
        <f t="shared" si="1"/>
        <v>4.9610332257168634</v>
      </c>
      <c r="L21" s="24">
        <f t="shared" si="1"/>
        <v>4.7064493623112531</v>
      </c>
      <c r="M21" s="24">
        <f t="shared" si="1"/>
        <v>4.2963808024894625</v>
      </c>
      <c r="N21" s="24">
        <f t="shared" si="1"/>
        <v>3.977675703221669</v>
      </c>
      <c r="O21" s="24">
        <f t="shared" si="1"/>
        <v>3.7207749192876474</v>
      </c>
      <c r="P21" s="24">
        <f t="shared" si="1"/>
        <v>3.507980235596166</v>
      </c>
      <c r="Q21" s="24">
        <f t="shared" si="1"/>
        <v>3.3279622594013891</v>
      </c>
      <c r="R21" s="24">
        <f t="shared" si="2"/>
        <v>2.7172698062577445</v>
      </c>
      <c r="S21" s="24">
        <f t="shared" si="2"/>
        <v>2.3532246811556266</v>
      </c>
      <c r="T21" s="24">
        <f t="shared" si="2"/>
        <v>2.1047881413576999</v>
      </c>
      <c r="U21" s="24">
        <f t="shared" si="2"/>
        <v>1.9213999063183071</v>
      </c>
      <c r="V21" s="24">
        <f t="shared" si="2"/>
        <v>1.7788706529705862</v>
      </c>
      <c r="W21" s="24">
        <f t="shared" si="2"/>
        <v>1.6639811297006946</v>
      </c>
      <c r="X21" s="24">
        <f t="shared" si="2"/>
        <v>1.568816454103751</v>
      </c>
      <c r="Y21" s="24">
        <f t="shared" si="2"/>
        <v>1.4883099677150589</v>
      </c>
      <c r="Z21" s="24">
        <f t="shared" si="2"/>
        <v>1.4190478754176241</v>
      </c>
      <c r="AA21" s="24">
        <f t="shared" si="2"/>
        <v>1.3586349031288723</v>
      </c>
      <c r="AB21" s="24">
        <f t="shared" si="2"/>
        <v>1.3053341923990782</v>
      </c>
      <c r="AC21" s="24">
        <f t="shared" si="2"/>
        <v>1.2578515015692431</v>
      </c>
      <c r="AD21" s="24">
        <f t="shared" si="2"/>
        <v>1.2152000000000001</v>
      </c>
      <c r="AE21" s="24">
        <f t="shared" si="2"/>
        <v>1.1766123405778133</v>
      </c>
      <c r="AF21" s="24">
        <f t="shared" si="2"/>
        <v>1.1414816377900103</v>
      </c>
      <c r="AG21" s="24">
        <f t="shared" si="2"/>
        <v>1.1093207531337965</v>
      </c>
      <c r="AH21" s="24">
        <f t="shared" si="2"/>
        <v>1.0797335343792736</v>
      </c>
      <c r="AI21" s="24">
        <f t="shared" si="2"/>
        <v>1.0523940706788499</v>
      </c>
    </row>
    <row r="22" spans="1:35" ht="15.75" x14ac:dyDescent="0.25">
      <c r="A22" s="23">
        <v>80</v>
      </c>
      <c r="B22" s="24">
        <f t="shared" si="1"/>
        <v>13.748418567966281</v>
      </c>
      <c r="C22" s="24">
        <f t="shared" si="1"/>
        <v>11.225536753907731</v>
      </c>
      <c r="D22" s="24">
        <f t="shared" si="1"/>
        <v>9.7216000000000005</v>
      </c>
      <c r="E22" s="24">
        <f t="shared" si="1"/>
        <v>7.9376531611469821</v>
      </c>
      <c r="F22" s="24">
        <f t="shared" si="1"/>
        <v>6.8742092839831406</v>
      </c>
      <c r="G22" s="24">
        <f t="shared" si="1"/>
        <v>6.1484797002185836</v>
      </c>
      <c r="H22" s="24">
        <f t="shared" si="1"/>
        <v>5.6127683769538654</v>
      </c>
      <c r="I22" s="24">
        <f t="shared" si="1"/>
        <v>5.1964137787516496</v>
      </c>
      <c r="J22" s="24">
        <f t="shared" si="1"/>
        <v>4.8608000000000002</v>
      </c>
      <c r="K22" s="24">
        <f t="shared" si="1"/>
        <v>4.5828061893220937</v>
      </c>
      <c r="L22" s="24">
        <f t="shared" si="1"/>
        <v>4.347631690012391</v>
      </c>
      <c r="M22" s="24">
        <f t="shared" si="1"/>
        <v>3.968826580573491</v>
      </c>
      <c r="N22" s="24">
        <f t="shared" si="1"/>
        <v>3.6744194208065037</v>
      </c>
      <c r="O22" s="24">
        <f t="shared" si="1"/>
        <v>3.4371046419915703</v>
      </c>
      <c r="P22" s="24">
        <f t="shared" si="1"/>
        <v>3.2405333333333335</v>
      </c>
      <c r="Q22" s="24">
        <f t="shared" si="1"/>
        <v>3.0742398501092918</v>
      </c>
      <c r="R22" s="24">
        <f t="shared" si="2"/>
        <v>2.5101063265660017</v>
      </c>
      <c r="S22" s="24">
        <f t="shared" si="2"/>
        <v>2.1738158450061955</v>
      </c>
      <c r="T22" s="24">
        <f t="shared" si="2"/>
        <v>1.9443200000000003</v>
      </c>
      <c r="U22" s="24">
        <f t="shared" si="2"/>
        <v>1.7749132050140743</v>
      </c>
      <c r="V22" s="24">
        <f t="shared" si="2"/>
        <v>1.6432503205537494</v>
      </c>
      <c r="W22" s="24">
        <f t="shared" si="2"/>
        <v>1.5371199250546459</v>
      </c>
      <c r="X22" s="24">
        <f t="shared" si="2"/>
        <v>1.4492105633374639</v>
      </c>
      <c r="Y22" s="24">
        <f t="shared" si="2"/>
        <v>1.3748418567966281</v>
      </c>
      <c r="Z22" s="24">
        <f t="shared" si="2"/>
        <v>1.310860276584531</v>
      </c>
      <c r="AA22" s="24">
        <f t="shared" si="2"/>
        <v>1.2550531632830009</v>
      </c>
      <c r="AB22" s="24">
        <f t="shared" si="2"/>
        <v>1.2058160757824492</v>
      </c>
      <c r="AC22" s="24">
        <f t="shared" si="2"/>
        <v>1.1619534448505242</v>
      </c>
      <c r="AD22" s="24">
        <f t="shared" si="2"/>
        <v>1.1225536753907732</v>
      </c>
      <c r="AE22" s="24">
        <f t="shared" si="2"/>
        <v>1.0869079225030978</v>
      </c>
      <c r="AF22" s="24">
        <f t="shared" si="2"/>
        <v>1.054455569364924</v>
      </c>
      <c r="AG22" s="24">
        <f t="shared" si="2"/>
        <v>1.0247466167030974</v>
      </c>
      <c r="AH22" s="24">
        <f t="shared" si="2"/>
        <v>0.99741511476310352</v>
      </c>
      <c r="AI22" s="24">
        <f t="shared" si="2"/>
        <v>0.97216000000000014</v>
      </c>
    </row>
    <row r="23" spans="1:35" ht="15.75" x14ac:dyDescent="0.25">
      <c r="A23" s="23">
        <v>85</v>
      </c>
      <c r="B23" s="24">
        <f t="shared" si="1"/>
        <v>12.272918401097597</v>
      </c>
      <c r="C23" s="24">
        <f t="shared" si="1"/>
        <v>10.020795912501161</v>
      </c>
      <c r="D23" s="24">
        <f t="shared" si="1"/>
        <v>8.6782638263652707</v>
      </c>
      <c r="E23" s="24">
        <f t="shared" si="1"/>
        <v>7.0857727426160091</v>
      </c>
      <c r="F23" s="24">
        <f t="shared" si="1"/>
        <v>6.1364592005487983</v>
      </c>
      <c r="G23" s="24">
        <f t="shared" si="1"/>
        <v>5.4886159654324516</v>
      </c>
      <c r="H23" s="24">
        <f t="shared" si="1"/>
        <v>5.0103979562505803</v>
      </c>
      <c r="I23" s="24">
        <f t="shared" si="1"/>
        <v>4.6387271357561009</v>
      </c>
      <c r="J23" s="24">
        <f t="shared" si="1"/>
        <v>4.3391319131826354</v>
      </c>
      <c r="K23" s="24">
        <f t="shared" si="1"/>
        <v>4.0909728003658659</v>
      </c>
      <c r="L23" s="24">
        <f t="shared" si="1"/>
        <v>3.8810375684860356</v>
      </c>
      <c r="M23" s="24">
        <f t="shared" si="1"/>
        <v>3.5428863713080045</v>
      </c>
      <c r="N23" s="24">
        <f t="shared" si="1"/>
        <v>3.2800754137671899</v>
      </c>
      <c r="O23" s="24">
        <f t="shared" si="1"/>
        <v>3.0682296002743992</v>
      </c>
      <c r="P23" s="24">
        <f t="shared" si="1"/>
        <v>2.8927546087884237</v>
      </c>
      <c r="Q23" s="24">
        <f t="shared" si="1"/>
        <v>2.7443079827162258</v>
      </c>
      <c r="R23" s="24">
        <f t="shared" si="2"/>
        <v>2.2407180849004633</v>
      </c>
      <c r="S23" s="24">
        <f t="shared" si="2"/>
        <v>1.9405187842430178</v>
      </c>
      <c r="T23" s="24">
        <f t="shared" si="2"/>
        <v>1.7356527652730542</v>
      </c>
      <c r="U23" s="24">
        <f t="shared" si="2"/>
        <v>1.5844269525604517</v>
      </c>
      <c r="V23" s="24">
        <f t="shared" si="2"/>
        <v>1.4668943193018371</v>
      </c>
      <c r="W23" s="24">
        <f t="shared" si="2"/>
        <v>1.3721539913581129</v>
      </c>
      <c r="X23" s="24">
        <f t="shared" si="2"/>
        <v>1.2936791894953452</v>
      </c>
      <c r="Y23" s="24">
        <f t="shared" si="2"/>
        <v>1.2272918401097597</v>
      </c>
      <c r="Z23" s="24">
        <f t="shared" si="2"/>
        <v>1.170176855631039</v>
      </c>
      <c r="AA23" s="24">
        <f t="shared" si="2"/>
        <v>1.1203590424502317</v>
      </c>
      <c r="AB23" s="24">
        <f t="shared" si="2"/>
        <v>1.0764061503983451</v>
      </c>
      <c r="AC23" s="24">
        <f t="shared" si="2"/>
        <v>1.0372509204623537</v>
      </c>
      <c r="AD23" s="24">
        <f t="shared" si="2"/>
        <v>1.0020795912501164</v>
      </c>
      <c r="AE23" s="24">
        <f t="shared" si="2"/>
        <v>0.97025939212150891</v>
      </c>
      <c r="AF23" s="24">
        <f t="shared" si="2"/>
        <v>0.9412898724622506</v>
      </c>
      <c r="AG23" s="24">
        <f t="shared" si="2"/>
        <v>0.9147693275720753</v>
      </c>
      <c r="AH23" s="24">
        <f t="shared" si="2"/>
        <v>0.8903710819534445</v>
      </c>
      <c r="AI23" s="24">
        <f t="shared" si="2"/>
        <v>0.86782638263652712</v>
      </c>
    </row>
    <row r="24" spans="1:35" ht="15.75" x14ac:dyDescent="0.25">
      <c r="A24" s="23">
        <v>90</v>
      </c>
      <c r="B24" s="24">
        <f t="shared" si="1"/>
        <v>10.31131392597471</v>
      </c>
      <c r="C24" s="24">
        <f t="shared" si="1"/>
        <v>8.4191525654307995</v>
      </c>
      <c r="D24" s="24">
        <f t="shared" si="1"/>
        <v>7.2912000000000008</v>
      </c>
      <c r="E24" s="24">
        <f t="shared" si="1"/>
        <v>5.9532398708602363</v>
      </c>
      <c r="F24" s="24">
        <f t="shared" si="1"/>
        <v>5.1556569629873552</v>
      </c>
      <c r="G24" s="24">
        <f t="shared" si="1"/>
        <v>4.6113597751639377</v>
      </c>
      <c r="H24" s="24">
        <f t="shared" si="1"/>
        <v>4.2095762827153997</v>
      </c>
      <c r="I24" s="24">
        <f t="shared" si="1"/>
        <v>3.8973103340637376</v>
      </c>
      <c r="J24" s="24">
        <f t="shared" si="1"/>
        <v>3.6456000000000004</v>
      </c>
      <c r="K24" s="24">
        <f t="shared" si="1"/>
        <v>3.4371046419915703</v>
      </c>
      <c r="L24" s="24">
        <f t="shared" si="1"/>
        <v>3.2607237675092935</v>
      </c>
      <c r="M24" s="24">
        <f t="shared" si="1"/>
        <v>2.9766199354301182</v>
      </c>
      <c r="N24" s="24">
        <f t="shared" si="1"/>
        <v>2.755814565604878</v>
      </c>
      <c r="O24" s="24">
        <f t="shared" si="1"/>
        <v>2.5778284814936776</v>
      </c>
      <c r="P24" s="24">
        <f t="shared" si="1"/>
        <v>2.4304000000000001</v>
      </c>
      <c r="Q24" s="24">
        <f t="shared" si="1"/>
        <v>2.3056798875819688</v>
      </c>
      <c r="R24" s="24">
        <f t="shared" si="2"/>
        <v>1.8825797449245014</v>
      </c>
      <c r="S24" s="24">
        <f t="shared" si="2"/>
        <v>1.6303618837546467</v>
      </c>
      <c r="T24" s="24">
        <f t="shared" si="2"/>
        <v>1.4582400000000002</v>
      </c>
      <c r="U24" s="24">
        <f t="shared" si="2"/>
        <v>1.3311849037605559</v>
      </c>
      <c r="V24" s="24">
        <f t="shared" si="2"/>
        <v>1.2324377404153122</v>
      </c>
      <c r="W24" s="24">
        <f t="shared" si="2"/>
        <v>1.1528399437909844</v>
      </c>
      <c r="X24" s="24">
        <f t="shared" si="2"/>
        <v>1.086907922503098</v>
      </c>
      <c r="Y24" s="24">
        <f t="shared" si="2"/>
        <v>1.0311313925974712</v>
      </c>
      <c r="Z24" s="24">
        <f t="shared" si="2"/>
        <v>0.98314520743839817</v>
      </c>
      <c r="AA24" s="24">
        <f t="shared" si="2"/>
        <v>0.94128987246225071</v>
      </c>
      <c r="AB24" s="24">
        <f t="shared" si="2"/>
        <v>0.90436205683683679</v>
      </c>
      <c r="AC24" s="24">
        <f t="shared" si="2"/>
        <v>0.8714650836378931</v>
      </c>
      <c r="AD24" s="24">
        <f t="shared" si="2"/>
        <v>0.84191525654307997</v>
      </c>
      <c r="AE24" s="24">
        <f t="shared" si="2"/>
        <v>0.81518094187732337</v>
      </c>
      <c r="AF24" s="24">
        <f t="shared" si="2"/>
        <v>0.79084167702369301</v>
      </c>
      <c r="AG24" s="24">
        <f t="shared" si="2"/>
        <v>0.76855996252732306</v>
      </c>
      <c r="AH24" s="24">
        <f t="shared" si="2"/>
        <v>0.74806133607232761</v>
      </c>
      <c r="AI24" s="24">
        <f t="shared" si="2"/>
        <v>0.7291200000000001</v>
      </c>
    </row>
    <row r="25" spans="1:35" ht="15.75" x14ac:dyDescent="0.25">
      <c r="A25" s="23">
        <v>95</v>
      </c>
      <c r="B25" s="24">
        <f t="shared" si="1"/>
        <v>7.4909958964079006</v>
      </c>
      <c r="C25" s="24">
        <f t="shared" si="1"/>
        <v>6.116372537160677</v>
      </c>
      <c r="D25" s="24">
        <f t="shared" si="1"/>
        <v>5.296933996190627</v>
      </c>
      <c r="E25" s="24">
        <f t="shared" si="1"/>
        <v>4.3249284972894841</v>
      </c>
      <c r="F25" s="24">
        <f t="shared" si="1"/>
        <v>3.7454979482039503</v>
      </c>
      <c r="G25" s="24">
        <f t="shared" si="1"/>
        <v>3.3500752087080081</v>
      </c>
      <c r="H25" s="24">
        <f t="shared" si="1"/>
        <v>3.0581862685803385</v>
      </c>
      <c r="I25" s="24">
        <f t="shared" si="1"/>
        <v>2.8313303163000958</v>
      </c>
      <c r="J25" s="24">
        <f t="shared" si="1"/>
        <v>2.6484669980953135</v>
      </c>
      <c r="K25" s="24">
        <f t="shared" si="1"/>
        <v>2.4969986321359667</v>
      </c>
      <c r="L25" s="24">
        <f t="shared" si="1"/>
        <v>2.3688608975623708</v>
      </c>
      <c r="M25" s="24">
        <f t="shared" si="1"/>
        <v>2.1624642486447421</v>
      </c>
      <c r="N25" s="24">
        <f t="shared" si="1"/>
        <v>2.0020528664348505</v>
      </c>
      <c r="O25" s="24">
        <f t="shared" si="1"/>
        <v>1.8727489741019752</v>
      </c>
      <c r="P25" s="24">
        <f t="shared" si="1"/>
        <v>1.7656446653968758</v>
      </c>
      <c r="Q25" s="24">
        <f t="shared" si="1"/>
        <v>1.6750376043540041</v>
      </c>
      <c r="R25" s="24">
        <f t="shared" si="2"/>
        <v>1.3676624768804133</v>
      </c>
      <c r="S25" s="24">
        <f t="shared" si="2"/>
        <v>1.1844304487811854</v>
      </c>
      <c r="T25" s="24">
        <f t="shared" si="2"/>
        <v>1.0593867992381254</v>
      </c>
      <c r="U25" s="24">
        <f t="shared" si="2"/>
        <v>0.96708341177653001</v>
      </c>
      <c r="V25" s="24">
        <f t="shared" si="2"/>
        <v>0.89534526077932652</v>
      </c>
      <c r="W25" s="24">
        <f t="shared" si="2"/>
        <v>0.83751880217700203</v>
      </c>
      <c r="X25" s="24">
        <f t="shared" si="2"/>
        <v>0.78962029918745702</v>
      </c>
      <c r="Y25" s="24">
        <f t="shared" si="2"/>
        <v>0.74909958964079004</v>
      </c>
      <c r="Z25" s="24">
        <f t="shared" si="2"/>
        <v>0.71423843434171841</v>
      </c>
      <c r="AA25" s="24">
        <f t="shared" si="2"/>
        <v>0.68383123844020666</v>
      </c>
      <c r="AB25" s="24">
        <f t="shared" si="2"/>
        <v>0.65700380235405975</v>
      </c>
      <c r="AC25" s="24">
        <f t="shared" si="2"/>
        <v>0.63310470540029951</v>
      </c>
      <c r="AD25" s="24">
        <f t="shared" si="2"/>
        <v>0.61163725371606781</v>
      </c>
      <c r="AE25" s="24">
        <f t="shared" si="2"/>
        <v>0.59221522439059271</v>
      </c>
      <c r="AF25" s="24">
        <f t="shared" si="2"/>
        <v>0.57453315841441832</v>
      </c>
      <c r="AG25" s="24">
        <f t="shared" si="2"/>
        <v>0.55834586811800135</v>
      </c>
      <c r="AH25" s="24">
        <f t="shared" si="2"/>
        <v>0.54345396125154899</v>
      </c>
      <c r="AI25" s="24">
        <f t="shared" si="2"/>
        <v>0.5296933996190627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7"/>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188</v>
      </c>
      <c r="B1" s="5"/>
      <c r="C1" s="5"/>
      <c r="D1" s="5"/>
      <c r="E1" s="5"/>
      <c r="F1" s="5"/>
    </row>
    <row r="2" spans="1:6" ht="86.25" x14ac:dyDescent="0.3">
      <c r="A2" s="2" t="s">
        <v>189</v>
      </c>
      <c r="B2" s="5"/>
      <c r="C2" s="5"/>
      <c r="D2" s="5"/>
      <c r="E2" s="5"/>
      <c r="F2" s="5"/>
    </row>
    <row r="3" spans="1:6" ht="45.75" x14ac:dyDescent="0.25">
      <c r="A3" s="8" t="s">
        <v>17</v>
      </c>
      <c r="B3" s="9" t="s">
        <v>84</v>
      </c>
      <c r="C3" s="9" t="s">
        <v>85</v>
      </c>
      <c r="D3" s="9" t="s">
        <v>86</v>
      </c>
      <c r="E3" s="9" t="s">
        <v>87</v>
      </c>
      <c r="F3" s="9" t="s">
        <v>24</v>
      </c>
    </row>
    <row r="4" spans="1:6" ht="15.75" x14ac:dyDescent="0.25">
      <c r="A4" s="10" t="s">
        <v>190</v>
      </c>
      <c r="B4" s="11">
        <v>7.0000000000000007E-2</v>
      </c>
      <c r="C4" s="11">
        <v>0.06</v>
      </c>
      <c r="D4" s="11" t="s">
        <v>14</v>
      </c>
      <c r="E4" s="11" t="s">
        <v>14</v>
      </c>
      <c r="F4" s="11">
        <v>7.0000000000000007E-2</v>
      </c>
    </row>
    <row r="5" spans="1:6" ht="15.75" x14ac:dyDescent="0.25">
      <c r="A5" s="10" t="s">
        <v>191</v>
      </c>
      <c r="B5" s="11">
        <v>0.93</v>
      </c>
      <c r="C5" s="11">
        <v>0.94</v>
      </c>
      <c r="D5" s="11" t="s">
        <v>14</v>
      </c>
      <c r="E5" s="11" t="s">
        <v>14</v>
      </c>
      <c r="F5" s="11">
        <v>0.93</v>
      </c>
    </row>
    <row r="6" spans="1:6" ht="15.75" x14ac:dyDescent="0.25">
      <c r="A6" s="12" t="s">
        <v>31</v>
      </c>
      <c r="B6" s="13">
        <v>3880</v>
      </c>
      <c r="C6" s="13">
        <v>5120</v>
      </c>
      <c r="D6" s="13">
        <v>30</v>
      </c>
      <c r="E6" s="13">
        <v>0</v>
      </c>
      <c r="F6" s="13">
        <v>9030</v>
      </c>
    </row>
    <row r="7" spans="1:6" ht="15.75" x14ac:dyDescent="0.25">
      <c r="A7" s="14"/>
      <c r="B7" s="14"/>
      <c r="C7" s="14"/>
      <c r="D7" s="14"/>
      <c r="E7" s="14"/>
      <c r="F7" s="14"/>
    </row>
  </sheetData>
  <pageMargins left="0.7" right="0.7" top="0.75" bottom="0.75" header="0.3" footer="0.3"/>
  <pageSetup paperSize="9" orientation="portrait" horizontalDpi="300" verticalDpi="300"/>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7"/>
  <sheetViews>
    <sheetView showGridLines="0" workbookViewId="0"/>
  </sheetViews>
  <sheetFormatPr defaultColWidth="11.42578125" defaultRowHeight="15" x14ac:dyDescent="0.25"/>
  <cols>
    <col min="1" max="1" width="70.7109375" customWidth="1"/>
    <col min="2" max="5" width="15.7109375" customWidth="1"/>
  </cols>
  <sheetData>
    <row r="1" spans="1:5" ht="19.5" x14ac:dyDescent="0.3">
      <c r="A1" s="1" t="s">
        <v>192</v>
      </c>
      <c r="B1" s="5"/>
      <c r="C1" s="5"/>
      <c r="D1" s="5"/>
      <c r="E1" s="5"/>
    </row>
    <row r="2" spans="1:5" ht="86.25" x14ac:dyDescent="0.3">
      <c r="A2" s="2" t="s">
        <v>189</v>
      </c>
      <c r="B2" s="5"/>
      <c r="C2" s="5"/>
      <c r="D2" s="5"/>
      <c r="E2" s="5"/>
    </row>
    <row r="3" spans="1:5" ht="15.75" x14ac:dyDescent="0.25">
      <c r="A3" s="8" t="s">
        <v>17</v>
      </c>
      <c r="B3" s="9" t="s">
        <v>148</v>
      </c>
      <c r="C3" s="9" t="s">
        <v>149</v>
      </c>
      <c r="D3" s="9" t="s">
        <v>150</v>
      </c>
      <c r="E3" s="9" t="s">
        <v>24</v>
      </c>
    </row>
    <row r="4" spans="1:5" ht="15.75" x14ac:dyDescent="0.25">
      <c r="A4" s="10" t="s">
        <v>190</v>
      </c>
      <c r="B4" s="11">
        <v>0.09</v>
      </c>
      <c r="C4" s="11">
        <v>0.08</v>
      </c>
      <c r="D4" s="11">
        <v>0.03</v>
      </c>
      <c r="E4" s="11">
        <v>7.0000000000000007E-2</v>
      </c>
    </row>
    <row r="5" spans="1:5" ht="15.75" x14ac:dyDescent="0.25">
      <c r="A5" s="10" t="s">
        <v>191</v>
      </c>
      <c r="B5" s="11">
        <v>0.91</v>
      </c>
      <c r="C5" s="11">
        <v>0.92</v>
      </c>
      <c r="D5" s="11">
        <v>0.97</v>
      </c>
      <c r="E5" s="11">
        <v>0.93</v>
      </c>
    </row>
    <row r="6" spans="1:5" ht="15.75" x14ac:dyDescent="0.25">
      <c r="A6" s="12" t="s">
        <v>31</v>
      </c>
      <c r="B6" s="13">
        <v>1310</v>
      </c>
      <c r="C6" s="13">
        <v>3210</v>
      </c>
      <c r="D6" s="13">
        <v>4520</v>
      </c>
      <c r="E6" s="13">
        <v>9030</v>
      </c>
    </row>
    <row r="7" spans="1:5" ht="15.75" x14ac:dyDescent="0.25">
      <c r="A7" s="14"/>
      <c r="B7" s="14"/>
      <c r="C7" s="14"/>
      <c r="D7" s="14"/>
      <c r="E7" s="14"/>
    </row>
  </sheetData>
  <pageMargins left="0.7" right="0.7" top="0.75" bottom="0.75" header="0.3" footer="0.3"/>
  <pageSetup paperSize="9" orientation="portrait" horizontalDpi="300" verticalDpi="300"/>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8"/>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193</v>
      </c>
      <c r="B1" s="5"/>
      <c r="C1" s="5"/>
      <c r="D1" s="5"/>
      <c r="E1" s="5"/>
      <c r="F1" s="5"/>
      <c r="G1" s="5"/>
    </row>
    <row r="2" spans="1:7" ht="86.25" x14ac:dyDescent="0.3">
      <c r="A2" s="2" t="s">
        <v>194</v>
      </c>
      <c r="B2" s="5"/>
      <c r="C2" s="5"/>
      <c r="D2" s="5"/>
      <c r="E2" s="5"/>
      <c r="F2" s="5"/>
      <c r="G2" s="5"/>
    </row>
    <row r="3" spans="1:7" ht="120.75" x14ac:dyDescent="0.3">
      <c r="A3" s="2" t="s">
        <v>1</v>
      </c>
      <c r="B3" s="5"/>
      <c r="C3" s="5"/>
      <c r="D3" s="5"/>
      <c r="E3" s="5"/>
      <c r="F3" s="5"/>
      <c r="G3" s="5"/>
    </row>
    <row r="4" spans="1:7" ht="45.75" x14ac:dyDescent="0.25">
      <c r="A4" s="8" t="s">
        <v>17</v>
      </c>
      <c r="B4" s="9" t="s">
        <v>49</v>
      </c>
      <c r="C4" s="9" t="s">
        <v>50</v>
      </c>
      <c r="D4" s="9" t="s">
        <v>51</v>
      </c>
      <c r="E4" s="9" t="s">
        <v>52</v>
      </c>
      <c r="F4" s="9" t="s">
        <v>53</v>
      </c>
      <c r="G4" s="9" t="s">
        <v>24</v>
      </c>
    </row>
    <row r="5" spans="1:7" ht="15.75" x14ac:dyDescent="0.25">
      <c r="A5" s="10" t="s">
        <v>190</v>
      </c>
      <c r="B5" s="11">
        <v>0.09</v>
      </c>
      <c r="C5" s="11">
        <v>7.0000000000000007E-2</v>
      </c>
      <c r="D5" s="11">
        <v>7.0000000000000007E-2</v>
      </c>
      <c r="E5" s="11">
        <v>0.05</v>
      </c>
      <c r="F5" s="11">
        <v>0.05</v>
      </c>
      <c r="G5" s="11">
        <v>7.0000000000000007E-2</v>
      </c>
    </row>
    <row r="6" spans="1:7" ht="15.75" x14ac:dyDescent="0.25">
      <c r="A6" s="10" t="s">
        <v>191</v>
      </c>
      <c r="B6" s="11">
        <v>0.91</v>
      </c>
      <c r="C6" s="11">
        <v>0.93</v>
      </c>
      <c r="D6" s="11">
        <v>0.93</v>
      </c>
      <c r="E6" s="11">
        <v>0.95</v>
      </c>
      <c r="F6" s="11">
        <v>0.95</v>
      </c>
      <c r="G6" s="11">
        <v>0.93</v>
      </c>
    </row>
    <row r="7" spans="1:7" ht="15.75" x14ac:dyDescent="0.25">
      <c r="A7" s="12" t="s">
        <v>31</v>
      </c>
      <c r="B7" s="13">
        <v>1180</v>
      </c>
      <c r="C7" s="13">
        <v>1540</v>
      </c>
      <c r="D7" s="13">
        <v>1980</v>
      </c>
      <c r="E7" s="13">
        <v>2230</v>
      </c>
      <c r="F7" s="13">
        <v>2110</v>
      </c>
      <c r="G7" s="13">
        <v>9030</v>
      </c>
    </row>
    <row r="8" spans="1:7" ht="15.75" x14ac:dyDescent="0.25">
      <c r="A8" s="14"/>
      <c r="B8" s="14"/>
      <c r="C8" s="14"/>
      <c r="D8" s="14"/>
      <c r="E8" s="14"/>
      <c r="F8" s="14"/>
      <c r="G8" s="14"/>
    </row>
  </sheetData>
  <pageMargins left="0.7" right="0.7" top="0.75" bottom="0.75" header="0.3" footer="0.3"/>
  <pageSetup paperSize="9" orientation="portrait" horizontalDpi="300" verticalDpi="300"/>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7"/>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195</v>
      </c>
      <c r="B1" s="5"/>
      <c r="C1" s="5"/>
      <c r="D1" s="5"/>
      <c r="E1" s="5"/>
      <c r="F1" s="5"/>
    </row>
    <row r="2" spans="1:6" ht="86.25" x14ac:dyDescent="0.3">
      <c r="A2" s="2" t="s">
        <v>189</v>
      </c>
      <c r="B2" s="5"/>
      <c r="C2" s="5"/>
      <c r="D2" s="5"/>
      <c r="E2" s="5"/>
      <c r="F2" s="5"/>
    </row>
    <row r="3" spans="1:6" ht="30.75" x14ac:dyDescent="0.25">
      <c r="A3" s="8" t="s">
        <v>17</v>
      </c>
      <c r="B3" s="9" t="s">
        <v>153</v>
      </c>
      <c r="C3" s="9" t="s">
        <v>154</v>
      </c>
      <c r="D3" s="9" t="s">
        <v>82</v>
      </c>
      <c r="E3" s="9" t="s">
        <v>155</v>
      </c>
      <c r="F3" s="9" t="s">
        <v>24</v>
      </c>
    </row>
    <row r="4" spans="1:6" ht="15.75" x14ac:dyDescent="0.25">
      <c r="A4" s="10" t="s">
        <v>190</v>
      </c>
      <c r="B4" s="11">
        <v>0.06</v>
      </c>
      <c r="C4" s="11">
        <v>0.15</v>
      </c>
      <c r="D4" s="11" t="s">
        <v>14</v>
      </c>
      <c r="E4" s="11">
        <v>0.14000000000000001</v>
      </c>
      <c r="F4" s="11">
        <v>7.0000000000000007E-2</v>
      </c>
    </row>
    <row r="5" spans="1:6" ht="15.75" x14ac:dyDescent="0.25">
      <c r="A5" s="10" t="s">
        <v>191</v>
      </c>
      <c r="B5" s="11">
        <v>0.94</v>
      </c>
      <c r="C5" s="11">
        <v>0.85</v>
      </c>
      <c r="D5" s="11" t="s">
        <v>14</v>
      </c>
      <c r="E5" s="11">
        <v>0.86</v>
      </c>
      <c r="F5" s="11">
        <v>0.93</v>
      </c>
    </row>
    <row r="6" spans="1:6" ht="15.75" x14ac:dyDescent="0.25">
      <c r="A6" s="12" t="s">
        <v>31</v>
      </c>
      <c r="B6" s="13">
        <v>8660</v>
      </c>
      <c r="C6" s="13">
        <v>280</v>
      </c>
      <c r="D6" s="13">
        <v>40</v>
      </c>
      <c r="E6" s="13">
        <v>60</v>
      </c>
      <c r="F6" s="13">
        <v>9030</v>
      </c>
    </row>
    <row r="7" spans="1:6" ht="15.75" x14ac:dyDescent="0.25">
      <c r="A7" s="14"/>
      <c r="B7" s="14"/>
      <c r="C7" s="14"/>
      <c r="D7" s="14"/>
      <c r="E7" s="14"/>
      <c r="F7" s="14"/>
    </row>
  </sheetData>
  <pageMargins left="0.7" right="0.7" top="0.75" bottom="0.75" header="0.3" footer="0.3"/>
  <pageSetup paperSize="9" orientation="portrait" horizontalDpi="300" verticalDpi="300"/>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8"/>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196</v>
      </c>
      <c r="B1" s="5"/>
      <c r="C1" s="5"/>
      <c r="D1" s="5"/>
      <c r="E1" s="5"/>
      <c r="F1" s="5"/>
      <c r="G1" s="5"/>
      <c r="H1" s="5"/>
    </row>
    <row r="2" spans="1:8" ht="86.25" x14ac:dyDescent="0.3">
      <c r="A2" s="2" t="s">
        <v>194</v>
      </c>
      <c r="B2" s="5"/>
      <c r="C2" s="5"/>
      <c r="D2" s="5"/>
      <c r="E2" s="5"/>
      <c r="F2" s="5"/>
      <c r="G2" s="5"/>
      <c r="H2" s="5"/>
    </row>
    <row r="3" spans="1:8" ht="69" x14ac:dyDescent="0.3">
      <c r="A3" s="2" t="s">
        <v>94</v>
      </c>
      <c r="B3" s="5"/>
      <c r="C3" s="5"/>
      <c r="D3" s="5"/>
      <c r="E3" s="5"/>
      <c r="F3" s="5"/>
      <c r="G3" s="5"/>
      <c r="H3" s="5"/>
    </row>
    <row r="4" spans="1:8" ht="30.75" x14ac:dyDescent="0.25">
      <c r="A4" s="8" t="s">
        <v>17</v>
      </c>
      <c r="B4" s="9" t="s">
        <v>95</v>
      </c>
      <c r="C4" s="9" t="s">
        <v>96</v>
      </c>
      <c r="D4" s="9" t="s">
        <v>97</v>
      </c>
      <c r="E4" s="9" t="s">
        <v>98</v>
      </c>
      <c r="F4" s="9" t="s">
        <v>60</v>
      </c>
      <c r="G4" s="9" t="s">
        <v>87</v>
      </c>
      <c r="H4" s="9" t="s">
        <v>24</v>
      </c>
    </row>
    <row r="5" spans="1:8" ht="15.75" x14ac:dyDescent="0.25">
      <c r="A5" s="10" t="s">
        <v>190</v>
      </c>
      <c r="B5" s="11">
        <v>0.06</v>
      </c>
      <c r="C5" s="11">
        <v>7.0000000000000007E-2</v>
      </c>
      <c r="D5" s="11">
        <v>0.09</v>
      </c>
      <c r="E5" s="11">
        <v>0.18</v>
      </c>
      <c r="F5" s="11" t="s">
        <v>14</v>
      </c>
      <c r="G5" s="11" t="s">
        <v>14</v>
      </c>
      <c r="H5" s="11">
        <v>7.0000000000000007E-2</v>
      </c>
    </row>
    <row r="6" spans="1:8" ht="15.75" x14ac:dyDescent="0.25">
      <c r="A6" s="10" t="s">
        <v>191</v>
      </c>
      <c r="B6" s="11">
        <v>0.94</v>
      </c>
      <c r="C6" s="11">
        <v>0.93</v>
      </c>
      <c r="D6" s="11">
        <v>0.91</v>
      </c>
      <c r="E6" s="11">
        <v>0.82</v>
      </c>
      <c r="F6" s="11" t="s">
        <v>14</v>
      </c>
      <c r="G6" s="11" t="s">
        <v>14</v>
      </c>
      <c r="H6" s="11">
        <v>0.93</v>
      </c>
    </row>
    <row r="7" spans="1:8" ht="15.75" x14ac:dyDescent="0.25">
      <c r="A7" s="12" t="s">
        <v>31</v>
      </c>
      <c r="B7" s="13">
        <v>6510</v>
      </c>
      <c r="C7" s="13">
        <v>1810</v>
      </c>
      <c r="D7" s="13">
        <v>490</v>
      </c>
      <c r="E7" s="13">
        <v>210</v>
      </c>
      <c r="F7" s="13">
        <v>10</v>
      </c>
      <c r="G7" s="13">
        <v>10</v>
      </c>
      <c r="H7" s="13">
        <v>9030</v>
      </c>
    </row>
    <row r="8" spans="1:8" ht="15.75" x14ac:dyDescent="0.25">
      <c r="A8" s="14"/>
      <c r="B8" s="14"/>
      <c r="C8" s="14"/>
      <c r="D8" s="14"/>
      <c r="E8" s="14"/>
      <c r="F8" s="14"/>
      <c r="G8" s="14"/>
      <c r="H8" s="14"/>
    </row>
  </sheetData>
  <pageMargins left="0.7" right="0.7" top="0.75" bottom="0.75" header="0.3" footer="0.3"/>
  <pageSetup paperSize="9" orientation="portrait" horizontalDpi="300" verticalDpi="300"/>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8"/>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197</v>
      </c>
      <c r="B1" s="5"/>
      <c r="C1" s="5"/>
      <c r="D1" s="5"/>
      <c r="E1" s="5"/>
      <c r="F1" s="5"/>
      <c r="G1" s="5"/>
    </row>
    <row r="2" spans="1:7" ht="86.25" x14ac:dyDescent="0.3">
      <c r="A2" s="2" t="s">
        <v>189</v>
      </c>
      <c r="B2" s="5"/>
      <c r="C2" s="5"/>
      <c r="D2" s="5"/>
      <c r="E2" s="5"/>
      <c r="F2" s="5"/>
      <c r="G2" s="5"/>
    </row>
    <row r="3" spans="1:7" ht="69" x14ac:dyDescent="0.3">
      <c r="A3" s="2" t="s">
        <v>198</v>
      </c>
      <c r="B3" s="5"/>
      <c r="C3" s="5"/>
      <c r="D3" s="5"/>
      <c r="E3" s="5"/>
      <c r="F3" s="5"/>
      <c r="G3" s="5"/>
    </row>
    <row r="4" spans="1:7" ht="30.75" x14ac:dyDescent="0.25">
      <c r="A4" s="8" t="s">
        <v>17</v>
      </c>
      <c r="B4" s="9" t="s">
        <v>159</v>
      </c>
      <c r="C4" s="9" t="s">
        <v>160</v>
      </c>
      <c r="D4" s="9" t="s">
        <v>161</v>
      </c>
      <c r="E4" s="9" t="s">
        <v>162</v>
      </c>
      <c r="F4" s="9" t="s">
        <v>163</v>
      </c>
      <c r="G4" s="9" t="s">
        <v>24</v>
      </c>
    </row>
    <row r="5" spans="1:7" ht="15.75" x14ac:dyDescent="0.25">
      <c r="A5" s="10" t="s">
        <v>190</v>
      </c>
      <c r="B5" s="11">
        <v>7.0000000000000007E-2</v>
      </c>
      <c r="C5" s="11">
        <v>0.04</v>
      </c>
      <c r="D5" s="11">
        <v>0.06</v>
      </c>
      <c r="E5" s="11">
        <v>0.08</v>
      </c>
      <c r="F5" s="11">
        <v>0.13</v>
      </c>
      <c r="G5" s="11">
        <v>7.0000000000000007E-2</v>
      </c>
    </row>
    <row r="6" spans="1:7" ht="15.75" x14ac:dyDescent="0.25">
      <c r="A6" s="10" t="s">
        <v>191</v>
      </c>
      <c r="B6" s="11">
        <v>0.93</v>
      </c>
      <c r="C6" s="11">
        <v>0.96</v>
      </c>
      <c r="D6" s="11">
        <v>0.94</v>
      </c>
      <c r="E6" s="11">
        <v>0.92</v>
      </c>
      <c r="F6" s="11">
        <v>0.87</v>
      </c>
      <c r="G6" s="11">
        <v>0.93</v>
      </c>
    </row>
    <row r="7" spans="1:7" ht="15.75" x14ac:dyDescent="0.25">
      <c r="A7" s="12" t="s">
        <v>31</v>
      </c>
      <c r="B7" s="13">
        <v>4540</v>
      </c>
      <c r="C7" s="13">
        <v>2150</v>
      </c>
      <c r="D7" s="13">
        <v>1020</v>
      </c>
      <c r="E7" s="13">
        <v>1130</v>
      </c>
      <c r="F7" s="13">
        <v>190</v>
      </c>
      <c r="G7" s="13">
        <v>9030</v>
      </c>
    </row>
    <row r="8" spans="1:7" ht="15.75" x14ac:dyDescent="0.25">
      <c r="A8" s="14"/>
      <c r="B8" s="14"/>
      <c r="C8" s="14"/>
      <c r="D8" s="14"/>
      <c r="E8" s="14"/>
      <c r="F8" s="14"/>
      <c r="G8" s="14"/>
    </row>
  </sheetData>
  <pageMargins left="0.7" right="0.7" top="0.75" bottom="0.75" header="0.3" footer="0.3"/>
  <pageSetup paperSize="9" orientation="portrait" horizontalDpi="300" verticalDpi="300"/>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F8"/>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199</v>
      </c>
      <c r="B1" s="5"/>
      <c r="C1" s="5"/>
      <c r="D1" s="5"/>
      <c r="E1" s="5"/>
      <c r="F1" s="5"/>
    </row>
    <row r="2" spans="1:6" ht="86.25" x14ac:dyDescent="0.3">
      <c r="A2" s="2" t="s">
        <v>194</v>
      </c>
      <c r="B2" s="5"/>
      <c r="C2" s="5"/>
      <c r="D2" s="5"/>
      <c r="E2" s="5"/>
      <c r="F2" s="5"/>
    </row>
    <row r="3" spans="1:6" ht="34.5" x14ac:dyDescent="0.3">
      <c r="A3" s="2" t="s">
        <v>165</v>
      </c>
      <c r="B3" s="5"/>
      <c r="C3" s="5"/>
      <c r="D3" s="5"/>
      <c r="E3" s="5"/>
      <c r="F3" s="5"/>
    </row>
    <row r="4" spans="1:6" ht="15.75" x14ac:dyDescent="0.25">
      <c r="A4" s="8" t="s">
        <v>17</v>
      </c>
      <c r="B4" s="9" t="s">
        <v>166</v>
      </c>
      <c r="C4" s="9" t="s">
        <v>167</v>
      </c>
      <c r="D4" s="9" t="s">
        <v>60</v>
      </c>
      <c r="E4" s="9" t="s">
        <v>168</v>
      </c>
      <c r="F4" s="9" t="s">
        <v>24</v>
      </c>
    </row>
    <row r="5" spans="1:6" ht="15.75" x14ac:dyDescent="0.25">
      <c r="A5" s="10" t="s">
        <v>190</v>
      </c>
      <c r="B5" s="11">
        <v>0.11</v>
      </c>
      <c r="C5" s="11">
        <v>0.05</v>
      </c>
      <c r="D5" s="11" t="s">
        <v>14</v>
      </c>
      <c r="E5" s="11" t="s">
        <v>14</v>
      </c>
      <c r="F5" s="11">
        <v>7.0000000000000007E-2</v>
      </c>
    </row>
    <row r="6" spans="1:6" ht="15.75" x14ac:dyDescent="0.25">
      <c r="A6" s="10" t="s">
        <v>191</v>
      </c>
      <c r="B6" s="11">
        <v>0.89</v>
      </c>
      <c r="C6" s="11">
        <v>0.95</v>
      </c>
      <c r="D6" s="11" t="s">
        <v>14</v>
      </c>
      <c r="E6" s="11" t="s">
        <v>14</v>
      </c>
      <c r="F6" s="11">
        <v>0.93</v>
      </c>
    </row>
    <row r="7" spans="1:6" ht="15.75" x14ac:dyDescent="0.25">
      <c r="A7" s="12" t="s">
        <v>31</v>
      </c>
      <c r="B7" s="13">
        <v>2550</v>
      </c>
      <c r="C7" s="13">
        <v>6440</v>
      </c>
      <c r="D7" s="13">
        <v>30</v>
      </c>
      <c r="E7" s="13">
        <v>10</v>
      </c>
      <c r="F7" s="13">
        <v>9030</v>
      </c>
    </row>
    <row r="8" spans="1:6" ht="15.75" x14ac:dyDescent="0.25">
      <c r="A8" s="14"/>
      <c r="B8" s="14"/>
      <c r="C8" s="14"/>
      <c r="D8" s="14"/>
      <c r="E8" s="14"/>
      <c r="F8" s="14"/>
    </row>
  </sheetData>
  <pageMargins left="0.7" right="0.7" top="0.75" bottom="0.75" header="0.3" footer="0.3"/>
  <pageSetup paperSize="9" orientation="portrait" horizontalDpi="300" verticalDpi="300"/>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21"/>
  <sheetViews>
    <sheetView showGridLines="0" workbookViewId="0"/>
  </sheetViews>
  <sheetFormatPr defaultColWidth="11.42578125" defaultRowHeight="15" x14ac:dyDescent="0.25"/>
  <cols>
    <col min="1" max="1" width="70.7109375" customWidth="1"/>
    <col min="2" max="2" width="15.7109375" customWidth="1"/>
  </cols>
  <sheetData>
    <row r="1" spans="1:2" ht="19.5" x14ac:dyDescent="0.3">
      <c r="A1" s="1" t="s">
        <v>200</v>
      </c>
      <c r="B1" s="5"/>
    </row>
    <row r="2" spans="1:2" ht="34.5" x14ac:dyDescent="0.3">
      <c r="A2" s="2" t="s">
        <v>0</v>
      </c>
      <c r="B2" s="5"/>
    </row>
    <row r="3" spans="1:2" ht="86.25" x14ac:dyDescent="0.3">
      <c r="A3" s="2" t="s">
        <v>189</v>
      </c>
      <c r="B3" s="5"/>
    </row>
    <row r="4" spans="1:2" ht="15.75" x14ac:dyDescent="0.25">
      <c r="A4" s="8" t="s">
        <v>17</v>
      </c>
      <c r="B4" s="9" t="s">
        <v>172</v>
      </c>
    </row>
    <row r="5" spans="1:2" ht="15.75" x14ac:dyDescent="0.25">
      <c r="A5" s="10" t="s">
        <v>173</v>
      </c>
      <c r="B5" s="11">
        <v>0.04</v>
      </c>
    </row>
    <row r="6" spans="1:2" ht="15.75" x14ac:dyDescent="0.25">
      <c r="A6" s="10" t="s">
        <v>174</v>
      </c>
      <c r="B6" s="11">
        <v>0.2</v>
      </c>
    </row>
    <row r="7" spans="1:2" ht="15.75" x14ac:dyDescent="0.25">
      <c r="A7" s="10" t="s">
        <v>175</v>
      </c>
      <c r="B7" s="11">
        <v>0.04</v>
      </c>
    </row>
    <row r="8" spans="1:2" ht="15.75" x14ac:dyDescent="0.25">
      <c r="A8" s="10" t="s">
        <v>176</v>
      </c>
      <c r="B8" s="11">
        <v>0.02</v>
      </c>
    </row>
    <row r="9" spans="1:2" ht="15.75" x14ac:dyDescent="0.25">
      <c r="A9" s="10" t="s">
        <v>177</v>
      </c>
      <c r="B9" s="11">
        <v>0.12</v>
      </c>
    </row>
    <row r="10" spans="1:2" ht="15.75" x14ac:dyDescent="0.25">
      <c r="A10" s="10" t="s">
        <v>178</v>
      </c>
      <c r="B10" s="11">
        <v>0.12</v>
      </c>
    </row>
    <row r="11" spans="1:2" ht="15.75" x14ac:dyDescent="0.25">
      <c r="A11" s="10" t="s">
        <v>179</v>
      </c>
      <c r="B11" s="11">
        <v>0.08</v>
      </c>
    </row>
    <row r="12" spans="1:2" ht="15.75" x14ac:dyDescent="0.25">
      <c r="A12" s="10" t="s">
        <v>180</v>
      </c>
      <c r="B12" s="11">
        <v>0.03</v>
      </c>
    </row>
    <row r="13" spans="1:2" ht="15.75" x14ac:dyDescent="0.25">
      <c r="A13" s="10" t="s">
        <v>181</v>
      </c>
      <c r="B13" s="11">
        <v>0.05</v>
      </c>
    </row>
    <row r="14" spans="1:2" ht="15.75" x14ac:dyDescent="0.25">
      <c r="A14" s="10" t="s">
        <v>182</v>
      </c>
      <c r="B14" s="11">
        <v>0.02</v>
      </c>
    </row>
    <row r="15" spans="1:2" ht="15.75" x14ac:dyDescent="0.25">
      <c r="A15" s="10" t="s">
        <v>183</v>
      </c>
      <c r="B15" s="11">
        <v>0.06</v>
      </c>
    </row>
    <row r="16" spans="1:2" ht="15.75" x14ac:dyDescent="0.25">
      <c r="A16" s="10" t="s">
        <v>184</v>
      </c>
      <c r="B16" s="11">
        <v>0.05</v>
      </c>
    </row>
    <row r="17" spans="1:2" ht="15.75" x14ac:dyDescent="0.25">
      <c r="A17" s="10" t="s">
        <v>185</v>
      </c>
      <c r="B17" s="11">
        <v>0.08</v>
      </c>
    </row>
    <row r="18" spans="1:2" ht="15.75" x14ac:dyDescent="0.25">
      <c r="A18" s="10" t="s">
        <v>186</v>
      </c>
      <c r="B18" s="11">
        <v>7.0000000000000007E-2</v>
      </c>
    </row>
    <row r="19" spans="1:2" ht="15.75" x14ac:dyDescent="0.25">
      <c r="A19" s="10" t="s">
        <v>187</v>
      </c>
      <c r="B19" s="11">
        <v>0.33</v>
      </c>
    </row>
    <row r="20" spans="1:2" ht="15.75" x14ac:dyDescent="0.25">
      <c r="A20" s="12" t="s">
        <v>31</v>
      </c>
      <c r="B20" s="13">
        <v>480</v>
      </c>
    </row>
    <row r="21" spans="1:2" ht="15.75" x14ac:dyDescent="0.25">
      <c r="A21" s="14"/>
      <c r="B21" s="14"/>
    </row>
  </sheetData>
  <pageMargins left="0.7" right="0.7" top="0.75" bottom="0.75" header="0.3" footer="0.3"/>
  <pageSetup paperSize="9" orientation="portrait" horizontalDpi="300" verticalDpi="300"/>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9"/>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201</v>
      </c>
      <c r="B1" s="5"/>
      <c r="C1" s="5"/>
      <c r="D1" s="5"/>
      <c r="E1" s="5"/>
      <c r="F1" s="5"/>
    </row>
    <row r="2" spans="1:6" ht="45.75" x14ac:dyDescent="0.25">
      <c r="A2" s="8" t="s">
        <v>17</v>
      </c>
      <c r="B2" s="9" t="s">
        <v>84</v>
      </c>
      <c r="C2" s="9" t="s">
        <v>85</v>
      </c>
      <c r="D2" s="9" t="s">
        <v>86</v>
      </c>
      <c r="E2" s="9" t="s">
        <v>87</v>
      </c>
      <c r="F2" s="9" t="s">
        <v>24</v>
      </c>
    </row>
    <row r="3" spans="1:6" ht="15.75" x14ac:dyDescent="0.25">
      <c r="A3" s="10" t="s">
        <v>202</v>
      </c>
      <c r="B3" s="11">
        <v>0.93</v>
      </c>
      <c r="C3" s="11">
        <v>0.73</v>
      </c>
      <c r="D3" s="11" t="s">
        <v>14</v>
      </c>
      <c r="E3" s="11" t="s">
        <v>14</v>
      </c>
      <c r="F3" s="11">
        <v>0.82</v>
      </c>
    </row>
    <row r="4" spans="1:6" ht="15.75" x14ac:dyDescent="0.25">
      <c r="A4" s="10" t="s">
        <v>203</v>
      </c>
      <c r="B4" s="11">
        <v>0.06</v>
      </c>
      <c r="C4" s="11">
        <v>0.22</v>
      </c>
      <c r="D4" s="11" t="s">
        <v>14</v>
      </c>
      <c r="E4" s="11" t="s">
        <v>14</v>
      </c>
      <c r="F4" s="11">
        <v>0.14000000000000001</v>
      </c>
    </row>
    <row r="5" spans="1:6" ht="15.75" x14ac:dyDescent="0.25">
      <c r="A5" s="10" t="s">
        <v>204</v>
      </c>
      <c r="B5" s="11">
        <v>0</v>
      </c>
      <c r="C5" s="11">
        <v>0.01</v>
      </c>
      <c r="D5" s="11" t="s">
        <v>14</v>
      </c>
      <c r="E5" s="11" t="s">
        <v>14</v>
      </c>
      <c r="F5" s="11">
        <v>0.01</v>
      </c>
    </row>
    <row r="6" spans="1:6" ht="15.75" x14ac:dyDescent="0.25">
      <c r="A6" s="10" t="s">
        <v>205</v>
      </c>
      <c r="B6" s="11">
        <v>0.02</v>
      </c>
      <c r="C6" s="11">
        <v>0.05</v>
      </c>
      <c r="D6" s="11" t="s">
        <v>14</v>
      </c>
      <c r="E6" s="11" t="s">
        <v>14</v>
      </c>
      <c r="F6" s="11">
        <v>0.03</v>
      </c>
    </row>
    <row r="7" spans="1:6" ht="15.75" x14ac:dyDescent="0.25">
      <c r="A7" s="10" t="s">
        <v>24</v>
      </c>
      <c r="B7" s="11">
        <v>1</v>
      </c>
      <c r="C7" s="11">
        <v>1</v>
      </c>
      <c r="D7" s="11" t="s">
        <v>14</v>
      </c>
      <c r="E7" s="11" t="s">
        <v>14</v>
      </c>
      <c r="F7" s="11">
        <v>1</v>
      </c>
    </row>
    <row r="8" spans="1:6" ht="15.75" x14ac:dyDescent="0.25">
      <c r="A8" s="12" t="s">
        <v>31</v>
      </c>
      <c r="B8" s="13">
        <v>3880</v>
      </c>
      <c r="C8" s="13">
        <v>5120</v>
      </c>
      <c r="D8" s="13">
        <v>30</v>
      </c>
      <c r="E8" s="13">
        <v>0</v>
      </c>
      <c r="F8" s="13">
        <v>9030</v>
      </c>
    </row>
    <row r="9" spans="1:6" ht="15.75" x14ac:dyDescent="0.25">
      <c r="A9" s="14"/>
      <c r="B9" s="14"/>
      <c r="C9" s="14"/>
      <c r="D9" s="14"/>
      <c r="E9" s="14"/>
      <c r="F9" s="14"/>
    </row>
  </sheetData>
  <pageMargins left="0.7" right="0.7" top="0.75" bottom="0.75" header="0.3" footer="0.3"/>
  <pageSetup paperSize="9" orientation="portrait" horizontalDpi="300" verticalDpi="300"/>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E9"/>
  <sheetViews>
    <sheetView showGridLines="0" workbookViewId="0"/>
  </sheetViews>
  <sheetFormatPr defaultColWidth="11.42578125" defaultRowHeight="15" x14ac:dyDescent="0.25"/>
  <cols>
    <col min="1" max="1" width="70.7109375" customWidth="1"/>
    <col min="2" max="5" width="15.7109375" customWidth="1"/>
  </cols>
  <sheetData>
    <row r="1" spans="1:5" ht="19.5" x14ac:dyDescent="0.3">
      <c r="A1" s="1" t="s">
        <v>206</v>
      </c>
      <c r="B1" s="5"/>
      <c r="C1" s="5"/>
      <c r="D1" s="5"/>
      <c r="E1" s="5"/>
    </row>
    <row r="2" spans="1:5" ht="15.75" x14ac:dyDescent="0.25">
      <c r="A2" s="8" t="s">
        <v>17</v>
      </c>
      <c r="B2" s="9" t="s">
        <v>148</v>
      </c>
      <c r="C2" s="9" t="s">
        <v>149</v>
      </c>
      <c r="D2" s="9" t="s">
        <v>150</v>
      </c>
      <c r="E2" s="9" t="s">
        <v>24</v>
      </c>
    </row>
    <row r="3" spans="1:5" ht="15.75" x14ac:dyDescent="0.25">
      <c r="A3" s="10" t="s">
        <v>202</v>
      </c>
      <c r="B3" s="11">
        <v>0.83</v>
      </c>
      <c r="C3" s="11">
        <v>0.86</v>
      </c>
      <c r="D3" s="11">
        <v>0.77</v>
      </c>
      <c r="E3" s="11">
        <v>0.82</v>
      </c>
    </row>
    <row r="4" spans="1:5" ht="15.75" x14ac:dyDescent="0.25">
      <c r="A4" s="10" t="s">
        <v>203</v>
      </c>
      <c r="B4" s="11">
        <v>0.16</v>
      </c>
      <c r="C4" s="11">
        <v>0.12</v>
      </c>
      <c r="D4" s="11">
        <v>0.14000000000000001</v>
      </c>
      <c r="E4" s="11">
        <v>0.14000000000000001</v>
      </c>
    </row>
    <row r="5" spans="1:5" ht="15.75" x14ac:dyDescent="0.25">
      <c r="A5" s="10" t="s">
        <v>204</v>
      </c>
      <c r="B5" s="11">
        <v>0</v>
      </c>
      <c r="C5" s="11">
        <v>0</v>
      </c>
      <c r="D5" s="11">
        <v>0.01</v>
      </c>
      <c r="E5" s="11">
        <v>0.01</v>
      </c>
    </row>
    <row r="6" spans="1:5" ht="15.75" x14ac:dyDescent="0.25">
      <c r="A6" s="10" t="s">
        <v>205</v>
      </c>
      <c r="B6" s="11">
        <v>0.01</v>
      </c>
      <c r="C6" s="11">
        <v>0.02</v>
      </c>
      <c r="D6" s="11">
        <v>0.08</v>
      </c>
      <c r="E6" s="11">
        <v>0.03</v>
      </c>
    </row>
    <row r="7" spans="1:5" ht="15.75" x14ac:dyDescent="0.25">
      <c r="A7" s="10" t="s">
        <v>24</v>
      </c>
      <c r="B7" s="11">
        <v>1</v>
      </c>
      <c r="C7" s="11">
        <v>1</v>
      </c>
      <c r="D7" s="11">
        <v>1</v>
      </c>
      <c r="E7" s="11">
        <v>1</v>
      </c>
    </row>
    <row r="8" spans="1:5" ht="15.75" x14ac:dyDescent="0.25">
      <c r="A8" s="12" t="s">
        <v>31</v>
      </c>
      <c r="B8" s="13">
        <v>1310</v>
      </c>
      <c r="C8" s="13">
        <v>3210</v>
      </c>
      <c r="D8" s="13">
        <v>4520</v>
      </c>
      <c r="E8" s="13">
        <v>9030</v>
      </c>
    </row>
    <row r="9" spans="1:5" ht="15.75" x14ac:dyDescent="0.25">
      <c r="A9" s="14"/>
      <c r="B9" s="14"/>
      <c r="C9" s="14"/>
      <c r="D9" s="14"/>
      <c r="E9" s="14"/>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showGridLines="0" workbookViewId="0">
      <selection activeCell="A2" sqref="A2"/>
    </sheetView>
  </sheetViews>
  <sheetFormatPr defaultColWidth="11.42578125" defaultRowHeight="15" x14ac:dyDescent="0.25"/>
  <cols>
    <col min="1" max="1" width="70.7109375" customWidth="1"/>
    <col min="2" max="8" width="15.7109375" customWidth="1"/>
  </cols>
  <sheetData>
    <row r="1" spans="1:8" ht="19.5" x14ac:dyDescent="0.3">
      <c r="A1" s="1" t="s">
        <v>15</v>
      </c>
      <c r="B1" s="5"/>
      <c r="C1" s="5"/>
      <c r="D1" s="5"/>
      <c r="E1" s="5"/>
      <c r="F1" s="5"/>
      <c r="G1" s="5"/>
      <c r="H1" s="5"/>
    </row>
    <row r="2" spans="1:8" ht="103.5" x14ac:dyDescent="0.3">
      <c r="A2" s="2" t="s">
        <v>16</v>
      </c>
      <c r="B2" s="5"/>
      <c r="C2" s="5"/>
      <c r="D2" s="5"/>
      <c r="E2" s="5"/>
      <c r="F2" s="5"/>
      <c r="G2" s="5"/>
      <c r="H2" s="5"/>
    </row>
    <row r="3" spans="1:8" ht="30.75" x14ac:dyDescent="0.25">
      <c r="A3" s="8" t="s">
        <v>17</v>
      </c>
      <c r="B3" s="9" t="s">
        <v>18</v>
      </c>
      <c r="C3" s="9" t="s">
        <v>19</v>
      </c>
      <c r="D3" s="9" t="s">
        <v>20</v>
      </c>
      <c r="E3" s="9" t="s">
        <v>21</v>
      </c>
      <c r="F3" s="9" t="s">
        <v>22</v>
      </c>
      <c r="G3" s="9" t="s">
        <v>23</v>
      </c>
      <c r="H3" s="9" t="s">
        <v>24</v>
      </c>
    </row>
    <row r="4" spans="1:8" ht="15.75" x14ac:dyDescent="0.25">
      <c r="A4" s="10" t="s">
        <v>25</v>
      </c>
      <c r="B4" s="11">
        <v>0.95</v>
      </c>
      <c r="C4" s="11">
        <v>0.95</v>
      </c>
      <c r="D4" s="11">
        <v>0.97</v>
      </c>
      <c r="E4" s="11">
        <v>0.99</v>
      </c>
      <c r="F4" s="11">
        <v>0.98</v>
      </c>
      <c r="G4" s="11">
        <v>0.98</v>
      </c>
      <c r="H4" s="11">
        <v>0.96</v>
      </c>
    </row>
    <row r="5" spans="1:8" ht="15.75" x14ac:dyDescent="0.25">
      <c r="A5" s="10" t="s">
        <v>26</v>
      </c>
      <c r="B5" s="11">
        <v>0.53</v>
      </c>
      <c r="C5" s="11">
        <v>0.55000000000000004</v>
      </c>
      <c r="D5" s="11">
        <v>0.65</v>
      </c>
      <c r="E5" s="11">
        <v>0.57999999999999996</v>
      </c>
      <c r="F5" s="11">
        <v>0.71</v>
      </c>
      <c r="G5" s="11">
        <v>0.76</v>
      </c>
      <c r="H5" s="11">
        <v>0.57999999999999996</v>
      </c>
    </row>
    <row r="6" spans="1:8" ht="15.75" x14ac:dyDescent="0.25">
      <c r="A6" s="10" t="s">
        <v>27</v>
      </c>
      <c r="B6" s="11">
        <v>0.42</v>
      </c>
      <c r="C6" s="11">
        <v>0.4</v>
      </c>
      <c r="D6" s="11">
        <v>0.32</v>
      </c>
      <c r="E6" s="11">
        <v>0.41</v>
      </c>
      <c r="F6" s="11">
        <v>0.27</v>
      </c>
      <c r="G6" s="11">
        <v>0.22</v>
      </c>
      <c r="H6" s="11">
        <v>0.37</v>
      </c>
    </row>
    <row r="7" spans="1:8" ht="15.75" x14ac:dyDescent="0.25">
      <c r="A7" s="10" t="s">
        <v>28</v>
      </c>
      <c r="B7" s="11">
        <v>0.04</v>
      </c>
      <c r="C7" s="11">
        <v>0.04</v>
      </c>
      <c r="D7" s="11">
        <v>0.02</v>
      </c>
      <c r="E7" s="11">
        <v>0.01</v>
      </c>
      <c r="F7" s="11">
        <v>0.02</v>
      </c>
      <c r="G7" s="11">
        <v>0.01</v>
      </c>
      <c r="H7" s="11">
        <v>0.03</v>
      </c>
    </row>
    <row r="8" spans="1:8" ht="15.75" x14ac:dyDescent="0.25">
      <c r="A8" s="10" t="s">
        <v>29</v>
      </c>
      <c r="B8" s="11">
        <v>0.01</v>
      </c>
      <c r="C8" s="11">
        <v>0.01</v>
      </c>
      <c r="D8" s="11">
        <v>0.01</v>
      </c>
      <c r="E8" s="11">
        <v>0</v>
      </c>
      <c r="F8" s="11">
        <v>0</v>
      </c>
      <c r="G8" s="11">
        <v>0</v>
      </c>
      <c r="H8" s="11">
        <v>0.01</v>
      </c>
    </row>
    <row r="9" spans="1:8" ht="15.75" x14ac:dyDescent="0.25">
      <c r="A9" s="10" t="s">
        <v>30</v>
      </c>
      <c r="B9" s="11">
        <v>0</v>
      </c>
      <c r="C9" s="11">
        <v>0</v>
      </c>
      <c r="D9" s="11">
        <v>0</v>
      </c>
      <c r="E9" s="11">
        <v>0</v>
      </c>
      <c r="F9" s="11">
        <v>0</v>
      </c>
      <c r="G9" s="11">
        <v>0.01</v>
      </c>
      <c r="H9" s="11">
        <v>0</v>
      </c>
    </row>
    <row r="10" spans="1:8" ht="15.75" x14ac:dyDescent="0.25">
      <c r="A10" s="10" t="s">
        <v>24</v>
      </c>
      <c r="B10" s="11">
        <v>1</v>
      </c>
      <c r="C10" s="11">
        <v>1</v>
      </c>
      <c r="D10" s="11">
        <v>1</v>
      </c>
      <c r="E10" s="11">
        <v>1</v>
      </c>
      <c r="F10" s="11">
        <v>1</v>
      </c>
      <c r="G10" s="11">
        <v>1</v>
      </c>
      <c r="H10" s="11">
        <v>1</v>
      </c>
    </row>
    <row r="11" spans="1:8" ht="15.75" x14ac:dyDescent="0.25">
      <c r="A11" s="12" t="s">
        <v>31</v>
      </c>
      <c r="B11" s="13">
        <v>2950</v>
      </c>
      <c r="C11" s="13">
        <v>2670</v>
      </c>
      <c r="D11" s="13">
        <v>850</v>
      </c>
      <c r="E11" s="13">
        <v>370</v>
      </c>
      <c r="F11" s="13">
        <v>1210</v>
      </c>
      <c r="G11" s="13">
        <v>990</v>
      </c>
      <c r="H11" s="13">
        <v>9030</v>
      </c>
    </row>
    <row r="12" spans="1:8" ht="15.75" x14ac:dyDescent="0.25">
      <c r="A12" s="14"/>
      <c r="B12" s="14"/>
      <c r="C12" s="14"/>
      <c r="D12" s="14"/>
      <c r="E12" s="14"/>
      <c r="F12" s="14"/>
      <c r="G12" s="14"/>
      <c r="H12" s="14"/>
    </row>
  </sheetData>
  <pageMargins left="0.7" right="0.7" top="0.75" bottom="0.75" header="0.3" footer="0.3"/>
  <pageSetup paperSize="9" orientation="portrait" horizontalDpi="300" verticalDpi="300"/>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10"/>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207</v>
      </c>
      <c r="B1" s="5"/>
      <c r="C1" s="5"/>
      <c r="D1" s="5"/>
      <c r="E1" s="5"/>
      <c r="F1" s="5"/>
      <c r="G1" s="5"/>
    </row>
    <row r="2" spans="1:7" ht="120.75" x14ac:dyDescent="0.3">
      <c r="A2" s="2" t="s">
        <v>37</v>
      </c>
      <c r="B2" s="5"/>
      <c r="C2" s="5"/>
      <c r="D2" s="5"/>
      <c r="E2" s="5"/>
      <c r="F2" s="5"/>
      <c r="G2" s="5"/>
    </row>
    <row r="3" spans="1:7" ht="45.75" x14ac:dyDescent="0.25">
      <c r="A3" s="8" t="s">
        <v>17</v>
      </c>
      <c r="B3" s="9" t="s">
        <v>49</v>
      </c>
      <c r="C3" s="9" t="s">
        <v>50</v>
      </c>
      <c r="D3" s="9" t="s">
        <v>51</v>
      </c>
      <c r="E3" s="9" t="s">
        <v>52</v>
      </c>
      <c r="F3" s="9" t="s">
        <v>53</v>
      </c>
      <c r="G3" s="9" t="s">
        <v>24</v>
      </c>
    </row>
    <row r="4" spans="1:7" ht="15.75" x14ac:dyDescent="0.25">
      <c r="A4" s="10" t="s">
        <v>202</v>
      </c>
      <c r="B4" s="11">
        <v>0.67</v>
      </c>
      <c r="C4" s="11">
        <v>0.8</v>
      </c>
      <c r="D4" s="11">
        <v>0.85</v>
      </c>
      <c r="E4" s="11">
        <v>0.87</v>
      </c>
      <c r="F4" s="11">
        <v>0.9</v>
      </c>
      <c r="G4" s="11">
        <v>0.82</v>
      </c>
    </row>
    <row r="5" spans="1:7" ht="15.75" x14ac:dyDescent="0.25">
      <c r="A5" s="10" t="s">
        <v>203</v>
      </c>
      <c r="B5" s="11">
        <v>0.27</v>
      </c>
      <c r="C5" s="11">
        <v>0.16</v>
      </c>
      <c r="D5" s="11">
        <v>0.11</v>
      </c>
      <c r="E5" s="11">
        <v>0.09</v>
      </c>
      <c r="F5" s="11">
        <v>7.0000000000000007E-2</v>
      </c>
      <c r="G5" s="11">
        <v>0.14000000000000001</v>
      </c>
    </row>
    <row r="6" spans="1:7" ht="15.75" x14ac:dyDescent="0.25">
      <c r="A6" s="10" t="s">
        <v>204</v>
      </c>
      <c r="B6" s="11">
        <v>0.01</v>
      </c>
      <c r="C6" s="11">
        <v>0.01</v>
      </c>
      <c r="D6" s="11">
        <v>0</v>
      </c>
      <c r="E6" s="11">
        <v>0.01</v>
      </c>
      <c r="F6" s="11">
        <v>0</v>
      </c>
      <c r="G6" s="11">
        <v>0.01</v>
      </c>
    </row>
    <row r="7" spans="1:7" ht="15.75" x14ac:dyDescent="0.25">
      <c r="A7" s="10" t="s">
        <v>205</v>
      </c>
      <c r="B7" s="11">
        <v>0.04</v>
      </c>
      <c r="C7" s="11">
        <v>0.03</v>
      </c>
      <c r="D7" s="11">
        <v>0.04</v>
      </c>
      <c r="E7" s="11">
        <v>0.03</v>
      </c>
      <c r="F7" s="11">
        <v>0.02</v>
      </c>
      <c r="G7" s="11">
        <v>0.03</v>
      </c>
    </row>
    <row r="8" spans="1:7" ht="15.75" x14ac:dyDescent="0.25">
      <c r="A8" s="10" t="s">
        <v>24</v>
      </c>
      <c r="B8" s="11">
        <v>1</v>
      </c>
      <c r="C8" s="11">
        <v>1</v>
      </c>
      <c r="D8" s="11">
        <v>1</v>
      </c>
      <c r="E8" s="11">
        <v>1</v>
      </c>
      <c r="F8" s="11">
        <v>1</v>
      </c>
      <c r="G8" s="11">
        <v>1</v>
      </c>
    </row>
    <row r="9" spans="1:7" ht="15.75" x14ac:dyDescent="0.25">
      <c r="A9" s="12" t="s">
        <v>31</v>
      </c>
      <c r="B9" s="13">
        <v>1180</v>
      </c>
      <c r="C9" s="13">
        <v>1540</v>
      </c>
      <c r="D9" s="13">
        <v>1980</v>
      </c>
      <c r="E9" s="13">
        <v>2230</v>
      </c>
      <c r="F9" s="13">
        <v>2110</v>
      </c>
      <c r="G9" s="13">
        <v>9030</v>
      </c>
    </row>
    <row r="10" spans="1:7" ht="15.75" x14ac:dyDescent="0.25">
      <c r="A10" s="14"/>
      <c r="B10" s="14"/>
      <c r="C10" s="14"/>
      <c r="D10" s="14"/>
      <c r="E10" s="14"/>
      <c r="F10" s="14"/>
      <c r="G10" s="14"/>
    </row>
  </sheetData>
  <pageMargins left="0.7" right="0.7" top="0.75" bottom="0.75" header="0.3" footer="0.3"/>
  <pageSetup paperSize="9" orientation="portrait" horizontalDpi="300" verticalDpi="300"/>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F9"/>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208</v>
      </c>
      <c r="B1" s="5"/>
      <c r="C1" s="5"/>
      <c r="D1" s="5"/>
      <c r="E1" s="5"/>
      <c r="F1" s="5"/>
    </row>
    <row r="2" spans="1:6" ht="30.75" x14ac:dyDescent="0.25">
      <c r="A2" s="8" t="s">
        <v>17</v>
      </c>
      <c r="B2" s="9" t="s">
        <v>153</v>
      </c>
      <c r="C2" s="9" t="s">
        <v>154</v>
      </c>
      <c r="D2" s="9" t="s">
        <v>82</v>
      </c>
      <c r="E2" s="9" t="s">
        <v>155</v>
      </c>
      <c r="F2" s="9" t="s">
        <v>24</v>
      </c>
    </row>
    <row r="3" spans="1:6" ht="15.75" x14ac:dyDescent="0.25">
      <c r="A3" s="10" t="s">
        <v>202</v>
      </c>
      <c r="B3" s="11">
        <v>0.83</v>
      </c>
      <c r="C3" s="11">
        <v>0.79</v>
      </c>
      <c r="D3" s="11" t="s">
        <v>14</v>
      </c>
      <c r="E3" s="11">
        <v>0.85</v>
      </c>
      <c r="F3" s="11">
        <v>0.82</v>
      </c>
    </row>
    <row r="4" spans="1:6" ht="15.75" x14ac:dyDescent="0.25">
      <c r="A4" s="10" t="s">
        <v>203</v>
      </c>
      <c r="B4" s="11">
        <v>0.13</v>
      </c>
      <c r="C4" s="11">
        <v>0.2</v>
      </c>
      <c r="D4" s="11" t="s">
        <v>14</v>
      </c>
      <c r="E4" s="11">
        <v>0.08</v>
      </c>
      <c r="F4" s="11">
        <v>0.14000000000000001</v>
      </c>
    </row>
    <row r="5" spans="1:6" ht="15.75" x14ac:dyDescent="0.25">
      <c r="A5" s="10" t="s">
        <v>204</v>
      </c>
      <c r="B5" s="11">
        <v>0.01</v>
      </c>
      <c r="C5" s="11">
        <v>0</v>
      </c>
      <c r="D5" s="11" t="s">
        <v>14</v>
      </c>
      <c r="E5" s="11">
        <v>0</v>
      </c>
      <c r="F5" s="11">
        <v>0.01</v>
      </c>
    </row>
    <row r="6" spans="1:6" ht="15.75" x14ac:dyDescent="0.25">
      <c r="A6" s="10" t="s">
        <v>205</v>
      </c>
      <c r="B6" s="11">
        <v>0.03</v>
      </c>
      <c r="C6" s="11">
        <v>0</v>
      </c>
      <c r="D6" s="11" t="s">
        <v>14</v>
      </c>
      <c r="E6" s="11">
        <v>7.0000000000000007E-2</v>
      </c>
      <c r="F6" s="11">
        <v>0.03</v>
      </c>
    </row>
    <row r="7" spans="1:6" ht="15.75" x14ac:dyDescent="0.25">
      <c r="A7" s="10" t="s">
        <v>24</v>
      </c>
      <c r="B7" s="11">
        <v>1</v>
      </c>
      <c r="C7" s="11">
        <v>1</v>
      </c>
      <c r="D7" s="11" t="s">
        <v>14</v>
      </c>
      <c r="E7" s="11">
        <v>1</v>
      </c>
      <c r="F7" s="11">
        <v>1</v>
      </c>
    </row>
    <row r="8" spans="1:6" ht="15.75" x14ac:dyDescent="0.25">
      <c r="A8" s="12" t="s">
        <v>31</v>
      </c>
      <c r="B8" s="13">
        <v>8660</v>
      </c>
      <c r="C8" s="13">
        <v>280</v>
      </c>
      <c r="D8" s="13">
        <v>40</v>
      </c>
      <c r="E8" s="13">
        <v>60</v>
      </c>
      <c r="F8" s="13">
        <v>9030</v>
      </c>
    </row>
    <row r="9" spans="1:6" ht="15.75" x14ac:dyDescent="0.25">
      <c r="A9" s="14"/>
      <c r="B9" s="14"/>
      <c r="C9" s="14"/>
      <c r="D9" s="14"/>
      <c r="E9" s="14"/>
      <c r="F9" s="14"/>
    </row>
  </sheetData>
  <pageMargins left="0.7" right="0.7" top="0.75" bottom="0.75" header="0.3" footer="0.3"/>
  <pageSetup paperSize="9" orientation="portrait" horizontalDpi="300" verticalDpi="300"/>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H10"/>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209</v>
      </c>
      <c r="B1" s="5"/>
      <c r="C1" s="5"/>
      <c r="D1" s="5"/>
      <c r="E1" s="5"/>
      <c r="F1" s="5"/>
      <c r="G1" s="5"/>
      <c r="H1" s="5"/>
    </row>
    <row r="2" spans="1:8" ht="69" x14ac:dyDescent="0.3">
      <c r="A2" s="2" t="s">
        <v>94</v>
      </c>
      <c r="B2" s="5"/>
      <c r="C2" s="5"/>
      <c r="D2" s="5"/>
      <c r="E2" s="5"/>
      <c r="F2" s="5"/>
      <c r="G2" s="5"/>
      <c r="H2" s="5"/>
    </row>
    <row r="3" spans="1:8" ht="30.75" x14ac:dyDescent="0.25">
      <c r="A3" s="8" t="s">
        <v>17</v>
      </c>
      <c r="B3" s="9" t="s">
        <v>95</v>
      </c>
      <c r="C3" s="9" t="s">
        <v>96</v>
      </c>
      <c r="D3" s="9" t="s">
        <v>97</v>
      </c>
      <c r="E3" s="9" t="s">
        <v>98</v>
      </c>
      <c r="F3" s="9" t="s">
        <v>60</v>
      </c>
      <c r="G3" s="9" t="s">
        <v>87</v>
      </c>
      <c r="H3" s="9" t="s">
        <v>24</v>
      </c>
    </row>
    <row r="4" spans="1:8" ht="15.75" x14ac:dyDescent="0.25">
      <c r="A4" s="10" t="s">
        <v>202</v>
      </c>
      <c r="B4" s="11">
        <v>0.82</v>
      </c>
      <c r="C4" s="11">
        <v>0.86</v>
      </c>
      <c r="D4" s="11">
        <v>0.84</v>
      </c>
      <c r="E4" s="11">
        <v>0.74</v>
      </c>
      <c r="F4" s="11" t="s">
        <v>14</v>
      </c>
      <c r="G4" s="11" t="s">
        <v>14</v>
      </c>
      <c r="H4" s="11">
        <v>0.82</v>
      </c>
    </row>
    <row r="5" spans="1:8" ht="15.75" x14ac:dyDescent="0.25">
      <c r="A5" s="10" t="s">
        <v>203</v>
      </c>
      <c r="B5" s="11">
        <v>0.14000000000000001</v>
      </c>
      <c r="C5" s="11">
        <v>0.1</v>
      </c>
      <c r="D5" s="11">
        <v>0.14000000000000001</v>
      </c>
      <c r="E5" s="11">
        <v>0.24</v>
      </c>
      <c r="F5" s="11" t="s">
        <v>14</v>
      </c>
      <c r="G5" s="11" t="s">
        <v>14</v>
      </c>
      <c r="H5" s="11">
        <v>0.14000000000000001</v>
      </c>
    </row>
    <row r="6" spans="1:8" ht="15.75" x14ac:dyDescent="0.25">
      <c r="A6" s="10" t="s">
        <v>204</v>
      </c>
      <c r="B6" s="11">
        <v>0.01</v>
      </c>
      <c r="C6" s="11">
        <v>0</v>
      </c>
      <c r="D6" s="11">
        <v>0.01</v>
      </c>
      <c r="E6" s="11">
        <v>0</v>
      </c>
      <c r="F6" s="11" t="s">
        <v>14</v>
      </c>
      <c r="G6" s="11" t="s">
        <v>14</v>
      </c>
      <c r="H6" s="11">
        <v>0.01</v>
      </c>
    </row>
    <row r="7" spans="1:8" ht="15.75" x14ac:dyDescent="0.25">
      <c r="A7" s="10" t="s">
        <v>205</v>
      </c>
      <c r="B7" s="11">
        <v>0.04</v>
      </c>
      <c r="C7" s="11">
        <v>0.03</v>
      </c>
      <c r="D7" s="11">
        <v>0.01</v>
      </c>
      <c r="E7" s="11">
        <v>0.02</v>
      </c>
      <c r="F7" s="11" t="s">
        <v>14</v>
      </c>
      <c r="G7" s="11" t="s">
        <v>14</v>
      </c>
      <c r="H7" s="11">
        <v>0.03</v>
      </c>
    </row>
    <row r="8" spans="1:8" ht="15.75" x14ac:dyDescent="0.25">
      <c r="A8" s="10" t="s">
        <v>24</v>
      </c>
      <c r="B8" s="11">
        <v>1</v>
      </c>
      <c r="C8" s="11">
        <v>1</v>
      </c>
      <c r="D8" s="11">
        <v>1</v>
      </c>
      <c r="E8" s="11">
        <v>1</v>
      </c>
      <c r="F8" s="11" t="s">
        <v>14</v>
      </c>
      <c r="G8" s="11" t="s">
        <v>14</v>
      </c>
      <c r="H8" s="11">
        <v>1</v>
      </c>
    </row>
    <row r="9" spans="1:8" ht="15.75" x14ac:dyDescent="0.25">
      <c r="A9" s="12" t="s">
        <v>31</v>
      </c>
      <c r="B9" s="13">
        <v>6510</v>
      </c>
      <c r="C9" s="13">
        <v>1810</v>
      </c>
      <c r="D9" s="13">
        <v>490</v>
      </c>
      <c r="E9" s="13">
        <v>210</v>
      </c>
      <c r="F9" s="13">
        <v>10</v>
      </c>
      <c r="G9" s="13">
        <v>10</v>
      </c>
      <c r="H9" s="13">
        <v>9030</v>
      </c>
    </row>
    <row r="10" spans="1:8" ht="15.75" x14ac:dyDescent="0.25">
      <c r="A10" s="14"/>
      <c r="B10" s="14"/>
      <c r="C10" s="14"/>
      <c r="D10" s="14"/>
      <c r="E10" s="14"/>
      <c r="F10" s="14"/>
      <c r="G10" s="14"/>
      <c r="H10" s="14"/>
    </row>
  </sheetData>
  <pageMargins left="0.7" right="0.7" top="0.75" bottom="0.75" header="0.3" footer="0.3"/>
  <pageSetup paperSize="9" orientation="portrait" horizontalDpi="300" verticalDpi="300"/>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10"/>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210</v>
      </c>
      <c r="B1" s="5"/>
      <c r="C1" s="5"/>
      <c r="D1" s="5"/>
      <c r="E1" s="5"/>
      <c r="F1" s="5"/>
      <c r="G1" s="5"/>
    </row>
    <row r="2" spans="1:7" ht="69" x14ac:dyDescent="0.3">
      <c r="A2" s="2" t="s">
        <v>158</v>
      </c>
      <c r="B2" s="5"/>
      <c r="C2" s="5"/>
      <c r="D2" s="5"/>
      <c r="E2" s="5"/>
      <c r="F2" s="5"/>
      <c r="G2" s="5"/>
    </row>
    <row r="3" spans="1:7" ht="30.75" x14ac:dyDescent="0.25">
      <c r="A3" s="8" t="s">
        <v>17</v>
      </c>
      <c r="B3" s="9" t="s">
        <v>159</v>
      </c>
      <c r="C3" s="9" t="s">
        <v>160</v>
      </c>
      <c r="D3" s="9" t="s">
        <v>161</v>
      </c>
      <c r="E3" s="9" t="s">
        <v>162</v>
      </c>
      <c r="F3" s="9" t="s">
        <v>163</v>
      </c>
      <c r="G3" s="9" t="s">
        <v>24</v>
      </c>
    </row>
    <row r="4" spans="1:7" ht="15.75" x14ac:dyDescent="0.25">
      <c r="A4" s="10" t="s">
        <v>202</v>
      </c>
      <c r="B4" s="11">
        <v>0.85</v>
      </c>
      <c r="C4" s="11">
        <v>0.77</v>
      </c>
      <c r="D4" s="11">
        <v>0.78</v>
      </c>
      <c r="E4" s="11">
        <v>0.81</v>
      </c>
      <c r="F4" s="11">
        <v>0.74</v>
      </c>
      <c r="G4" s="11">
        <v>0.82</v>
      </c>
    </row>
    <row r="5" spans="1:7" ht="15.75" x14ac:dyDescent="0.25">
      <c r="A5" s="10" t="s">
        <v>203</v>
      </c>
      <c r="B5" s="11">
        <v>0.12</v>
      </c>
      <c r="C5" s="11">
        <v>0.16</v>
      </c>
      <c r="D5" s="11">
        <v>0.19</v>
      </c>
      <c r="E5" s="11">
        <v>0.15</v>
      </c>
      <c r="F5" s="11">
        <v>0.22</v>
      </c>
      <c r="G5" s="11">
        <v>0.14000000000000001</v>
      </c>
    </row>
    <row r="6" spans="1:7" ht="15.75" x14ac:dyDescent="0.25">
      <c r="A6" s="10" t="s">
        <v>204</v>
      </c>
      <c r="B6" s="11">
        <v>0</v>
      </c>
      <c r="C6" s="11">
        <v>0.01</v>
      </c>
      <c r="D6" s="11">
        <v>0.01</v>
      </c>
      <c r="E6" s="11">
        <v>0</v>
      </c>
      <c r="F6" s="11">
        <v>0</v>
      </c>
      <c r="G6" s="11">
        <v>0.01</v>
      </c>
    </row>
    <row r="7" spans="1:7" ht="15.75" x14ac:dyDescent="0.25">
      <c r="A7" s="10" t="s">
        <v>205</v>
      </c>
      <c r="B7" s="11">
        <v>0.03</v>
      </c>
      <c r="C7" s="11">
        <v>0.06</v>
      </c>
      <c r="D7" s="11">
        <v>0.03</v>
      </c>
      <c r="E7" s="11">
        <v>0.03</v>
      </c>
      <c r="F7" s="11">
        <v>0.03</v>
      </c>
      <c r="G7" s="11">
        <v>0.03</v>
      </c>
    </row>
    <row r="8" spans="1:7" ht="15.75" x14ac:dyDescent="0.25">
      <c r="A8" s="10" t="s">
        <v>24</v>
      </c>
      <c r="B8" s="11">
        <v>1</v>
      </c>
      <c r="C8" s="11">
        <v>1</v>
      </c>
      <c r="D8" s="11">
        <v>1</v>
      </c>
      <c r="E8" s="11">
        <v>1</v>
      </c>
      <c r="F8" s="11">
        <v>1</v>
      </c>
      <c r="G8" s="11">
        <v>1</v>
      </c>
    </row>
    <row r="9" spans="1:7" ht="15.75" x14ac:dyDescent="0.25">
      <c r="A9" s="12" t="s">
        <v>31</v>
      </c>
      <c r="B9" s="13">
        <v>4540</v>
      </c>
      <c r="C9" s="13">
        <v>2150</v>
      </c>
      <c r="D9" s="13">
        <v>1020</v>
      </c>
      <c r="E9" s="13">
        <v>1130</v>
      </c>
      <c r="F9" s="13">
        <v>190</v>
      </c>
      <c r="G9" s="13">
        <v>9030</v>
      </c>
    </row>
    <row r="10" spans="1:7" ht="15.75" x14ac:dyDescent="0.25">
      <c r="A10" s="14"/>
      <c r="B10" s="14"/>
      <c r="C10" s="14"/>
      <c r="D10" s="14"/>
      <c r="E10" s="14"/>
      <c r="F10" s="14"/>
      <c r="G10" s="14"/>
    </row>
  </sheetData>
  <pageMargins left="0.7" right="0.7" top="0.75" bottom="0.75" header="0.3" footer="0.3"/>
  <pageSetup paperSize="9" orientation="portrait" horizontalDpi="300" verticalDpi="300"/>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F10"/>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211</v>
      </c>
      <c r="B1" s="5"/>
      <c r="C1" s="5"/>
      <c r="D1" s="5"/>
      <c r="E1" s="5"/>
      <c r="F1" s="5"/>
    </row>
    <row r="2" spans="1:6" ht="34.5" x14ac:dyDescent="0.3">
      <c r="A2" s="2" t="s">
        <v>165</v>
      </c>
      <c r="B2" s="5"/>
      <c r="C2" s="5"/>
      <c r="D2" s="5"/>
      <c r="E2" s="5"/>
      <c r="F2" s="5"/>
    </row>
    <row r="3" spans="1:6" ht="15.75" x14ac:dyDescent="0.25">
      <c r="A3" s="8" t="s">
        <v>17</v>
      </c>
      <c r="B3" s="9" t="s">
        <v>166</v>
      </c>
      <c r="C3" s="9" t="s">
        <v>167</v>
      </c>
      <c r="D3" s="9" t="s">
        <v>60</v>
      </c>
      <c r="E3" s="9" t="s">
        <v>168</v>
      </c>
      <c r="F3" s="9" t="s">
        <v>24</v>
      </c>
    </row>
    <row r="4" spans="1:6" ht="15.75" x14ac:dyDescent="0.25">
      <c r="A4" s="10" t="s">
        <v>202</v>
      </c>
      <c r="B4" s="11">
        <v>0.69</v>
      </c>
      <c r="C4" s="11">
        <v>0.87</v>
      </c>
      <c r="D4" s="11" t="s">
        <v>14</v>
      </c>
      <c r="E4" s="11" t="s">
        <v>14</v>
      </c>
      <c r="F4" s="11">
        <v>0.82</v>
      </c>
    </row>
    <row r="5" spans="1:6" ht="15.75" x14ac:dyDescent="0.25">
      <c r="A5" s="10" t="s">
        <v>203</v>
      </c>
      <c r="B5" s="11">
        <v>0.21</v>
      </c>
      <c r="C5" s="11">
        <v>0.11</v>
      </c>
      <c r="D5" s="11" t="s">
        <v>14</v>
      </c>
      <c r="E5" s="11" t="s">
        <v>14</v>
      </c>
      <c r="F5" s="11">
        <v>0.14000000000000001</v>
      </c>
    </row>
    <row r="6" spans="1:6" ht="15.75" x14ac:dyDescent="0.25">
      <c r="A6" s="10" t="s">
        <v>204</v>
      </c>
      <c r="B6" s="11">
        <v>0.01</v>
      </c>
      <c r="C6" s="11">
        <v>0</v>
      </c>
      <c r="D6" s="11" t="s">
        <v>14</v>
      </c>
      <c r="E6" s="11" t="s">
        <v>14</v>
      </c>
      <c r="F6" s="11">
        <v>0.01</v>
      </c>
    </row>
    <row r="7" spans="1:6" ht="15.75" x14ac:dyDescent="0.25">
      <c r="A7" s="10" t="s">
        <v>205</v>
      </c>
      <c r="B7" s="11">
        <v>0.09</v>
      </c>
      <c r="C7" s="11">
        <v>0.01</v>
      </c>
      <c r="D7" s="11" t="s">
        <v>14</v>
      </c>
      <c r="E7" s="11" t="s">
        <v>14</v>
      </c>
      <c r="F7" s="11">
        <v>0.03</v>
      </c>
    </row>
    <row r="8" spans="1:6" ht="15.75" x14ac:dyDescent="0.25">
      <c r="A8" s="10" t="s">
        <v>24</v>
      </c>
      <c r="B8" s="11">
        <v>1</v>
      </c>
      <c r="C8" s="11">
        <v>1</v>
      </c>
      <c r="D8" s="11" t="s">
        <v>14</v>
      </c>
      <c r="E8" s="11" t="s">
        <v>14</v>
      </c>
      <c r="F8" s="11">
        <v>1</v>
      </c>
    </row>
    <row r="9" spans="1:6" ht="15.75" x14ac:dyDescent="0.25">
      <c r="A9" s="12" t="s">
        <v>31</v>
      </c>
      <c r="B9" s="13">
        <v>2550</v>
      </c>
      <c r="C9" s="13">
        <v>6440</v>
      </c>
      <c r="D9" s="13">
        <v>30</v>
      </c>
      <c r="E9" s="13">
        <v>10</v>
      </c>
      <c r="F9" s="13">
        <v>9030</v>
      </c>
    </row>
    <row r="10" spans="1:6" ht="15.75" x14ac:dyDescent="0.25">
      <c r="A10" s="14"/>
      <c r="B10" s="14"/>
      <c r="C10" s="14"/>
      <c r="D10" s="14"/>
      <c r="E10" s="14"/>
      <c r="F10" s="14"/>
    </row>
  </sheetData>
  <pageMargins left="0.7" right="0.7" top="0.75" bottom="0.75" header="0.3" footer="0.3"/>
  <pageSetup paperSize="9" orientation="portrait" horizontalDpi="300" verticalDpi="300"/>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9"/>
  <sheetViews>
    <sheetView showGridLines="0" workbookViewId="0"/>
  </sheetViews>
  <sheetFormatPr defaultColWidth="11.42578125" defaultRowHeight="15" x14ac:dyDescent="0.25"/>
  <cols>
    <col min="1" max="1" width="70.7109375" customWidth="1"/>
    <col min="2" max="4" width="15.7109375" customWidth="1"/>
  </cols>
  <sheetData>
    <row r="1" spans="1:4" ht="19.5" x14ac:dyDescent="0.3">
      <c r="A1" s="1" t="s">
        <v>212</v>
      </c>
      <c r="B1" s="5"/>
      <c r="C1" s="5"/>
      <c r="D1" s="5"/>
    </row>
    <row r="2" spans="1:4" ht="15.75" x14ac:dyDescent="0.25">
      <c r="A2" s="8" t="s">
        <v>17</v>
      </c>
      <c r="B2" s="9" t="s">
        <v>213</v>
      </c>
      <c r="C2" s="9" t="s">
        <v>214</v>
      </c>
      <c r="D2" s="9" t="s">
        <v>24</v>
      </c>
    </row>
    <row r="3" spans="1:4" ht="15.75" x14ac:dyDescent="0.25">
      <c r="A3" s="10" t="s">
        <v>202</v>
      </c>
      <c r="B3" s="11">
        <v>0.72</v>
      </c>
      <c r="C3" s="11">
        <v>0.83</v>
      </c>
      <c r="D3" s="11">
        <v>0.82</v>
      </c>
    </row>
    <row r="4" spans="1:4" ht="15.75" x14ac:dyDescent="0.25">
      <c r="A4" s="10" t="s">
        <v>203</v>
      </c>
      <c r="B4" s="11">
        <v>0.26</v>
      </c>
      <c r="C4" s="11">
        <v>0.13</v>
      </c>
      <c r="D4" s="11">
        <v>0.14000000000000001</v>
      </c>
    </row>
    <row r="5" spans="1:4" ht="15.75" x14ac:dyDescent="0.25">
      <c r="A5" s="10" t="s">
        <v>204</v>
      </c>
      <c r="B5" s="11">
        <v>0</v>
      </c>
      <c r="C5" s="11">
        <v>0.01</v>
      </c>
      <c r="D5" s="11">
        <v>0.01</v>
      </c>
    </row>
    <row r="6" spans="1:4" ht="15.75" x14ac:dyDescent="0.25">
      <c r="A6" s="10" t="s">
        <v>205</v>
      </c>
      <c r="B6" s="11">
        <v>0.01</v>
      </c>
      <c r="C6" s="11">
        <v>0.03</v>
      </c>
      <c r="D6" s="11">
        <v>0.03</v>
      </c>
    </row>
    <row r="7" spans="1:4" ht="15.75" x14ac:dyDescent="0.25">
      <c r="A7" s="10" t="s">
        <v>24</v>
      </c>
      <c r="B7" s="11">
        <v>1</v>
      </c>
      <c r="C7" s="11">
        <v>1</v>
      </c>
      <c r="D7" s="11">
        <v>1</v>
      </c>
    </row>
    <row r="8" spans="1:4" ht="15.75" x14ac:dyDescent="0.25">
      <c r="A8" s="12" t="s">
        <v>31</v>
      </c>
      <c r="B8" s="13">
        <v>670</v>
      </c>
      <c r="C8" s="13">
        <v>8370</v>
      </c>
      <c r="D8" s="13">
        <v>9030</v>
      </c>
    </row>
    <row r="9" spans="1:4" ht="15.75" x14ac:dyDescent="0.25">
      <c r="A9" s="14"/>
      <c r="B9" s="14"/>
      <c r="C9" s="14"/>
      <c r="D9" s="14"/>
    </row>
  </sheetData>
  <pageMargins left="0.7" right="0.7" top="0.75" bottom="0.75" header="0.3" footer="0.3"/>
  <pageSetup paperSize="9" orientation="portrait" horizontalDpi="300" verticalDpi="300"/>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F9"/>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215</v>
      </c>
      <c r="B1" s="5"/>
      <c r="C1" s="5"/>
      <c r="D1" s="5"/>
      <c r="E1" s="5"/>
      <c r="F1" s="5"/>
    </row>
    <row r="2" spans="1:6" ht="30.75" x14ac:dyDescent="0.25">
      <c r="A2" s="8" t="s">
        <v>17</v>
      </c>
      <c r="B2" s="9" t="s">
        <v>216</v>
      </c>
      <c r="C2" s="9" t="s">
        <v>28</v>
      </c>
      <c r="D2" s="9" t="s">
        <v>29</v>
      </c>
      <c r="E2" s="9" t="s">
        <v>30</v>
      </c>
      <c r="F2" s="9" t="s">
        <v>24</v>
      </c>
    </row>
    <row r="3" spans="1:6" ht="15.75" x14ac:dyDescent="0.25">
      <c r="A3" s="10" t="s">
        <v>202</v>
      </c>
      <c r="B3" s="11">
        <v>0.84</v>
      </c>
      <c r="C3" s="11">
        <v>0.48</v>
      </c>
      <c r="D3" s="11">
        <v>0.34</v>
      </c>
      <c r="E3" s="11" t="s">
        <v>14</v>
      </c>
      <c r="F3" s="11">
        <v>0.82</v>
      </c>
    </row>
    <row r="4" spans="1:6" ht="15.75" x14ac:dyDescent="0.25">
      <c r="A4" s="10" t="s">
        <v>203</v>
      </c>
      <c r="B4" s="11">
        <v>0.12</v>
      </c>
      <c r="C4" s="11">
        <v>0.45</v>
      </c>
      <c r="D4" s="11">
        <v>0.64</v>
      </c>
      <c r="E4" s="11" t="s">
        <v>14</v>
      </c>
      <c r="F4" s="11">
        <v>0.14000000000000001</v>
      </c>
    </row>
    <row r="5" spans="1:6" ht="15.75" x14ac:dyDescent="0.25">
      <c r="A5" s="10" t="s">
        <v>204</v>
      </c>
      <c r="B5" s="11">
        <v>0.01</v>
      </c>
      <c r="C5" s="11">
        <v>0</v>
      </c>
      <c r="D5" s="11">
        <v>0</v>
      </c>
      <c r="E5" s="11" t="s">
        <v>14</v>
      </c>
      <c r="F5" s="11">
        <v>0.01</v>
      </c>
    </row>
    <row r="6" spans="1:6" ht="15.75" x14ac:dyDescent="0.25">
      <c r="A6" s="10" t="s">
        <v>205</v>
      </c>
      <c r="B6" s="11">
        <v>0.03</v>
      </c>
      <c r="C6" s="11">
        <v>7.0000000000000007E-2</v>
      </c>
      <c r="D6" s="11">
        <v>0.02</v>
      </c>
      <c r="E6" s="11" t="s">
        <v>14</v>
      </c>
      <c r="F6" s="11">
        <v>0.03</v>
      </c>
    </row>
    <row r="7" spans="1:6" ht="15.75" x14ac:dyDescent="0.25">
      <c r="A7" s="10" t="s">
        <v>24</v>
      </c>
      <c r="B7" s="11">
        <v>1</v>
      </c>
      <c r="C7" s="11">
        <v>1</v>
      </c>
      <c r="D7" s="11">
        <v>1</v>
      </c>
      <c r="E7" s="11" t="s">
        <v>14</v>
      </c>
      <c r="F7" s="11">
        <v>1</v>
      </c>
    </row>
    <row r="8" spans="1:6" ht="15.75" x14ac:dyDescent="0.25">
      <c r="A8" s="12" t="s">
        <v>31</v>
      </c>
      <c r="B8" s="13">
        <v>8710</v>
      </c>
      <c r="C8" s="13">
        <v>250</v>
      </c>
      <c r="D8" s="13">
        <v>60</v>
      </c>
      <c r="E8" s="13">
        <v>10</v>
      </c>
      <c r="F8" s="13">
        <v>9030</v>
      </c>
    </row>
    <row r="9" spans="1:6" ht="15.75" x14ac:dyDescent="0.25">
      <c r="A9" s="14"/>
      <c r="B9" s="14"/>
      <c r="C9" s="14"/>
      <c r="D9" s="14"/>
      <c r="E9" s="14"/>
      <c r="F9" s="14"/>
    </row>
  </sheetData>
  <pageMargins left="0.7" right="0.7" top="0.75" bottom="0.75" header="0.3" footer="0.3"/>
  <pageSetup paperSize="9" orientation="portrait" horizontalDpi="300" verticalDpi="300"/>
  <tableParts count="1">
    <tablePart r:id="rId1"/>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F9"/>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217</v>
      </c>
      <c r="B1" s="5"/>
      <c r="C1" s="5"/>
      <c r="D1" s="5"/>
      <c r="E1" s="5"/>
      <c r="F1" s="5"/>
    </row>
    <row r="2" spans="1:6" ht="45.75" x14ac:dyDescent="0.25">
      <c r="A2" s="8" t="s">
        <v>17</v>
      </c>
      <c r="B2" s="9" t="s">
        <v>84</v>
      </c>
      <c r="C2" s="9" t="s">
        <v>85</v>
      </c>
      <c r="D2" s="9" t="s">
        <v>86</v>
      </c>
      <c r="E2" s="9" t="s">
        <v>87</v>
      </c>
      <c r="F2" s="9" t="s">
        <v>24</v>
      </c>
    </row>
    <row r="3" spans="1:6" ht="15.75" x14ac:dyDescent="0.25">
      <c r="A3" s="10" t="s">
        <v>202</v>
      </c>
      <c r="B3" s="11">
        <v>0.99</v>
      </c>
      <c r="C3" s="11">
        <v>0.98</v>
      </c>
      <c r="D3" s="11" t="s">
        <v>14</v>
      </c>
      <c r="E3" s="11" t="s">
        <v>14</v>
      </c>
      <c r="F3" s="11">
        <v>0.98</v>
      </c>
    </row>
    <row r="4" spans="1:6" ht="15.75" x14ac:dyDescent="0.25">
      <c r="A4" s="10" t="s">
        <v>203</v>
      </c>
      <c r="B4" s="11">
        <v>0.01</v>
      </c>
      <c r="C4" s="11">
        <v>0.02</v>
      </c>
      <c r="D4" s="11" t="s">
        <v>14</v>
      </c>
      <c r="E4" s="11" t="s">
        <v>14</v>
      </c>
      <c r="F4" s="11">
        <v>0.02</v>
      </c>
    </row>
    <row r="5" spans="1:6" ht="15.75" x14ac:dyDescent="0.25">
      <c r="A5" s="10" t="s">
        <v>204</v>
      </c>
      <c r="B5" s="11">
        <v>0</v>
      </c>
      <c r="C5" s="11">
        <v>0</v>
      </c>
      <c r="D5" s="11" t="s">
        <v>14</v>
      </c>
      <c r="E5" s="11" t="s">
        <v>14</v>
      </c>
      <c r="F5" s="11">
        <v>0</v>
      </c>
    </row>
    <row r="6" spans="1:6" ht="15.75" x14ac:dyDescent="0.25">
      <c r="A6" s="10" t="s">
        <v>205</v>
      </c>
      <c r="B6" s="11">
        <v>0</v>
      </c>
      <c r="C6" s="11">
        <v>0</v>
      </c>
      <c r="D6" s="11" t="s">
        <v>14</v>
      </c>
      <c r="E6" s="11" t="s">
        <v>14</v>
      </c>
      <c r="F6" s="11">
        <v>0</v>
      </c>
    </row>
    <row r="7" spans="1:6" ht="15.75" x14ac:dyDescent="0.25">
      <c r="A7" s="10" t="s">
        <v>24</v>
      </c>
      <c r="B7" s="11">
        <v>1</v>
      </c>
      <c r="C7" s="11">
        <v>1</v>
      </c>
      <c r="D7" s="11" t="s">
        <v>14</v>
      </c>
      <c r="E7" s="11" t="s">
        <v>14</v>
      </c>
      <c r="F7" s="11">
        <v>1</v>
      </c>
    </row>
    <row r="8" spans="1:6" ht="15.75" x14ac:dyDescent="0.25">
      <c r="A8" s="12" t="s">
        <v>31</v>
      </c>
      <c r="B8" s="13">
        <v>3880</v>
      </c>
      <c r="C8" s="13">
        <v>5120</v>
      </c>
      <c r="D8" s="13">
        <v>30</v>
      </c>
      <c r="E8" s="13">
        <v>0</v>
      </c>
      <c r="F8" s="13">
        <v>9030</v>
      </c>
    </row>
    <row r="9" spans="1:6" ht="15.75" x14ac:dyDescent="0.25">
      <c r="A9" s="14"/>
      <c r="B9" s="14"/>
      <c r="C9" s="14"/>
      <c r="D9" s="14"/>
      <c r="E9" s="14"/>
      <c r="F9" s="14"/>
    </row>
  </sheetData>
  <pageMargins left="0.7" right="0.7" top="0.75" bottom="0.75" header="0.3" footer="0.3"/>
  <pageSetup paperSize="9" orientation="portrait" horizontalDpi="300" verticalDpi="300"/>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E9"/>
  <sheetViews>
    <sheetView showGridLines="0" workbookViewId="0"/>
  </sheetViews>
  <sheetFormatPr defaultColWidth="11.42578125" defaultRowHeight="15" x14ac:dyDescent="0.25"/>
  <cols>
    <col min="1" max="1" width="70.7109375" customWidth="1"/>
    <col min="2" max="5" width="15.7109375" customWidth="1"/>
  </cols>
  <sheetData>
    <row r="1" spans="1:5" ht="19.5" x14ac:dyDescent="0.3">
      <c r="A1" s="1" t="s">
        <v>218</v>
      </c>
      <c r="B1" s="5"/>
      <c r="C1" s="5"/>
      <c r="D1" s="5"/>
      <c r="E1" s="5"/>
    </row>
    <row r="2" spans="1:5" ht="15.75" x14ac:dyDescent="0.25">
      <c r="A2" s="8" t="s">
        <v>17</v>
      </c>
      <c r="B2" s="9" t="s">
        <v>148</v>
      </c>
      <c r="C2" s="9" t="s">
        <v>149</v>
      </c>
      <c r="D2" s="9" t="s">
        <v>150</v>
      </c>
      <c r="E2" s="9" t="s">
        <v>24</v>
      </c>
    </row>
    <row r="3" spans="1:5" ht="15.75" x14ac:dyDescent="0.25">
      <c r="A3" s="10" t="s">
        <v>202</v>
      </c>
      <c r="B3" s="11">
        <v>0.98</v>
      </c>
      <c r="C3" s="11">
        <v>0.98</v>
      </c>
      <c r="D3" s="11">
        <v>0.99</v>
      </c>
      <c r="E3" s="11">
        <v>0.98</v>
      </c>
    </row>
    <row r="4" spans="1:5" ht="15.75" x14ac:dyDescent="0.25">
      <c r="A4" s="10" t="s">
        <v>203</v>
      </c>
      <c r="B4" s="11">
        <v>0.02</v>
      </c>
      <c r="C4" s="11">
        <v>0.02</v>
      </c>
      <c r="D4" s="11">
        <v>0.01</v>
      </c>
      <c r="E4" s="11">
        <v>0.02</v>
      </c>
    </row>
    <row r="5" spans="1:5" ht="15.75" x14ac:dyDescent="0.25">
      <c r="A5" s="10" t="s">
        <v>204</v>
      </c>
      <c r="B5" s="11">
        <v>0</v>
      </c>
      <c r="C5" s="11">
        <v>0</v>
      </c>
      <c r="D5" s="11">
        <v>0</v>
      </c>
      <c r="E5" s="11">
        <v>0</v>
      </c>
    </row>
    <row r="6" spans="1:5" ht="15.75" x14ac:dyDescent="0.25">
      <c r="A6" s="10" t="s">
        <v>205</v>
      </c>
      <c r="B6" s="11">
        <v>0</v>
      </c>
      <c r="C6" s="11">
        <v>0</v>
      </c>
      <c r="D6" s="11">
        <v>0</v>
      </c>
      <c r="E6" s="11">
        <v>0</v>
      </c>
    </row>
    <row r="7" spans="1:5" ht="15.75" x14ac:dyDescent="0.25">
      <c r="A7" s="10" t="s">
        <v>24</v>
      </c>
      <c r="B7" s="11">
        <v>1</v>
      </c>
      <c r="C7" s="11">
        <v>1</v>
      </c>
      <c r="D7" s="11">
        <v>1</v>
      </c>
      <c r="E7" s="11">
        <v>1</v>
      </c>
    </row>
    <row r="8" spans="1:5" ht="15.75" x14ac:dyDescent="0.25">
      <c r="A8" s="12" t="s">
        <v>31</v>
      </c>
      <c r="B8" s="13">
        <v>1310</v>
      </c>
      <c r="C8" s="13">
        <v>3210</v>
      </c>
      <c r="D8" s="13">
        <v>4520</v>
      </c>
      <c r="E8" s="13">
        <v>9030</v>
      </c>
    </row>
    <row r="9" spans="1:5" ht="15.75" x14ac:dyDescent="0.25">
      <c r="A9" s="14"/>
      <c r="B9" s="14"/>
      <c r="C9" s="14"/>
      <c r="D9" s="14"/>
      <c r="E9" s="14"/>
    </row>
  </sheetData>
  <pageMargins left="0.7" right="0.7" top="0.75" bottom="0.75" header="0.3" footer="0.3"/>
  <pageSetup paperSize="9" orientation="portrait" horizontalDpi="300" verticalDpi="300"/>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G10"/>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219</v>
      </c>
      <c r="B1" s="5"/>
      <c r="C1" s="5"/>
      <c r="D1" s="5"/>
      <c r="E1" s="5"/>
      <c r="F1" s="5"/>
      <c r="G1" s="5"/>
    </row>
    <row r="2" spans="1:7" ht="120.75" x14ac:dyDescent="0.3">
      <c r="A2" s="2" t="s">
        <v>37</v>
      </c>
      <c r="B2" s="5"/>
      <c r="C2" s="5"/>
      <c r="D2" s="5"/>
      <c r="E2" s="5"/>
      <c r="F2" s="5"/>
      <c r="G2" s="5"/>
    </row>
    <row r="3" spans="1:7" ht="45.75" x14ac:dyDescent="0.25">
      <c r="A3" s="8" t="s">
        <v>17</v>
      </c>
      <c r="B3" s="9" t="s">
        <v>49</v>
      </c>
      <c r="C3" s="9" t="s">
        <v>50</v>
      </c>
      <c r="D3" s="9" t="s">
        <v>51</v>
      </c>
      <c r="E3" s="9" t="s">
        <v>52</v>
      </c>
      <c r="F3" s="9" t="s">
        <v>53</v>
      </c>
      <c r="G3" s="9" t="s">
        <v>24</v>
      </c>
    </row>
    <row r="4" spans="1:7" ht="15.75" x14ac:dyDescent="0.25">
      <c r="A4" s="10" t="s">
        <v>202</v>
      </c>
      <c r="B4" s="11">
        <v>0.96</v>
      </c>
      <c r="C4" s="11">
        <v>0.98</v>
      </c>
      <c r="D4" s="11">
        <v>0.99</v>
      </c>
      <c r="E4" s="11">
        <v>0.99</v>
      </c>
      <c r="F4" s="11">
        <v>0.99</v>
      </c>
      <c r="G4" s="11">
        <v>0.98</v>
      </c>
    </row>
    <row r="5" spans="1:7" ht="15.75" x14ac:dyDescent="0.25">
      <c r="A5" s="10" t="s">
        <v>203</v>
      </c>
      <c r="B5" s="11">
        <v>0.04</v>
      </c>
      <c r="C5" s="11">
        <v>0.02</v>
      </c>
      <c r="D5" s="11">
        <v>0.01</v>
      </c>
      <c r="E5" s="11">
        <v>0.01</v>
      </c>
      <c r="F5" s="11">
        <v>0</v>
      </c>
      <c r="G5" s="11">
        <v>0.02</v>
      </c>
    </row>
    <row r="6" spans="1:7" ht="15.75" x14ac:dyDescent="0.25">
      <c r="A6" s="10" t="s">
        <v>204</v>
      </c>
      <c r="B6" s="11">
        <v>0</v>
      </c>
      <c r="C6" s="11">
        <v>0</v>
      </c>
      <c r="D6" s="11">
        <v>0</v>
      </c>
      <c r="E6" s="11">
        <v>0</v>
      </c>
      <c r="F6" s="11">
        <v>0</v>
      </c>
      <c r="G6" s="11">
        <v>0</v>
      </c>
    </row>
    <row r="7" spans="1:7" ht="15.75" x14ac:dyDescent="0.25">
      <c r="A7" s="10" t="s">
        <v>205</v>
      </c>
      <c r="B7" s="11">
        <v>0</v>
      </c>
      <c r="C7" s="11">
        <v>0</v>
      </c>
      <c r="D7" s="11">
        <v>0</v>
      </c>
      <c r="E7" s="11">
        <v>0</v>
      </c>
      <c r="F7" s="11">
        <v>0</v>
      </c>
      <c r="G7" s="11">
        <v>0</v>
      </c>
    </row>
    <row r="8" spans="1:7" ht="15.75" x14ac:dyDescent="0.25">
      <c r="A8" s="10" t="s">
        <v>24</v>
      </c>
      <c r="B8" s="11">
        <v>1</v>
      </c>
      <c r="C8" s="11">
        <v>1</v>
      </c>
      <c r="D8" s="11">
        <v>1</v>
      </c>
      <c r="E8" s="11">
        <v>1</v>
      </c>
      <c r="F8" s="11">
        <v>1</v>
      </c>
      <c r="G8" s="11">
        <v>1</v>
      </c>
    </row>
    <row r="9" spans="1:7" ht="15.75" x14ac:dyDescent="0.25">
      <c r="A9" s="12" t="s">
        <v>31</v>
      </c>
      <c r="B9" s="13">
        <v>1180</v>
      </c>
      <c r="C9" s="13">
        <v>1540</v>
      </c>
      <c r="D9" s="13">
        <v>1980</v>
      </c>
      <c r="E9" s="13">
        <v>2230</v>
      </c>
      <c r="F9" s="13">
        <v>2110</v>
      </c>
      <c r="G9" s="13">
        <v>9030</v>
      </c>
    </row>
    <row r="10" spans="1:7" ht="15.75" x14ac:dyDescent="0.25">
      <c r="A10" s="14"/>
      <c r="B10" s="14"/>
      <c r="C10" s="14"/>
      <c r="D10" s="14"/>
      <c r="E10" s="14"/>
      <c r="F10" s="14"/>
      <c r="G10" s="14"/>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showGridLines="0" workbookViewId="0"/>
  </sheetViews>
  <sheetFormatPr defaultColWidth="11.42578125" defaultRowHeight="15" x14ac:dyDescent="0.25"/>
  <cols>
    <col min="1" max="1" width="70.7109375" customWidth="1"/>
    <col min="2" max="4" width="15.7109375" customWidth="1"/>
  </cols>
  <sheetData>
    <row r="1" spans="1:4" ht="19.5" x14ac:dyDescent="0.3">
      <c r="A1" s="1" t="s">
        <v>32</v>
      </c>
      <c r="B1" s="5"/>
      <c r="C1" s="5"/>
      <c r="D1" s="5"/>
    </row>
    <row r="2" spans="1:4" ht="103.5" x14ac:dyDescent="0.3">
      <c r="A2" s="2" t="s">
        <v>16</v>
      </c>
      <c r="B2" s="5"/>
      <c r="C2" s="5"/>
      <c r="D2" s="5"/>
    </row>
    <row r="3" spans="1:4" ht="69" x14ac:dyDescent="0.3">
      <c r="A3" s="2" t="s">
        <v>33</v>
      </c>
      <c r="B3" s="5"/>
      <c r="C3" s="5"/>
      <c r="D3" s="5"/>
    </row>
    <row r="4" spans="1:4" ht="30.75" x14ac:dyDescent="0.25">
      <c r="A4" s="8" t="s">
        <v>17</v>
      </c>
      <c r="B4" s="9" t="s">
        <v>34</v>
      </c>
      <c r="C4" s="9" t="s">
        <v>35</v>
      </c>
      <c r="D4" s="9" t="s">
        <v>24</v>
      </c>
    </row>
    <row r="5" spans="1:4" ht="15.75" x14ac:dyDescent="0.25">
      <c r="A5" s="10" t="s">
        <v>25</v>
      </c>
      <c r="B5" s="11">
        <v>0.95</v>
      </c>
      <c r="C5" s="11">
        <v>0.98</v>
      </c>
      <c r="D5" s="11">
        <v>0.96</v>
      </c>
    </row>
    <row r="6" spans="1:4" ht="15.75" x14ac:dyDescent="0.25">
      <c r="A6" s="10" t="s">
        <v>26</v>
      </c>
      <c r="B6" s="11">
        <v>0.55000000000000004</v>
      </c>
      <c r="C6" s="11">
        <v>0.72</v>
      </c>
      <c r="D6" s="11">
        <v>0.57999999999999996</v>
      </c>
    </row>
    <row r="7" spans="1:4" ht="15.75" x14ac:dyDescent="0.25">
      <c r="A7" s="10" t="s">
        <v>27</v>
      </c>
      <c r="B7" s="11">
        <v>0.4</v>
      </c>
      <c r="C7" s="11">
        <v>0.26</v>
      </c>
      <c r="D7" s="11">
        <v>0.37</v>
      </c>
    </row>
    <row r="8" spans="1:4" ht="15.75" x14ac:dyDescent="0.25">
      <c r="A8" s="10" t="s">
        <v>28</v>
      </c>
      <c r="B8" s="11">
        <v>0.04</v>
      </c>
      <c r="C8" s="11">
        <v>0.02</v>
      </c>
      <c r="D8" s="11">
        <v>0.03</v>
      </c>
    </row>
    <row r="9" spans="1:4" ht="15.75" x14ac:dyDescent="0.25">
      <c r="A9" s="10" t="s">
        <v>29</v>
      </c>
      <c r="B9" s="11">
        <v>0.01</v>
      </c>
      <c r="C9" s="11">
        <v>0</v>
      </c>
      <c r="D9" s="11">
        <v>0.01</v>
      </c>
    </row>
    <row r="10" spans="1:4" ht="15.75" x14ac:dyDescent="0.25">
      <c r="A10" s="10" t="s">
        <v>30</v>
      </c>
      <c r="B10" s="11">
        <v>0</v>
      </c>
      <c r="C10" s="11">
        <v>0</v>
      </c>
      <c r="D10" s="11">
        <v>0</v>
      </c>
    </row>
    <row r="11" spans="1:4" ht="15.75" x14ac:dyDescent="0.25">
      <c r="A11" s="10" t="s">
        <v>24</v>
      </c>
      <c r="B11" s="11">
        <v>1</v>
      </c>
      <c r="C11" s="11">
        <v>1</v>
      </c>
      <c r="D11" s="11">
        <v>1</v>
      </c>
    </row>
    <row r="12" spans="1:4" ht="15.75" x14ac:dyDescent="0.25">
      <c r="A12" s="12" t="s">
        <v>31</v>
      </c>
      <c r="B12" s="13">
        <v>6830</v>
      </c>
      <c r="C12" s="13">
        <v>2200</v>
      </c>
      <c r="D12" s="13">
        <v>9030</v>
      </c>
    </row>
    <row r="13" spans="1:4" ht="15.75" x14ac:dyDescent="0.25">
      <c r="A13" s="14"/>
      <c r="B13" s="14"/>
      <c r="C13" s="14"/>
      <c r="D13" s="14"/>
    </row>
  </sheetData>
  <pageMargins left="0.7" right="0.7" top="0.75" bottom="0.75" header="0.3" footer="0.3"/>
  <pageSetup paperSize="9" orientation="portrait" horizontalDpi="300" verticalDpi="300"/>
  <tableParts count="1">
    <tablePart r:id="rId1"/>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F9"/>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220</v>
      </c>
      <c r="B1" s="5"/>
      <c r="C1" s="5"/>
      <c r="D1" s="5"/>
      <c r="E1" s="5"/>
      <c r="F1" s="5"/>
    </row>
    <row r="2" spans="1:6" ht="30.75" x14ac:dyDescent="0.25">
      <c r="A2" s="8" t="s">
        <v>17</v>
      </c>
      <c r="B2" s="9" t="s">
        <v>153</v>
      </c>
      <c r="C2" s="9" t="s">
        <v>154</v>
      </c>
      <c r="D2" s="9" t="s">
        <v>82</v>
      </c>
      <c r="E2" s="9" t="s">
        <v>155</v>
      </c>
      <c r="F2" s="9" t="s">
        <v>24</v>
      </c>
    </row>
    <row r="3" spans="1:6" ht="15.75" x14ac:dyDescent="0.25">
      <c r="A3" s="10" t="s">
        <v>202</v>
      </c>
      <c r="B3" s="11">
        <v>0.98</v>
      </c>
      <c r="C3" s="11">
        <v>0.96</v>
      </c>
      <c r="D3" s="11" t="s">
        <v>14</v>
      </c>
      <c r="E3" s="11">
        <v>0.99</v>
      </c>
      <c r="F3" s="11">
        <v>0.98</v>
      </c>
    </row>
    <row r="4" spans="1:6" ht="15.75" x14ac:dyDescent="0.25">
      <c r="A4" s="10" t="s">
        <v>203</v>
      </c>
      <c r="B4" s="11">
        <v>0.02</v>
      </c>
      <c r="C4" s="11">
        <v>0.04</v>
      </c>
      <c r="D4" s="11" t="s">
        <v>14</v>
      </c>
      <c r="E4" s="11">
        <v>0.01</v>
      </c>
      <c r="F4" s="11">
        <v>0.02</v>
      </c>
    </row>
    <row r="5" spans="1:6" ht="15.75" x14ac:dyDescent="0.25">
      <c r="A5" s="10" t="s">
        <v>204</v>
      </c>
      <c r="B5" s="11">
        <v>0</v>
      </c>
      <c r="C5" s="11">
        <v>0</v>
      </c>
      <c r="D5" s="11" t="s">
        <v>14</v>
      </c>
      <c r="E5" s="11">
        <v>0</v>
      </c>
      <c r="F5" s="11">
        <v>0</v>
      </c>
    </row>
    <row r="6" spans="1:6" ht="15.75" x14ac:dyDescent="0.25">
      <c r="A6" s="10" t="s">
        <v>205</v>
      </c>
      <c r="B6" s="11">
        <v>0</v>
      </c>
      <c r="C6" s="11">
        <v>0</v>
      </c>
      <c r="D6" s="11" t="s">
        <v>14</v>
      </c>
      <c r="E6" s="11">
        <v>0</v>
      </c>
      <c r="F6" s="11">
        <v>0</v>
      </c>
    </row>
    <row r="7" spans="1:6" ht="15.75" x14ac:dyDescent="0.25">
      <c r="A7" s="10" t="s">
        <v>24</v>
      </c>
      <c r="B7" s="11">
        <v>1</v>
      </c>
      <c r="C7" s="11">
        <v>1</v>
      </c>
      <c r="D7" s="11" t="s">
        <v>14</v>
      </c>
      <c r="E7" s="11">
        <v>1</v>
      </c>
      <c r="F7" s="11">
        <v>1</v>
      </c>
    </row>
    <row r="8" spans="1:6" ht="15.75" x14ac:dyDescent="0.25">
      <c r="A8" s="12" t="s">
        <v>31</v>
      </c>
      <c r="B8" s="13">
        <v>8660</v>
      </c>
      <c r="C8" s="13">
        <v>280</v>
      </c>
      <c r="D8" s="13">
        <v>40</v>
      </c>
      <c r="E8" s="13">
        <v>60</v>
      </c>
      <c r="F8" s="13">
        <v>9030</v>
      </c>
    </row>
    <row r="9" spans="1:6" ht="15.75" x14ac:dyDescent="0.25">
      <c r="A9" s="14"/>
      <c r="B9" s="14"/>
      <c r="C9" s="14"/>
      <c r="D9" s="14"/>
      <c r="E9" s="14"/>
      <c r="F9" s="14"/>
    </row>
  </sheetData>
  <pageMargins left="0.7" right="0.7" top="0.75" bottom="0.75" header="0.3" footer="0.3"/>
  <pageSetup paperSize="9" orientation="portrait" horizontalDpi="300" verticalDpi="300"/>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H10"/>
  <sheetViews>
    <sheetView showGridLines="0" workbookViewId="0"/>
  </sheetViews>
  <sheetFormatPr defaultColWidth="11.42578125" defaultRowHeight="15" x14ac:dyDescent="0.25"/>
  <cols>
    <col min="1" max="1" width="70.7109375" customWidth="1"/>
    <col min="2" max="8" width="15.7109375" customWidth="1"/>
  </cols>
  <sheetData>
    <row r="1" spans="1:8" ht="19.5" x14ac:dyDescent="0.3">
      <c r="A1" s="1" t="s">
        <v>221</v>
      </c>
      <c r="B1" s="5"/>
      <c r="C1" s="5"/>
      <c r="D1" s="5"/>
      <c r="E1" s="5"/>
      <c r="F1" s="5"/>
      <c r="G1" s="5"/>
      <c r="H1" s="5"/>
    </row>
    <row r="2" spans="1:8" ht="69" x14ac:dyDescent="0.3">
      <c r="A2" s="2" t="s">
        <v>94</v>
      </c>
      <c r="B2" s="5"/>
      <c r="C2" s="5"/>
      <c r="D2" s="5"/>
      <c r="E2" s="5"/>
      <c r="F2" s="5"/>
      <c r="G2" s="5"/>
      <c r="H2" s="5"/>
    </row>
    <row r="3" spans="1:8" ht="30.75" x14ac:dyDescent="0.25">
      <c r="A3" s="8" t="s">
        <v>17</v>
      </c>
      <c r="B3" s="9" t="s">
        <v>95</v>
      </c>
      <c r="C3" s="9" t="s">
        <v>96</v>
      </c>
      <c r="D3" s="9" t="s">
        <v>97</v>
      </c>
      <c r="E3" s="9" t="s">
        <v>98</v>
      </c>
      <c r="F3" s="9" t="s">
        <v>60</v>
      </c>
      <c r="G3" s="9" t="s">
        <v>87</v>
      </c>
      <c r="H3" s="9" t="s">
        <v>24</v>
      </c>
    </row>
    <row r="4" spans="1:8" ht="15.75" x14ac:dyDescent="0.25">
      <c r="A4" s="10" t="s">
        <v>202</v>
      </c>
      <c r="B4" s="11">
        <v>0.98</v>
      </c>
      <c r="C4" s="11">
        <v>0.99</v>
      </c>
      <c r="D4" s="11">
        <v>0.99</v>
      </c>
      <c r="E4" s="11">
        <v>0.96</v>
      </c>
      <c r="F4" s="11" t="s">
        <v>14</v>
      </c>
      <c r="G4" s="11" t="s">
        <v>14</v>
      </c>
      <c r="H4" s="11">
        <v>0.98</v>
      </c>
    </row>
    <row r="5" spans="1:8" ht="15.75" x14ac:dyDescent="0.25">
      <c r="A5" s="10" t="s">
        <v>203</v>
      </c>
      <c r="B5" s="11">
        <v>0.02</v>
      </c>
      <c r="C5" s="11">
        <v>0.01</v>
      </c>
      <c r="D5" s="11">
        <v>0.01</v>
      </c>
      <c r="E5" s="11">
        <v>0.04</v>
      </c>
      <c r="F5" s="11" t="s">
        <v>14</v>
      </c>
      <c r="G5" s="11" t="s">
        <v>14</v>
      </c>
      <c r="H5" s="11">
        <v>0.02</v>
      </c>
    </row>
    <row r="6" spans="1:8" ht="15.75" x14ac:dyDescent="0.25">
      <c r="A6" s="10" t="s">
        <v>204</v>
      </c>
      <c r="B6" s="11">
        <v>0</v>
      </c>
      <c r="C6" s="11">
        <v>0</v>
      </c>
      <c r="D6" s="11">
        <v>0</v>
      </c>
      <c r="E6" s="11">
        <v>0</v>
      </c>
      <c r="F6" s="11" t="s">
        <v>14</v>
      </c>
      <c r="G6" s="11" t="s">
        <v>14</v>
      </c>
      <c r="H6" s="11">
        <v>0</v>
      </c>
    </row>
    <row r="7" spans="1:8" ht="15.75" x14ac:dyDescent="0.25">
      <c r="A7" s="10" t="s">
        <v>205</v>
      </c>
      <c r="B7" s="11">
        <v>0</v>
      </c>
      <c r="C7" s="11">
        <v>0</v>
      </c>
      <c r="D7" s="11">
        <v>0</v>
      </c>
      <c r="E7" s="11">
        <v>0</v>
      </c>
      <c r="F7" s="11" t="s">
        <v>14</v>
      </c>
      <c r="G7" s="11" t="s">
        <v>14</v>
      </c>
      <c r="H7" s="11">
        <v>0</v>
      </c>
    </row>
    <row r="8" spans="1:8" ht="15.75" x14ac:dyDescent="0.25">
      <c r="A8" s="10" t="s">
        <v>24</v>
      </c>
      <c r="B8" s="11">
        <v>1</v>
      </c>
      <c r="C8" s="11">
        <v>1</v>
      </c>
      <c r="D8" s="11">
        <v>1</v>
      </c>
      <c r="E8" s="11">
        <v>1</v>
      </c>
      <c r="F8" s="11" t="s">
        <v>14</v>
      </c>
      <c r="G8" s="11" t="s">
        <v>14</v>
      </c>
      <c r="H8" s="11">
        <v>1</v>
      </c>
    </row>
    <row r="9" spans="1:8" ht="15.75" x14ac:dyDescent="0.25">
      <c r="A9" s="12" t="s">
        <v>31</v>
      </c>
      <c r="B9" s="13">
        <v>6510</v>
      </c>
      <c r="C9" s="13">
        <v>1810</v>
      </c>
      <c r="D9" s="13">
        <v>490</v>
      </c>
      <c r="E9" s="13">
        <v>210</v>
      </c>
      <c r="F9" s="13">
        <v>10</v>
      </c>
      <c r="G9" s="13">
        <v>10</v>
      </c>
      <c r="H9" s="13">
        <v>9030</v>
      </c>
    </row>
    <row r="10" spans="1:8" ht="15.75" x14ac:dyDescent="0.25">
      <c r="A10" s="14"/>
      <c r="B10" s="14"/>
      <c r="C10" s="14"/>
      <c r="D10" s="14"/>
      <c r="E10" s="14"/>
      <c r="F10" s="14"/>
      <c r="G10" s="14"/>
      <c r="H10" s="14"/>
    </row>
  </sheetData>
  <pageMargins left="0.7" right="0.7" top="0.75" bottom="0.75" header="0.3" footer="0.3"/>
  <pageSetup paperSize="9" orientation="portrait" horizontalDpi="300" verticalDpi="300"/>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G10"/>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222</v>
      </c>
      <c r="B1" s="5"/>
      <c r="C1" s="5"/>
      <c r="D1" s="5"/>
      <c r="E1" s="5"/>
      <c r="F1" s="5"/>
      <c r="G1" s="5"/>
    </row>
    <row r="2" spans="1:7" ht="69" x14ac:dyDescent="0.3">
      <c r="A2" s="2" t="s">
        <v>158</v>
      </c>
      <c r="B2" s="5"/>
      <c r="C2" s="5"/>
      <c r="D2" s="5"/>
      <c r="E2" s="5"/>
      <c r="F2" s="5"/>
      <c r="G2" s="5"/>
    </row>
    <row r="3" spans="1:7" ht="30.75" x14ac:dyDescent="0.25">
      <c r="A3" s="8" t="s">
        <v>17</v>
      </c>
      <c r="B3" s="9" t="s">
        <v>159</v>
      </c>
      <c r="C3" s="9" t="s">
        <v>160</v>
      </c>
      <c r="D3" s="9" t="s">
        <v>161</v>
      </c>
      <c r="E3" s="9" t="s">
        <v>162</v>
      </c>
      <c r="F3" s="9" t="s">
        <v>163</v>
      </c>
      <c r="G3" s="9" t="s">
        <v>24</v>
      </c>
    </row>
    <row r="4" spans="1:7" ht="15.75" x14ac:dyDescent="0.25">
      <c r="A4" s="10" t="s">
        <v>202</v>
      </c>
      <c r="B4" s="11">
        <v>0.98</v>
      </c>
      <c r="C4" s="11">
        <v>0.98</v>
      </c>
      <c r="D4" s="11">
        <v>0.98</v>
      </c>
      <c r="E4" s="11">
        <v>0.99</v>
      </c>
      <c r="F4" s="11">
        <v>0.96</v>
      </c>
      <c r="G4" s="11">
        <v>0.98</v>
      </c>
    </row>
    <row r="5" spans="1:7" ht="15.75" x14ac:dyDescent="0.25">
      <c r="A5" s="10" t="s">
        <v>203</v>
      </c>
      <c r="B5" s="11">
        <v>0.02</v>
      </c>
      <c r="C5" s="11">
        <v>0.01</v>
      </c>
      <c r="D5" s="11">
        <v>0.02</v>
      </c>
      <c r="E5" s="11">
        <v>0.01</v>
      </c>
      <c r="F5" s="11">
        <v>0.04</v>
      </c>
      <c r="G5" s="11">
        <v>0.02</v>
      </c>
    </row>
    <row r="6" spans="1:7" ht="15.75" x14ac:dyDescent="0.25">
      <c r="A6" s="10" t="s">
        <v>204</v>
      </c>
      <c r="B6" s="11">
        <v>0</v>
      </c>
      <c r="C6" s="11">
        <v>0</v>
      </c>
      <c r="D6" s="11">
        <v>0</v>
      </c>
      <c r="E6" s="11">
        <v>0</v>
      </c>
      <c r="F6" s="11">
        <v>0</v>
      </c>
      <c r="G6" s="11">
        <v>0</v>
      </c>
    </row>
    <row r="7" spans="1:7" ht="15.75" x14ac:dyDescent="0.25">
      <c r="A7" s="10" t="s">
        <v>205</v>
      </c>
      <c r="B7" s="11">
        <v>0</v>
      </c>
      <c r="C7" s="11">
        <v>0</v>
      </c>
      <c r="D7" s="11">
        <v>0</v>
      </c>
      <c r="E7" s="11">
        <v>0</v>
      </c>
      <c r="F7" s="11">
        <v>0</v>
      </c>
      <c r="G7" s="11">
        <v>0</v>
      </c>
    </row>
    <row r="8" spans="1:7" ht="15.75" x14ac:dyDescent="0.25">
      <c r="A8" s="10" t="s">
        <v>24</v>
      </c>
      <c r="B8" s="11">
        <v>1</v>
      </c>
      <c r="C8" s="11">
        <v>1</v>
      </c>
      <c r="D8" s="11">
        <v>1</v>
      </c>
      <c r="E8" s="11">
        <v>1</v>
      </c>
      <c r="F8" s="11">
        <v>1</v>
      </c>
      <c r="G8" s="11">
        <v>1</v>
      </c>
    </row>
    <row r="9" spans="1:7" ht="15.75" x14ac:dyDescent="0.25">
      <c r="A9" s="12" t="s">
        <v>31</v>
      </c>
      <c r="B9" s="13">
        <v>4540</v>
      </c>
      <c r="C9" s="13">
        <v>2150</v>
      </c>
      <c r="D9" s="13">
        <v>1020</v>
      </c>
      <c r="E9" s="13">
        <v>1130</v>
      </c>
      <c r="F9" s="13">
        <v>190</v>
      </c>
      <c r="G9" s="13">
        <v>9030</v>
      </c>
    </row>
    <row r="10" spans="1:7" ht="15.75" x14ac:dyDescent="0.25">
      <c r="A10" s="14"/>
      <c r="B10" s="14"/>
      <c r="C10" s="14"/>
      <c r="D10" s="14"/>
      <c r="E10" s="14"/>
      <c r="F10" s="14"/>
      <c r="G10" s="14"/>
    </row>
  </sheetData>
  <pageMargins left="0.7" right="0.7" top="0.75" bottom="0.75" header="0.3" footer="0.3"/>
  <pageSetup paperSize="9" orientation="portrait" horizontalDpi="300" verticalDpi="300"/>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F10"/>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223</v>
      </c>
      <c r="B1" s="5"/>
      <c r="C1" s="5"/>
      <c r="D1" s="5"/>
      <c r="E1" s="5"/>
      <c r="F1" s="5"/>
    </row>
    <row r="2" spans="1:6" ht="34.5" x14ac:dyDescent="0.3">
      <c r="A2" s="2" t="s">
        <v>165</v>
      </c>
      <c r="B2" s="5"/>
      <c r="C2" s="5"/>
      <c r="D2" s="5"/>
      <c r="E2" s="5"/>
      <c r="F2" s="5"/>
    </row>
    <row r="3" spans="1:6" ht="15.75" x14ac:dyDescent="0.25">
      <c r="A3" s="8" t="s">
        <v>17</v>
      </c>
      <c r="B3" s="9" t="s">
        <v>166</v>
      </c>
      <c r="C3" s="9" t="s">
        <v>167</v>
      </c>
      <c r="D3" s="9" t="s">
        <v>60</v>
      </c>
      <c r="E3" s="9" t="s">
        <v>168</v>
      </c>
      <c r="F3" s="9" t="s">
        <v>24</v>
      </c>
    </row>
    <row r="4" spans="1:6" ht="15.75" x14ac:dyDescent="0.25">
      <c r="A4" s="10" t="s">
        <v>202</v>
      </c>
      <c r="B4" s="11">
        <v>0.96</v>
      </c>
      <c r="C4" s="11">
        <v>0.99</v>
      </c>
      <c r="D4" s="11" t="s">
        <v>14</v>
      </c>
      <c r="E4" s="11" t="s">
        <v>14</v>
      </c>
      <c r="F4" s="11">
        <v>0.98</v>
      </c>
    </row>
    <row r="5" spans="1:6" ht="15.75" x14ac:dyDescent="0.25">
      <c r="A5" s="10" t="s">
        <v>203</v>
      </c>
      <c r="B5" s="11">
        <v>0.04</v>
      </c>
      <c r="C5" s="11">
        <v>0.01</v>
      </c>
      <c r="D5" s="11" t="s">
        <v>14</v>
      </c>
      <c r="E5" s="11" t="s">
        <v>14</v>
      </c>
      <c r="F5" s="11">
        <v>0.02</v>
      </c>
    </row>
    <row r="6" spans="1:6" ht="15.75" x14ac:dyDescent="0.25">
      <c r="A6" s="10" t="s">
        <v>204</v>
      </c>
      <c r="B6" s="11">
        <v>0</v>
      </c>
      <c r="C6" s="11">
        <v>0</v>
      </c>
      <c r="D6" s="11" t="s">
        <v>14</v>
      </c>
      <c r="E6" s="11" t="s">
        <v>14</v>
      </c>
      <c r="F6" s="11">
        <v>0</v>
      </c>
    </row>
    <row r="7" spans="1:6" ht="15.75" x14ac:dyDescent="0.25">
      <c r="A7" s="10" t="s">
        <v>205</v>
      </c>
      <c r="B7" s="11">
        <v>0</v>
      </c>
      <c r="C7" s="11">
        <v>0</v>
      </c>
      <c r="D7" s="11" t="s">
        <v>14</v>
      </c>
      <c r="E7" s="11" t="s">
        <v>14</v>
      </c>
      <c r="F7" s="11">
        <v>0</v>
      </c>
    </row>
    <row r="8" spans="1:6" ht="15.75" x14ac:dyDescent="0.25">
      <c r="A8" s="10" t="s">
        <v>24</v>
      </c>
      <c r="B8" s="11">
        <v>1</v>
      </c>
      <c r="C8" s="11">
        <v>1</v>
      </c>
      <c r="D8" s="11" t="s">
        <v>14</v>
      </c>
      <c r="E8" s="11" t="s">
        <v>14</v>
      </c>
      <c r="F8" s="11">
        <v>1</v>
      </c>
    </row>
    <row r="9" spans="1:6" ht="15.75" x14ac:dyDescent="0.25">
      <c r="A9" s="12" t="s">
        <v>31</v>
      </c>
      <c r="B9" s="13">
        <v>2550</v>
      </c>
      <c r="C9" s="13">
        <v>6440</v>
      </c>
      <c r="D9" s="13">
        <v>30</v>
      </c>
      <c r="E9" s="13">
        <v>10</v>
      </c>
      <c r="F9" s="13">
        <v>9030</v>
      </c>
    </row>
    <row r="10" spans="1:6" ht="15.75" x14ac:dyDescent="0.25">
      <c r="A10" s="14"/>
      <c r="B10" s="14"/>
      <c r="C10" s="14"/>
      <c r="D10" s="14"/>
      <c r="E10" s="14"/>
      <c r="F10" s="14"/>
    </row>
  </sheetData>
  <pageMargins left="0.7" right="0.7" top="0.75" bottom="0.75" header="0.3" footer="0.3"/>
  <pageSetup paperSize="9" orientation="portrait" horizontalDpi="300" verticalDpi="300"/>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9"/>
  <sheetViews>
    <sheetView showGridLines="0" workbookViewId="0"/>
  </sheetViews>
  <sheetFormatPr defaultColWidth="11.42578125" defaultRowHeight="15" x14ac:dyDescent="0.25"/>
  <cols>
    <col min="1" max="1" width="70.7109375" customWidth="1"/>
    <col min="2" max="4" width="15.7109375" customWidth="1"/>
  </cols>
  <sheetData>
    <row r="1" spans="1:4" ht="19.5" x14ac:dyDescent="0.3">
      <c r="A1" s="1" t="s">
        <v>224</v>
      </c>
      <c r="B1" s="5"/>
      <c r="C1" s="5"/>
      <c r="D1" s="5"/>
    </row>
    <row r="2" spans="1:4" ht="15.75" x14ac:dyDescent="0.25">
      <c r="A2" s="8" t="s">
        <v>17</v>
      </c>
      <c r="B2" s="9" t="s">
        <v>213</v>
      </c>
      <c r="C2" s="9" t="s">
        <v>214</v>
      </c>
      <c r="D2" s="9" t="s">
        <v>24</v>
      </c>
    </row>
    <row r="3" spans="1:4" ht="15.75" x14ac:dyDescent="0.25">
      <c r="A3" s="10" t="s">
        <v>202</v>
      </c>
      <c r="B3" s="11">
        <v>0.95</v>
      </c>
      <c r="C3" s="11">
        <v>0.99</v>
      </c>
      <c r="D3" s="11">
        <v>0.98</v>
      </c>
    </row>
    <row r="4" spans="1:4" ht="15.75" x14ac:dyDescent="0.25">
      <c r="A4" s="10" t="s">
        <v>203</v>
      </c>
      <c r="B4" s="11">
        <v>0.05</v>
      </c>
      <c r="C4" s="11">
        <v>0.01</v>
      </c>
      <c r="D4" s="11">
        <v>0.02</v>
      </c>
    </row>
    <row r="5" spans="1:4" ht="15.75" x14ac:dyDescent="0.25">
      <c r="A5" s="10" t="s">
        <v>204</v>
      </c>
      <c r="B5" s="11">
        <v>0</v>
      </c>
      <c r="C5" s="11">
        <v>0</v>
      </c>
      <c r="D5" s="11">
        <v>0</v>
      </c>
    </row>
    <row r="6" spans="1:4" ht="15.75" x14ac:dyDescent="0.25">
      <c r="A6" s="10" t="s">
        <v>205</v>
      </c>
      <c r="B6" s="11">
        <v>0</v>
      </c>
      <c r="C6" s="11">
        <v>0</v>
      </c>
      <c r="D6" s="11">
        <v>0</v>
      </c>
    </row>
    <row r="7" spans="1:4" ht="15.75" x14ac:dyDescent="0.25">
      <c r="A7" s="10" t="s">
        <v>24</v>
      </c>
      <c r="B7" s="11">
        <v>1</v>
      </c>
      <c r="C7" s="11">
        <v>1</v>
      </c>
      <c r="D7" s="11">
        <v>1</v>
      </c>
    </row>
    <row r="8" spans="1:4" ht="15.75" x14ac:dyDescent="0.25">
      <c r="A8" s="12" t="s">
        <v>31</v>
      </c>
      <c r="B8" s="13">
        <v>670</v>
      </c>
      <c r="C8" s="13">
        <v>8370</v>
      </c>
      <c r="D8" s="13">
        <v>9030</v>
      </c>
    </row>
    <row r="9" spans="1:4" ht="15.75" x14ac:dyDescent="0.25">
      <c r="A9" s="14"/>
      <c r="B9" s="14"/>
      <c r="C9" s="14"/>
      <c r="D9" s="14"/>
    </row>
  </sheetData>
  <pageMargins left="0.7" right="0.7" top="0.75" bottom="0.75" header="0.3" footer="0.3"/>
  <pageSetup paperSize="9" orientation="portrait" horizontalDpi="300" verticalDpi="300"/>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F9"/>
  <sheetViews>
    <sheetView showGridLines="0" workbookViewId="0"/>
  </sheetViews>
  <sheetFormatPr defaultColWidth="11.42578125" defaultRowHeight="15" x14ac:dyDescent="0.25"/>
  <cols>
    <col min="1" max="1" width="70.7109375" customWidth="1"/>
    <col min="2" max="6" width="15.7109375" customWidth="1"/>
  </cols>
  <sheetData>
    <row r="1" spans="1:6" ht="19.5" x14ac:dyDescent="0.3">
      <c r="A1" s="1" t="s">
        <v>225</v>
      </c>
      <c r="B1" s="5"/>
      <c r="C1" s="5"/>
      <c r="D1" s="5"/>
      <c r="E1" s="5"/>
      <c r="F1" s="5"/>
    </row>
    <row r="2" spans="1:6" ht="30.75" x14ac:dyDescent="0.25">
      <c r="A2" s="8" t="s">
        <v>17</v>
      </c>
      <c r="B2" s="9" t="s">
        <v>216</v>
      </c>
      <c r="C2" s="9" t="s">
        <v>28</v>
      </c>
      <c r="D2" s="9" t="s">
        <v>29</v>
      </c>
      <c r="E2" s="9" t="s">
        <v>30</v>
      </c>
      <c r="F2" s="9" t="s">
        <v>24</v>
      </c>
    </row>
    <row r="3" spans="1:6" ht="15.75" x14ac:dyDescent="0.25">
      <c r="A3" s="10" t="s">
        <v>202</v>
      </c>
      <c r="B3" s="11">
        <v>0.99</v>
      </c>
      <c r="C3" s="11">
        <v>0.93</v>
      </c>
      <c r="D3" s="11">
        <v>0.83</v>
      </c>
      <c r="E3" s="11" t="s">
        <v>14</v>
      </c>
      <c r="F3" s="11">
        <v>0.98</v>
      </c>
    </row>
    <row r="4" spans="1:6" ht="15.75" x14ac:dyDescent="0.25">
      <c r="A4" s="10" t="s">
        <v>203</v>
      </c>
      <c r="B4" s="11">
        <v>0.01</v>
      </c>
      <c r="C4" s="11">
        <v>7.0000000000000007E-2</v>
      </c>
      <c r="D4" s="11">
        <v>0.17</v>
      </c>
      <c r="E4" s="11" t="s">
        <v>14</v>
      </c>
      <c r="F4" s="11">
        <v>0.02</v>
      </c>
    </row>
    <row r="5" spans="1:6" ht="15.75" x14ac:dyDescent="0.25">
      <c r="A5" s="10" t="s">
        <v>204</v>
      </c>
      <c r="B5" s="11">
        <v>0</v>
      </c>
      <c r="C5" s="11">
        <v>0</v>
      </c>
      <c r="D5" s="11">
        <v>0</v>
      </c>
      <c r="E5" s="11" t="s">
        <v>14</v>
      </c>
      <c r="F5" s="11">
        <v>0</v>
      </c>
    </row>
    <row r="6" spans="1:6" ht="15.75" x14ac:dyDescent="0.25">
      <c r="A6" s="10" t="s">
        <v>205</v>
      </c>
      <c r="B6" s="11">
        <v>0</v>
      </c>
      <c r="C6" s="11">
        <v>0</v>
      </c>
      <c r="D6" s="11">
        <v>0</v>
      </c>
      <c r="E6" s="11" t="s">
        <v>14</v>
      </c>
      <c r="F6" s="11">
        <v>0</v>
      </c>
    </row>
    <row r="7" spans="1:6" ht="15.75" x14ac:dyDescent="0.25">
      <c r="A7" s="10" t="s">
        <v>24</v>
      </c>
      <c r="B7" s="11">
        <v>1</v>
      </c>
      <c r="C7" s="11">
        <v>1</v>
      </c>
      <c r="D7" s="11">
        <v>1</v>
      </c>
      <c r="E7" s="11" t="s">
        <v>14</v>
      </c>
      <c r="F7" s="11">
        <v>1</v>
      </c>
    </row>
    <row r="8" spans="1:6" ht="15.75" x14ac:dyDescent="0.25">
      <c r="A8" s="12" t="s">
        <v>31</v>
      </c>
      <c r="B8" s="13">
        <v>8710</v>
      </c>
      <c r="C8" s="13">
        <v>250</v>
      </c>
      <c r="D8" s="13">
        <v>60</v>
      </c>
      <c r="E8" s="13">
        <v>10</v>
      </c>
      <c r="F8" s="13">
        <v>9030</v>
      </c>
    </row>
    <row r="9" spans="1:6" ht="15.75" x14ac:dyDescent="0.25">
      <c r="A9" s="14"/>
      <c r="B9" s="14"/>
      <c r="C9" s="14"/>
      <c r="D9" s="14"/>
      <c r="E9" s="14"/>
      <c r="F9" s="14"/>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2"/>
  <sheetViews>
    <sheetView showGridLines="0" workbookViewId="0"/>
  </sheetViews>
  <sheetFormatPr defaultColWidth="11.42578125" defaultRowHeight="15" x14ac:dyDescent="0.25"/>
  <cols>
    <col min="1" max="1" width="70.7109375" customWidth="1"/>
    <col min="2" max="12" width="15.7109375" customWidth="1"/>
  </cols>
  <sheetData>
    <row r="1" spans="1:12" ht="19.5" x14ac:dyDescent="0.3">
      <c r="A1" s="1" t="s">
        <v>36</v>
      </c>
      <c r="B1" s="5"/>
      <c r="C1" s="5"/>
      <c r="D1" s="5"/>
      <c r="E1" s="5"/>
      <c r="F1" s="5"/>
      <c r="G1" s="5"/>
      <c r="H1" s="5"/>
      <c r="I1" s="5"/>
      <c r="J1" s="5"/>
      <c r="K1" s="5"/>
      <c r="L1" s="5"/>
    </row>
    <row r="2" spans="1:12" ht="120.75" x14ac:dyDescent="0.3">
      <c r="A2" s="2" t="s">
        <v>37</v>
      </c>
      <c r="B2" s="5"/>
      <c r="C2" s="5"/>
      <c r="D2" s="5"/>
      <c r="E2" s="5"/>
      <c r="F2" s="5"/>
      <c r="G2" s="5"/>
      <c r="H2" s="5"/>
      <c r="I2" s="5"/>
      <c r="J2" s="5"/>
      <c r="K2" s="5"/>
      <c r="L2" s="5"/>
    </row>
    <row r="3" spans="1:12" ht="45.75" x14ac:dyDescent="0.25">
      <c r="A3" s="8" t="s">
        <v>17</v>
      </c>
      <c r="B3" s="9" t="s">
        <v>38</v>
      </c>
      <c r="C3" s="9" t="s">
        <v>39</v>
      </c>
      <c r="D3" s="9" t="s">
        <v>40</v>
      </c>
      <c r="E3" s="9" t="s">
        <v>41</v>
      </c>
      <c r="F3" s="9" t="s">
        <v>42</v>
      </c>
      <c r="G3" s="9" t="s">
        <v>43</v>
      </c>
      <c r="H3" s="9" t="s">
        <v>44</v>
      </c>
      <c r="I3" s="9" t="s">
        <v>45</v>
      </c>
      <c r="J3" s="9" t="s">
        <v>46</v>
      </c>
      <c r="K3" s="9" t="s">
        <v>47</v>
      </c>
      <c r="L3" s="9" t="s">
        <v>24</v>
      </c>
    </row>
    <row r="4" spans="1:12" ht="15.75" x14ac:dyDescent="0.25">
      <c r="A4" s="10" t="s">
        <v>25</v>
      </c>
      <c r="B4" s="11">
        <v>0.82</v>
      </c>
      <c r="C4" s="11">
        <v>0.89</v>
      </c>
      <c r="D4" s="11">
        <v>0.95</v>
      </c>
      <c r="E4" s="11">
        <v>0.96</v>
      </c>
      <c r="F4" s="11">
        <v>0.98</v>
      </c>
      <c r="G4" s="11">
        <v>0.98</v>
      </c>
      <c r="H4" s="11">
        <v>0.98</v>
      </c>
      <c r="I4" s="11">
        <v>0.99</v>
      </c>
      <c r="J4" s="11">
        <v>1</v>
      </c>
      <c r="K4" s="11">
        <v>1</v>
      </c>
      <c r="L4" s="11">
        <v>0.96</v>
      </c>
    </row>
    <row r="5" spans="1:12" ht="15.75" x14ac:dyDescent="0.25">
      <c r="A5" s="10" t="s">
        <v>26</v>
      </c>
      <c r="B5" s="11">
        <v>0.24</v>
      </c>
      <c r="C5" s="11">
        <v>0.34</v>
      </c>
      <c r="D5" s="11">
        <v>0.4</v>
      </c>
      <c r="E5" s="11">
        <v>0.48</v>
      </c>
      <c r="F5" s="11">
        <v>0.56999999999999995</v>
      </c>
      <c r="G5" s="11">
        <v>0.64</v>
      </c>
      <c r="H5" s="11">
        <v>0.68</v>
      </c>
      <c r="I5" s="11">
        <v>0.73</v>
      </c>
      <c r="J5" s="11">
        <v>0.75</v>
      </c>
      <c r="K5" s="11">
        <v>0.86</v>
      </c>
      <c r="L5" s="11">
        <v>0.57999999999999996</v>
      </c>
    </row>
    <row r="6" spans="1:12" ht="15.75" x14ac:dyDescent="0.25">
      <c r="A6" s="10" t="s">
        <v>27</v>
      </c>
      <c r="B6" s="11">
        <v>0.57999999999999996</v>
      </c>
      <c r="C6" s="11">
        <v>0.55000000000000004</v>
      </c>
      <c r="D6" s="11">
        <v>0.55000000000000004</v>
      </c>
      <c r="E6" s="11">
        <v>0.47</v>
      </c>
      <c r="F6" s="11">
        <v>0.42</v>
      </c>
      <c r="G6" s="11">
        <v>0.35</v>
      </c>
      <c r="H6" s="11">
        <v>0.3</v>
      </c>
      <c r="I6" s="11">
        <v>0.26</v>
      </c>
      <c r="J6" s="11">
        <v>0.25</v>
      </c>
      <c r="K6" s="11">
        <v>0.14000000000000001</v>
      </c>
      <c r="L6" s="11">
        <v>0.37</v>
      </c>
    </row>
    <row r="7" spans="1:12" ht="15.75" x14ac:dyDescent="0.25">
      <c r="A7" s="10" t="s">
        <v>28</v>
      </c>
      <c r="B7" s="11">
        <v>0.13</v>
      </c>
      <c r="C7" s="11">
        <v>0.08</v>
      </c>
      <c r="D7" s="11">
        <v>0.04</v>
      </c>
      <c r="E7" s="11">
        <v>0.03</v>
      </c>
      <c r="F7" s="11">
        <v>0.01</v>
      </c>
      <c r="G7" s="11">
        <v>0.01</v>
      </c>
      <c r="H7" s="11">
        <v>0.01</v>
      </c>
      <c r="I7" s="11">
        <v>0.01</v>
      </c>
      <c r="J7" s="11">
        <v>0</v>
      </c>
      <c r="K7" s="11">
        <v>0</v>
      </c>
      <c r="L7" s="11">
        <v>0.03</v>
      </c>
    </row>
    <row r="8" spans="1:12" ht="15.75" x14ac:dyDescent="0.25">
      <c r="A8" s="10" t="s">
        <v>29</v>
      </c>
      <c r="B8" s="11">
        <v>0.04</v>
      </c>
      <c r="C8" s="11">
        <v>0.02</v>
      </c>
      <c r="D8" s="11">
        <v>0.01</v>
      </c>
      <c r="E8" s="11">
        <v>0.01</v>
      </c>
      <c r="F8" s="11">
        <v>0</v>
      </c>
      <c r="G8" s="11">
        <v>0</v>
      </c>
      <c r="H8" s="11">
        <v>0</v>
      </c>
      <c r="I8" s="11">
        <v>0</v>
      </c>
      <c r="J8" s="11">
        <v>0</v>
      </c>
      <c r="K8" s="11">
        <v>0</v>
      </c>
      <c r="L8" s="11">
        <v>0.01</v>
      </c>
    </row>
    <row r="9" spans="1:12" ht="15.75" x14ac:dyDescent="0.25">
      <c r="A9" s="10" t="s">
        <v>30</v>
      </c>
      <c r="B9" s="11">
        <v>0</v>
      </c>
      <c r="C9" s="11">
        <v>0.01</v>
      </c>
      <c r="D9" s="11">
        <v>0</v>
      </c>
      <c r="E9" s="11">
        <v>0</v>
      </c>
      <c r="F9" s="11">
        <v>0</v>
      </c>
      <c r="G9" s="11">
        <v>0</v>
      </c>
      <c r="H9" s="11">
        <v>0</v>
      </c>
      <c r="I9" s="11">
        <v>0</v>
      </c>
      <c r="J9" s="11">
        <v>0</v>
      </c>
      <c r="K9" s="11">
        <v>0</v>
      </c>
      <c r="L9" s="11">
        <v>0</v>
      </c>
    </row>
    <row r="10" spans="1:12" ht="15.75" x14ac:dyDescent="0.25">
      <c r="A10" s="10" t="s">
        <v>24</v>
      </c>
      <c r="B10" s="11">
        <v>1</v>
      </c>
      <c r="C10" s="11">
        <v>1</v>
      </c>
      <c r="D10" s="11">
        <v>1</v>
      </c>
      <c r="E10" s="11">
        <v>1</v>
      </c>
      <c r="F10" s="11">
        <v>1</v>
      </c>
      <c r="G10" s="11">
        <v>1</v>
      </c>
      <c r="H10" s="11">
        <v>1</v>
      </c>
      <c r="I10" s="11">
        <v>1</v>
      </c>
      <c r="J10" s="11">
        <v>1</v>
      </c>
      <c r="K10" s="11">
        <v>1</v>
      </c>
      <c r="L10" s="11">
        <v>1</v>
      </c>
    </row>
    <row r="11" spans="1:12" ht="15.75" x14ac:dyDescent="0.25">
      <c r="A11" s="12" t="s">
        <v>31</v>
      </c>
      <c r="B11" s="13">
        <v>530</v>
      </c>
      <c r="C11" s="13">
        <v>650</v>
      </c>
      <c r="D11" s="13">
        <v>720</v>
      </c>
      <c r="E11" s="13">
        <v>820</v>
      </c>
      <c r="F11" s="13">
        <v>960</v>
      </c>
      <c r="G11" s="13">
        <v>1020</v>
      </c>
      <c r="H11" s="13">
        <v>1110</v>
      </c>
      <c r="I11" s="13">
        <v>1120</v>
      </c>
      <c r="J11" s="13">
        <v>1010</v>
      </c>
      <c r="K11" s="13">
        <v>1100</v>
      </c>
      <c r="L11" s="13">
        <v>9030</v>
      </c>
    </row>
    <row r="12" spans="1:12" ht="15.75" x14ac:dyDescent="0.25">
      <c r="A12" s="14"/>
      <c r="B12" s="14"/>
      <c r="C12" s="14"/>
      <c r="D12" s="14"/>
      <c r="E12" s="14"/>
      <c r="F12" s="14"/>
      <c r="G12" s="14"/>
      <c r="H12" s="14"/>
      <c r="I12" s="14"/>
      <c r="J12" s="14"/>
      <c r="K12" s="14"/>
      <c r="L12" s="14"/>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
  <sheetViews>
    <sheetView showGridLines="0" workbookViewId="0"/>
  </sheetViews>
  <sheetFormatPr defaultColWidth="11.42578125" defaultRowHeight="15" x14ac:dyDescent="0.25"/>
  <cols>
    <col min="1" max="1" width="70.7109375" customWidth="1"/>
    <col min="2" max="7" width="15.7109375" customWidth="1"/>
  </cols>
  <sheetData>
    <row r="1" spans="1:7" ht="19.5" x14ac:dyDescent="0.3">
      <c r="A1" s="1" t="s">
        <v>48</v>
      </c>
      <c r="B1" s="5"/>
      <c r="C1" s="5"/>
      <c r="D1" s="5"/>
      <c r="E1" s="5"/>
      <c r="F1" s="5"/>
      <c r="G1" s="5"/>
    </row>
    <row r="2" spans="1:7" ht="120.75" x14ac:dyDescent="0.3">
      <c r="A2" s="2" t="s">
        <v>37</v>
      </c>
      <c r="B2" s="5"/>
      <c r="C2" s="5"/>
      <c r="D2" s="5"/>
      <c r="E2" s="5"/>
      <c r="F2" s="5"/>
      <c r="G2" s="5"/>
    </row>
    <row r="3" spans="1:7" ht="45.75" x14ac:dyDescent="0.25">
      <c r="A3" s="8" t="s">
        <v>17</v>
      </c>
      <c r="B3" s="9" t="s">
        <v>49</v>
      </c>
      <c r="C3" s="9" t="s">
        <v>50</v>
      </c>
      <c r="D3" s="9" t="s">
        <v>51</v>
      </c>
      <c r="E3" s="9" t="s">
        <v>52</v>
      </c>
      <c r="F3" s="9" t="s">
        <v>53</v>
      </c>
      <c r="G3" s="9" t="s">
        <v>24</v>
      </c>
    </row>
    <row r="4" spans="1:7" ht="15.75" x14ac:dyDescent="0.25">
      <c r="A4" s="10" t="s">
        <v>25</v>
      </c>
      <c r="B4" s="11">
        <v>0.86</v>
      </c>
      <c r="C4" s="11">
        <v>0.95</v>
      </c>
      <c r="D4" s="11">
        <v>0.98</v>
      </c>
      <c r="E4" s="11">
        <v>0.99</v>
      </c>
      <c r="F4" s="11">
        <v>1</v>
      </c>
      <c r="G4" s="11">
        <v>0.96</v>
      </c>
    </row>
    <row r="5" spans="1:7" ht="15.75" x14ac:dyDescent="0.25">
      <c r="A5" s="10" t="s">
        <v>26</v>
      </c>
      <c r="B5" s="11">
        <v>0.3</v>
      </c>
      <c r="C5" s="11">
        <v>0.44</v>
      </c>
      <c r="D5" s="11">
        <v>0.6</v>
      </c>
      <c r="E5" s="11">
        <v>0.71</v>
      </c>
      <c r="F5" s="11">
        <v>0.8</v>
      </c>
      <c r="G5" s="11">
        <v>0.57999999999999996</v>
      </c>
    </row>
    <row r="6" spans="1:7" ht="15.75" x14ac:dyDescent="0.25">
      <c r="A6" s="10" t="s">
        <v>27</v>
      </c>
      <c r="B6" s="11">
        <v>0.56000000000000005</v>
      </c>
      <c r="C6" s="11">
        <v>0.51</v>
      </c>
      <c r="D6" s="11">
        <v>0.38</v>
      </c>
      <c r="E6" s="11">
        <v>0.28000000000000003</v>
      </c>
      <c r="F6" s="11">
        <v>0.19</v>
      </c>
      <c r="G6" s="11">
        <v>0.37</v>
      </c>
    </row>
    <row r="7" spans="1:7" ht="15.75" x14ac:dyDescent="0.25">
      <c r="A7" s="10" t="s">
        <v>28</v>
      </c>
      <c r="B7" s="11">
        <v>0.11</v>
      </c>
      <c r="C7" s="11">
        <v>0.03</v>
      </c>
      <c r="D7" s="11">
        <v>0.01</v>
      </c>
      <c r="E7" s="11">
        <v>0.01</v>
      </c>
      <c r="F7" s="11">
        <v>0</v>
      </c>
      <c r="G7" s="11">
        <v>0.03</v>
      </c>
    </row>
    <row r="8" spans="1:7" ht="15.75" x14ac:dyDescent="0.25">
      <c r="A8" s="10" t="s">
        <v>29</v>
      </c>
      <c r="B8" s="11">
        <v>0.03</v>
      </c>
      <c r="C8" s="11">
        <v>0.01</v>
      </c>
      <c r="D8" s="11">
        <v>0</v>
      </c>
      <c r="E8" s="11">
        <v>0</v>
      </c>
      <c r="F8" s="11">
        <v>0</v>
      </c>
      <c r="G8" s="11">
        <v>0.01</v>
      </c>
    </row>
    <row r="9" spans="1:7" ht="15.75" x14ac:dyDescent="0.25">
      <c r="A9" s="10" t="s">
        <v>30</v>
      </c>
      <c r="B9" s="11">
        <v>0</v>
      </c>
      <c r="C9" s="11">
        <v>0</v>
      </c>
      <c r="D9" s="11">
        <v>0</v>
      </c>
      <c r="E9" s="11">
        <v>0</v>
      </c>
      <c r="F9" s="11">
        <v>0</v>
      </c>
      <c r="G9" s="11">
        <v>0</v>
      </c>
    </row>
    <row r="10" spans="1:7" ht="15.75" x14ac:dyDescent="0.25">
      <c r="A10" s="10" t="s">
        <v>24</v>
      </c>
      <c r="B10" s="11">
        <v>1</v>
      </c>
      <c r="C10" s="11">
        <v>1</v>
      </c>
      <c r="D10" s="11">
        <v>1</v>
      </c>
      <c r="E10" s="11">
        <v>1</v>
      </c>
      <c r="F10" s="11">
        <v>1</v>
      </c>
      <c r="G10" s="11">
        <v>1</v>
      </c>
    </row>
    <row r="11" spans="1:7" ht="15.75" x14ac:dyDescent="0.25">
      <c r="A11" s="12" t="s">
        <v>31</v>
      </c>
      <c r="B11" s="13">
        <v>1180</v>
      </c>
      <c r="C11" s="13">
        <v>1540</v>
      </c>
      <c r="D11" s="13">
        <v>1980</v>
      </c>
      <c r="E11" s="13">
        <v>2230</v>
      </c>
      <c r="F11" s="13">
        <v>2110</v>
      </c>
      <c r="G11" s="13">
        <v>9030</v>
      </c>
    </row>
    <row r="12" spans="1:7" ht="15.75" x14ac:dyDescent="0.25">
      <c r="A12" s="14"/>
      <c r="B12" s="14"/>
      <c r="C12" s="14"/>
      <c r="D12" s="14"/>
      <c r="E12" s="14"/>
      <c r="F12" s="14"/>
      <c r="G12" s="14"/>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
  <sheetViews>
    <sheetView showGridLines="0" workbookViewId="0">
      <selection activeCell="A14" sqref="A14"/>
    </sheetView>
  </sheetViews>
  <sheetFormatPr defaultColWidth="11.42578125" defaultRowHeight="15" x14ac:dyDescent="0.25"/>
  <cols>
    <col min="1" max="1" width="70.7109375" customWidth="1"/>
    <col min="2" max="8" width="15.7109375" customWidth="1"/>
  </cols>
  <sheetData>
    <row r="1" spans="1:8" ht="19.5" x14ac:dyDescent="0.3">
      <c r="A1" s="1" t="s">
        <v>54</v>
      </c>
      <c r="B1" s="5"/>
      <c r="C1" s="5"/>
      <c r="D1" s="5"/>
      <c r="E1" s="5"/>
      <c r="F1" s="5"/>
      <c r="G1" s="5"/>
      <c r="H1" s="5"/>
    </row>
    <row r="2" spans="1:8" ht="30.75" x14ac:dyDescent="0.25">
      <c r="A2" s="8" t="s">
        <v>17</v>
      </c>
      <c r="B2" s="9" t="s">
        <v>55</v>
      </c>
      <c r="C2" s="9" t="s">
        <v>56</v>
      </c>
      <c r="D2" s="9" t="s">
        <v>57</v>
      </c>
      <c r="E2" s="9" t="s">
        <v>58</v>
      </c>
      <c r="F2" s="9" t="s">
        <v>59</v>
      </c>
      <c r="G2" s="9" t="s">
        <v>60</v>
      </c>
      <c r="H2" s="15" t="s">
        <v>31</v>
      </c>
    </row>
    <row r="3" spans="1:8" ht="15.75" x14ac:dyDescent="0.25">
      <c r="A3" s="10" t="s">
        <v>61</v>
      </c>
      <c r="B3" s="11">
        <v>0.5</v>
      </c>
      <c r="C3" s="11">
        <v>0.38</v>
      </c>
      <c r="D3" s="11">
        <v>0.08</v>
      </c>
      <c r="E3" s="11">
        <v>0.02</v>
      </c>
      <c r="F3" s="11">
        <v>0.01</v>
      </c>
      <c r="G3" s="11">
        <v>0.02</v>
      </c>
      <c r="H3" s="16">
        <v>9030</v>
      </c>
    </row>
    <row r="4" spans="1:8" ht="15.75" x14ac:dyDescent="0.25">
      <c r="A4" s="10" t="s">
        <v>62</v>
      </c>
      <c r="B4" s="11">
        <v>0.46</v>
      </c>
      <c r="C4" s="11">
        <v>0.37</v>
      </c>
      <c r="D4" s="11">
        <v>0.1</v>
      </c>
      <c r="E4" s="11">
        <v>0.03</v>
      </c>
      <c r="F4" s="11">
        <v>0.01</v>
      </c>
      <c r="G4" s="11">
        <v>0.02</v>
      </c>
      <c r="H4" s="16">
        <v>9030</v>
      </c>
    </row>
    <row r="5" spans="1:8" ht="15.75" x14ac:dyDescent="0.25">
      <c r="A5" s="10" t="s">
        <v>63</v>
      </c>
      <c r="B5" s="11">
        <v>0.21</v>
      </c>
      <c r="C5" s="11">
        <v>0.33</v>
      </c>
      <c r="D5" s="11">
        <v>0.13</v>
      </c>
      <c r="E5" s="11">
        <v>0.21</v>
      </c>
      <c r="F5" s="11">
        <v>0.09</v>
      </c>
      <c r="G5" s="11">
        <v>0.03</v>
      </c>
      <c r="H5" s="16">
        <v>9030</v>
      </c>
    </row>
    <row r="6" spans="1:8" ht="15.75" x14ac:dyDescent="0.25">
      <c r="A6" s="10" t="s">
        <v>64</v>
      </c>
      <c r="B6" s="11">
        <v>0.28000000000000003</v>
      </c>
      <c r="C6" s="11">
        <v>0.34</v>
      </c>
      <c r="D6" s="11">
        <v>0.09</v>
      </c>
      <c r="E6" s="11">
        <v>0.18</v>
      </c>
      <c r="F6" s="11">
        <v>0.09</v>
      </c>
      <c r="G6" s="11">
        <v>0.01</v>
      </c>
      <c r="H6" s="16">
        <v>9030</v>
      </c>
    </row>
    <row r="7" spans="1:8" ht="15.75" x14ac:dyDescent="0.25">
      <c r="A7" s="10" t="s">
        <v>65</v>
      </c>
      <c r="B7" s="11">
        <v>0.31</v>
      </c>
      <c r="C7" s="11">
        <v>0.44</v>
      </c>
      <c r="D7" s="11">
        <v>0.14000000000000001</v>
      </c>
      <c r="E7" s="11">
        <v>0.03</v>
      </c>
      <c r="F7" s="11">
        <v>0.01</v>
      </c>
      <c r="G7" s="11">
        <v>0.05</v>
      </c>
      <c r="H7" s="16">
        <v>9030</v>
      </c>
    </row>
    <row r="8" spans="1:8" ht="15.75" x14ac:dyDescent="0.25">
      <c r="A8" s="17" t="s">
        <v>66</v>
      </c>
      <c r="B8" s="18">
        <v>0.33</v>
      </c>
      <c r="C8" s="18">
        <v>0.35</v>
      </c>
      <c r="D8" s="18">
        <v>0.14000000000000001</v>
      </c>
      <c r="E8" s="18">
        <v>0.09</v>
      </c>
      <c r="F8" s="18">
        <v>0.04</v>
      </c>
      <c r="G8" s="18">
        <v>0.05</v>
      </c>
      <c r="H8" s="19">
        <v>9030</v>
      </c>
    </row>
    <row r="9" spans="1:8" ht="15.75" x14ac:dyDescent="0.25">
      <c r="A9" s="14"/>
      <c r="B9" s="14"/>
      <c r="C9" s="14"/>
      <c r="D9" s="14"/>
      <c r="E9" s="14"/>
      <c r="F9" s="14"/>
      <c r="G9" s="14"/>
      <c r="H9" s="14"/>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A43319973</value>
    </field>
    <field name="Objective-Title">
      <value order="0">scottish_household_survey_2021_national_results_02_neighbourhoods_and_communities_tables</value>
    </field>
    <field name="Objective-Description">
      <value order="0"/>
    </field>
    <field name="Objective-CreationStamp">
      <value order="0">2023-04-14T15:48:49Z</value>
    </field>
    <field name="Objective-IsApproved">
      <value order="0">false</value>
    </field>
    <field name="Objective-IsPublished">
      <value order="0">false</value>
    </field>
    <field name="Objective-DatePublished">
      <value order="0"/>
    </field>
    <field name="Objective-ModificationStamp">
      <value order="0">2023-04-17T16:39:13Z</value>
    </field>
    <field name="Objective-Owner">
      <value order="0">Wolfram, Hannah H (U446281)</value>
    </field>
    <field name="Objective-Path">
      <value order="0">Objective Global Folder:SG File Plan:People, communities and living:Housing:General:Research and analysis: Housing - general:Scottish Household Survey (SHS): Dissemination: Annual Report 2021: 2022-2027</value>
    </field>
    <field name="Objective-Parent">
      <value order="0">Scottish Household Survey (SHS): Dissemination: Annual Report 2021: 2022-2027</value>
    </field>
    <field name="Objective-State">
      <value order="0">Being Drafted</value>
    </field>
    <field name="Objective-VersionId">
      <value order="0">vA64670570</value>
    </field>
    <field name="Objective-Version">
      <value order="0">0.4</value>
    </field>
    <field name="Objective-VersionNumber">
      <value order="0">4</value>
    </field>
    <field name="Objective-VersionComment">
      <value order="0"/>
    </field>
    <field name="Objective-FileNumber">
      <value order="0">CASE/608397</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Cover</vt:lpstr>
      <vt:lpstr>Contents</vt:lpstr>
      <vt:lpstr>Confidence_intervals_2020</vt:lpstr>
      <vt:lpstr>Confidence_intervals_2021</vt:lpstr>
      <vt:lpstr>2_1</vt:lpstr>
      <vt:lpstr>2_2</vt:lpstr>
      <vt:lpstr>2_3</vt:lpstr>
      <vt:lpstr>2_4</vt:lpstr>
      <vt:lpstr>2_5</vt:lpstr>
      <vt:lpstr>2_6</vt:lpstr>
      <vt:lpstr>2_7</vt:lpstr>
      <vt:lpstr>2_8</vt:lpstr>
      <vt:lpstr>2_9</vt:lpstr>
      <vt:lpstr>2_10</vt:lpstr>
      <vt:lpstr>2_11</vt:lpstr>
      <vt:lpstr>2_12</vt:lpstr>
      <vt:lpstr>2_13</vt:lpstr>
      <vt:lpstr>2_14</vt:lpstr>
      <vt:lpstr>2_15</vt:lpstr>
      <vt:lpstr>2_16</vt:lpstr>
      <vt:lpstr>2_17</vt:lpstr>
      <vt:lpstr>2_18</vt:lpstr>
      <vt:lpstr>2_19</vt:lpstr>
      <vt:lpstr>2_20</vt:lpstr>
      <vt:lpstr>2_21</vt:lpstr>
      <vt:lpstr>2_22</vt:lpstr>
      <vt:lpstr>2_23</vt:lpstr>
      <vt:lpstr>2_24</vt:lpstr>
      <vt:lpstr>2_25</vt:lpstr>
      <vt:lpstr>2_26</vt:lpstr>
      <vt:lpstr>2_27</vt:lpstr>
      <vt:lpstr>2_28</vt:lpstr>
      <vt:lpstr>2_29</vt:lpstr>
      <vt:lpstr>2_30</vt:lpstr>
      <vt:lpstr>2_31</vt:lpstr>
      <vt:lpstr>2_32</vt:lpstr>
      <vt:lpstr>2_33</vt:lpstr>
      <vt:lpstr>2_34</vt:lpstr>
      <vt:lpstr>2_35</vt:lpstr>
      <vt:lpstr>2_36</vt:lpstr>
      <vt:lpstr>2_37</vt:lpstr>
      <vt:lpstr>2_38</vt:lpstr>
      <vt:lpstr>2_39</vt:lpstr>
      <vt:lpstr>2_40</vt:lpstr>
      <vt:lpstr>2_41</vt:lpstr>
      <vt:lpstr>2_42</vt:lpstr>
      <vt:lpstr>2_43</vt:lpstr>
      <vt:lpstr>2_44</vt:lpstr>
      <vt:lpstr>2_45</vt:lpstr>
      <vt:lpstr>2_46</vt:lpstr>
      <vt:lpstr>2_47</vt:lpstr>
      <vt:lpstr>2_48</vt:lpstr>
      <vt:lpstr>2_49</vt:lpstr>
      <vt:lpstr>2_50</vt:lpstr>
      <vt:lpstr>2_51</vt:lpstr>
      <vt:lpstr>2_52</vt:lpstr>
      <vt:lpstr>2_53</vt:lpstr>
      <vt:lpstr>2_54</vt:lpstr>
      <vt:lpstr>2_55</vt:lpstr>
      <vt:lpstr>2_56</vt:lpstr>
      <vt:lpstr>2_57</vt:lpstr>
      <vt:lpstr>2_58</vt:lpstr>
      <vt:lpstr>2_59</vt:lpstr>
      <vt:lpstr>2_60</vt:lpstr>
      <vt:lpstr>2_61</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Scottish Household Survey (SHS), Neighbourhoods and communities  data tables, Scotland, 2021</dc:title>
  <dc:subject>Official Statistics</dc:subject>
  <dc:creator>Hannah Wolfram</dc:creator>
  <cp:keywords>statistics; households; culture; environment; housing</cp:keywords>
  <cp:lastModifiedBy>Emma Menzies</cp:lastModifiedBy>
  <dcterms:created xsi:type="dcterms:W3CDTF">2023-04-14T13:15:46Z</dcterms:created>
  <dcterms:modified xsi:type="dcterms:W3CDTF">2023-08-23T12:17:41Z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A43319973</vt:lpwstr>
  </property>
  <property fmtid="{D5CDD505-2E9C-101B-9397-08002B2CF9AE}" pid="4" name="Objective-Title">
    <vt:lpwstr>scottish_household_survey_2021_national_results_02_neighbourhoods_and_communities_tables</vt:lpwstr>
  </property>
  <property fmtid="{D5CDD505-2E9C-101B-9397-08002B2CF9AE}" pid="5" name="Objective-Description">
    <vt:lpwstr/>
  </property>
  <property fmtid="{D5CDD505-2E9C-101B-9397-08002B2CF9AE}" pid="6" name="Objective-CreationStamp">
    <vt:filetime>2023-04-14T15:48:49Z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2023-04-17T16:39:13Z</vt:filetime>
  </property>
  <property fmtid="{D5CDD505-2E9C-101B-9397-08002B2CF9AE}" pid="11" name="Objective-Owner">
    <vt:lpwstr>Wolfram, Hannah H (U446281)</vt:lpwstr>
  </property>
  <property fmtid="{D5CDD505-2E9C-101B-9397-08002B2CF9AE}" pid="12" name="Objective-Path">
    <vt:lpwstr>Objective Global Folder:SG File Plan:People, communities and living:Housing:General:Research and analysis: Housing - general:Scottish Household Survey (SHS): Dissemination: Annual Report 2021: 2022-2027</vt:lpwstr>
  </property>
  <property fmtid="{D5CDD505-2E9C-101B-9397-08002B2CF9AE}" pid="13" name="Objective-Parent">
    <vt:lpwstr>Scottish Household Survey (SHS): Dissemination: Annual Report 2021: 2022-2027</vt:lpwstr>
  </property>
  <property fmtid="{D5CDD505-2E9C-101B-9397-08002B2CF9AE}" pid="14" name="Objective-State">
    <vt:lpwstr>Being Drafted</vt:lpwstr>
  </property>
  <property fmtid="{D5CDD505-2E9C-101B-9397-08002B2CF9AE}" pid="15" name="Objective-VersionId">
    <vt:lpwstr>vA64670570</vt:lpwstr>
  </property>
  <property fmtid="{D5CDD505-2E9C-101B-9397-08002B2CF9AE}" pid="16" name="Objective-Version">
    <vt:lpwstr>0.4</vt:lpwstr>
  </property>
  <property fmtid="{D5CDD505-2E9C-101B-9397-08002B2CF9AE}" pid="17" name="Objective-VersionNumber">
    <vt:r8>4</vt:r8>
  </property>
  <property fmtid="{D5CDD505-2E9C-101B-9397-08002B2CF9AE}" pid="18" name="Objective-VersionComment">
    <vt:lpwstr/>
  </property>
  <property fmtid="{D5CDD505-2E9C-101B-9397-08002B2CF9AE}" pid="19" name="Objective-FileNumber">
    <vt:lpwstr>CASE/608397</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