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8_{56D6DF22-0B10-43C2-B432-28D01AF2A44B}" xr6:coauthVersionLast="47" xr6:coauthVersionMax="47" xr10:uidLastSave="{00000000-0000-0000-0000-000000000000}"/>
  <bookViews>
    <workbookView xWindow="-120" yWindow="-120" windowWidth="20730" windowHeight="11040" tabRatio="835" xr2:uid="{92FEB945-7372-4E97-BD56-ECE80824434B}"/>
  </bookViews>
  <sheets>
    <sheet name="Financials" sheetId="7" r:id="rId1"/>
    <sheet name="R_Disclosures" sheetId="5" r:id="rId2"/>
    <sheet name="I_Disclosures_Master" sheetId="1" r:id="rId3"/>
    <sheet name="I_Disclosures" sheetId="2" r:id="rId4"/>
    <sheet name="I_Dashboard" sheetId="3" r:id="rId5"/>
    <sheet name="R_Disclosures_Master" sheetId="4" r:id="rId6"/>
    <sheet name="R_Dashboard" sheetId="6" r:id="rId7"/>
  </sheets>
  <externalReferences>
    <externalReference r:id="rId8"/>
    <externalReference r:id="rId9"/>
  </externalReferences>
  <definedNames>
    <definedName name="_xlchart.v1.0" hidden="1">[1]I_Dashboard_Data!$B$82</definedName>
    <definedName name="_xlchart.v1.1" hidden="1">[1]I_Dashboard_Data!$B$83:$B$96</definedName>
    <definedName name="_xlchart.v1.10" hidden="1">[1]I_Dashboard_Data!$B$35:$B$48</definedName>
    <definedName name="_xlchart.v1.11" hidden="1">[1]I_Dashboard_Data!$C$35:$C$48</definedName>
    <definedName name="_xlchart.v1.12" hidden="1">[1]I_Dashboard_Data!$B$18</definedName>
    <definedName name="_xlchart.v1.13" hidden="1">[1]I_Dashboard_Data!$B$19:$B$32</definedName>
    <definedName name="_xlchart.v1.14" hidden="1">[1]I_Dashboard_Data!$C$19:$C$32</definedName>
    <definedName name="_xlchart.v1.15" hidden="1">[1]R_Dashboard_Data!$B$2</definedName>
    <definedName name="_xlchart.v1.16" hidden="1">[1]R_Dashboard_Data!$B$33:$B$45</definedName>
    <definedName name="_xlchart.v1.17" hidden="1">[1]R_Dashboard_Data!$C$3:$C$15</definedName>
    <definedName name="_xlchart.v1.18" hidden="1">[1]R_Dashboard_Data!$B$17</definedName>
    <definedName name="_xlchart.v1.19" hidden="1">[1]R_Dashboard_Data!$B$33:$B$45</definedName>
    <definedName name="_xlchart.v1.2" hidden="1">[1]I_Dashboard_Data!$C$83:$C$96</definedName>
    <definedName name="_xlchart.v1.20" hidden="1">[1]R_Dashboard_Data!$C$18:$C$30</definedName>
    <definedName name="_xlchart.v1.21" hidden="1">[1]R_Dashboard_Data!$B$63:$B$75</definedName>
    <definedName name="_xlchart.v1.22" hidden="1">[1]R_Dashboard_Data!$C$63:$C$75</definedName>
    <definedName name="_xlchart.v1.23" hidden="1">[1]R_Dashboard_Data!$B$32</definedName>
    <definedName name="_xlchart.v1.24" hidden="1">[1]R_Dashboard_Data!$B$33:$B$45</definedName>
    <definedName name="_xlchart.v1.25" hidden="1">[1]R_Dashboard_Data!$C$33:$C$45</definedName>
    <definedName name="_xlchart.v1.26" hidden="1">[1]R_Dashboard_Data!$B$78:$B$90</definedName>
    <definedName name="_xlchart.v1.27" hidden="1">[1]R_Dashboard_Data!$C$78:$C$90</definedName>
    <definedName name="_xlchart.v1.28" hidden="1">[1]R_Dashboard_Data!$B$48:$B$60</definedName>
    <definedName name="_xlchart.v1.29" hidden="1">[1]R_Dashboard_Data!$C$48:$C$60</definedName>
    <definedName name="_xlchart.v1.3" hidden="1">[1]I_Dashboard_Data!$B$51:$B$64</definedName>
    <definedName name="_xlchart.v1.4" hidden="1">[1]I_Dashboard_Data!$C$51:$C$64</definedName>
    <definedName name="_xlchart.v1.5" hidden="1">[1]I_Dashboard_Data!$B$19:$B$32</definedName>
    <definedName name="_xlchart.v1.6" hidden="1">[1]I_Dashboard_Data!$B$2</definedName>
    <definedName name="_xlchart.v1.7" hidden="1">[1]I_Dashboard_Data!$C$3:$C$16</definedName>
    <definedName name="_xlchart.v1.8" hidden="1">[1]I_Dashboard_Data!$B$67:$B$80</definedName>
    <definedName name="_xlchart.v1.9" hidden="1">[1]I_Dashboard_Data!$C$67:$C$80</definedName>
    <definedName name="Assumptions_YieldCurves">[1]!Assumptions_YieldCurves_fwd[#All]</definedName>
    <definedName name="Currency">[2]Setup!$F$4</definedName>
    <definedName name="CurrencyPeriodMapping">[1]MetaData!$B$370:$D$545</definedName>
    <definedName name="Expedient_AcqCFs">[1]Setup!$F$17</definedName>
    <definedName name="Expedient_DiscountingLIC">[1]Setup!$F$19</definedName>
    <definedName name="FXStart">[2]FXImpactFrom!$A$2:$A$3</definedName>
    <definedName name="Option_DisaggregateChangeInRA">[1]Setup!$F$28</definedName>
    <definedName name="Option_DiscountAcqCFs">[2]Setup!$F$15</definedName>
    <definedName name="Option_DiscountAmortPattern">[2]Setup!$F$16</definedName>
    <definedName name="Option_DiscountCUs">[2]Setup!$F$14</definedName>
    <definedName name="Option_LICAccretion">[1]Setup!$F$24</definedName>
    <definedName name="Option_LICRALevel">[1]Setup!$F$27</definedName>
    <definedName name="Option_LossComponent">[1]Setup!$F$25</definedName>
    <definedName name="Option_PLvsOCI">[1]Setup!$F$23</definedName>
    <definedName name="Option_RASimplification">[1]Setup!$F$26</definedName>
    <definedName name="Option_SeparateDRCR">[1]Setup!$F$22</definedName>
    <definedName name="ReportingCurrency">[1]Setup!$F$4</definedName>
    <definedName name="ReportingDate_Current">[1]Setup!$F$3</definedName>
    <definedName name="ReportingDate_Previous">[1]Setup!$F$2</definedName>
    <definedName name="ReportingSegment_I" localSheetId="0">[1]I_Disclosures!$C$1</definedName>
    <definedName name="ReportingSegment_I" localSheetId="4">[1]I_Disclosures!$C$1</definedName>
    <definedName name="ReportingSegment_I" localSheetId="6">[1]I_Disclosures!$C$1</definedName>
    <definedName name="ReportingSegment_I" localSheetId="1">[1]I_Disclosures!$C$1</definedName>
    <definedName name="ReportingSegment_I" localSheetId="5">[1]I_Disclosures!$C$1</definedName>
    <definedName name="ReportingSegment_I">I_Disclosures!$C$1</definedName>
    <definedName name="ReportingSegment_Ins">[2]I_Disclosures!$C$1</definedName>
    <definedName name="ReportingSegment_R" localSheetId="0">[1]R_Disclosures!$C$1</definedName>
    <definedName name="ReportingSegment_R" localSheetId="6">[1]R_Disclosures!$C$1</definedName>
    <definedName name="ReportingSegment_R">R_Disclosures!$C$1</definedName>
    <definedName name="ReportingSegment_RI">[2]R_Disclosures!$C$1</definedName>
    <definedName name="Scope_CBs">[1]Setup!$F$8</definedName>
    <definedName name="Scope_CComm">[1]Setup!$F$11</definedName>
    <definedName name="Scope_Insurance">[1]Setup!$F$7</definedName>
    <definedName name="Scope_Onerous">[1]Setup!$F$12</definedName>
    <definedName name="Scope_PAA_GICs">[1]Setup!$F$10</definedName>
    <definedName name="Scope_Pre_Rec_CFs">[1]Setup!$F$13</definedName>
    <definedName name="Scope_Reinsurance">[1]Setup!$F$9</definedName>
    <definedName name="Scope_RIPre_Rec_CFs">[1]Setup!$F$14</definedName>
    <definedName name="Scope_Runoff">[1]Setup!#REF!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C30" i="7"/>
  <c r="C32" i="7" s="1"/>
  <c r="C33" i="7" s="1"/>
  <c r="C25" i="7"/>
  <c r="C24" i="7"/>
  <c r="C26" i="7" s="1"/>
  <c r="C21" i="7"/>
  <c r="C20" i="7"/>
  <c r="C22" i="7" s="1"/>
  <c r="C18" i="7"/>
  <c r="C17" i="7"/>
  <c r="C19" i="7" s="1"/>
  <c r="C23" i="7" s="1"/>
  <c r="C27" i="7" s="1"/>
  <c r="C16" i="7"/>
  <c r="D9" i="7"/>
  <c r="C9" i="7"/>
  <c r="D8" i="7"/>
  <c r="D12" i="7" s="1"/>
  <c r="C8" i="7"/>
  <c r="C12" i="7" s="1"/>
  <c r="D5" i="7"/>
  <c r="C5" i="7"/>
  <c r="D4" i="7"/>
  <c r="D7" i="7" s="1"/>
  <c r="C4" i="7"/>
  <c r="C7" i="7" s="1"/>
  <c r="D2" i="7"/>
  <c r="C2" i="7"/>
  <c r="C41" i="5"/>
  <c r="C40" i="5"/>
  <c r="C38" i="5"/>
  <c r="C37" i="5"/>
  <c r="C36" i="5"/>
  <c r="C35" i="5"/>
  <c r="C39" i="5" s="1"/>
  <c r="C33" i="5"/>
  <c r="B30" i="5"/>
  <c r="G29" i="5"/>
  <c r="F29" i="5"/>
  <c r="E29" i="5"/>
  <c r="D29" i="5"/>
  <c r="H29" i="5" s="1"/>
  <c r="C29" i="5"/>
  <c r="B29" i="5"/>
  <c r="G28" i="5"/>
  <c r="G30" i="5" s="1"/>
  <c r="F28" i="5"/>
  <c r="F30" i="5" s="1"/>
  <c r="E28" i="5"/>
  <c r="E30" i="5" s="1"/>
  <c r="D28" i="5"/>
  <c r="D30" i="5" s="1"/>
  <c r="C28" i="5"/>
  <c r="H28" i="5" s="1"/>
  <c r="B28" i="5"/>
  <c r="B27" i="5"/>
  <c r="G26" i="5"/>
  <c r="E26" i="5"/>
  <c r="C26" i="5"/>
  <c r="F25" i="5"/>
  <c r="F26" i="5" s="1"/>
  <c r="D24" i="5"/>
  <c r="D26" i="5" s="1"/>
  <c r="C24" i="5"/>
  <c r="H24" i="5" s="1"/>
  <c r="G20" i="5"/>
  <c r="F20" i="5"/>
  <c r="E20" i="5"/>
  <c r="D20" i="5"/>
  <c r="H20" i="5" s="1"/>
  <c r="C20" i="5"/>
  <c r="C21" i="5" s="1"/>
  <c r="G19" i="5"/>
  <c r="F19" i="5"/>
  <c r="E19" i="5"/>
  <c r="D19" i="5"/>
  <c r="H19" i="5" s="1"/>
  <c r="G18" i="5"/>
  <c r="F18" i="5"/>
  <c r="E18" i="5"/>
  <c r="D18" i="5"/>
  <c r="H18" i="5" s="1"/>
  <c r="G17" i="5"/>
  <c r="G21" i="5" s="1"/>
  <c r="F17" i="5"/>
  <c r="F21" i="5" s="1"/>
  <c r="E17" i="5"/>
  <c r="E21" i="5" s="1"/>
  <c r="D17" i="5"/>
  <c r="D21" i="5" s="1"/>
  <c r="E16" i="5"/>
  <c r="E22" i="5" s="1"/>
  <c r="F15" i="5"/>
  <c r="D15" i="5"/>
  <c r="H15" i="5" s="1"/>
  <c r="D14" i="5"/>
  <c r="C14" i="5"/>
  <c r="C16" i="5" s="1"/>
  <c r="G13" i="5"/>
  <c r="G16" i="5" s="1"/>
  <c r="G22" i="5" s="1"/>
  <c r="F13" i="5"/>
  <c r="H13" i="5" s="1"/>
  <c r="H12" i="5"/>
  <c r="E12" i="5"/>
  <c r="G11" i="5"/>
  <c r="F11" i="5"/>
  <c r="F16" i="5" s="1"/>
  <c r="D9" i="5"/>
  <c r="D16" i="5" s="1"/>
  <c r="D22" i="5" s="1"/>
  <c r="C9" i="5"/>
  <c r="H9" i="5" s="1"/>
  <c r="B8" i="5"/>
  <c r="G7" i="5"/>
  <c r="F7" i="5"/>
  <c r="E7" i="5"/>
  <c r="D7" i="5"/>
  <c r="C7" i="5"/>
  <c r="H7" i="5" s="1"/>
  <c r="B7" i="5"/>
  <c r="G6" i="5"/>
  <c r="G8" i="5" s="1"/>
  <c r="F6" i="5"/>
  <c r="F8" i="5" s="1"/>
  <c r="E6" i="5"/>
  <c r="E8" i="5" s="1"/>
  <c r="E27" i="5" s="1"/>
  <c r="D6" i="5"/>
  <c r="D8" i="5" s="1"/>
  <c r="D27" i="5" s="1"/>
  <c r="C6" i="5"/>
  <c r="C8" i="5" s="1"/>
  <c r="B6" i="5"/>
  <c r="P35" i="4"/>
  <c r="L35" i="4"/>
  <c r="H35" i="4"/>
  <c r="N31" i="4"/>
  <c r="G31" i="4"/>
  <c r="E31" i="4"/>
  <c r="G30" i="4"/>
  <c r="E30" i="4" s="1"/>
  <c r="G29" i="4"/>
  <c r="E29" i="4" s="1"/>
  <c r="G27" i="4"/>
  <c r="E27" i="4" s="1"/>
  <c r="G26" i="4"/>
  <c r="E26" i="4" s="1"/>
  <c r="G25" i="4"/>
  <c r="E25" i="4" s="1"/>
  <c r="G24" i="4"/>
  <c r="E24" i="4" s="1"/>
  <c r="P22" i="4"/>
  <c r="L22" i="4"/>
  <c r="H22" i="4"/>
  <c r="G22" i="4"/>
  <c r="F22" i="4"/>
  <c r="G21" i="4"/>
  <c r="F21" i="4" s="1"/>
  <c r="P19" i="4"/>
  <c r="G19" i="4"/>
  <c r="E19" i="4"/>
  <c r="G18" i="4"/>
  <c r="F18" i="4" s="1"/>
  <c r="P17" i="4"/>
  <c r="G17" i="4"/>
  <c r="F17" i="4"/>
  <c r="G15" i="4"/>
  <c r="E15" i="4" s="1"/>
  <c r="P13" i="4"/>
  <c r="G13" i="4"/>
  <c r="E13" i="4" s="1"/>
  <c r="G12" i="4"/>
  <c r="E12" i="4"/>
  <c r="G11" i="4"/>
  <c r="E11" i="4" s="1"/>
  <c r="H9" i="4"/>
  <c r="G9" i="4"/>
  <c r="D9" i="4"/>
  <c r="R7" i="4"/>
  <c r="P7" i="4"/>
  <c r="N7" i="4"/>
  <c r="L7" i="4"/>
  <c r="J7" i="4"/>
  <c r="H7" i="4"/>
  <c r="S5" i="4"/>
  <c r="R5" i="4"/>
  <c r="Q5" i="4"/>
  <c r="P5" i="4"/>
  <c r="O5" i="4"/>
  <c r="N5" i="4"/>
  <c r="M5" i="4"/>
  <c r="L5" i="4"/>
  <c r="K5" i="4"/>
  <c r="J5" i="4"/>
  <c r="I5" i="4"/>
  <c r="H5" i="4"/>
  <c r="C43" i="2"/>
  <c r="C42" i="2"/>
  <c r="C40" i="2"/>
  <c r="C39" i="2"/>
  <c r="C38" i="2"/>
  <c r="C41" i="2" s="1"/>
  <c r="C36" i="2"/>
  <c r="B33" i="2"/>
  <c r="G32" i="2"/>
  <c r="F32" i="2"/>
  <c r="E32" i="2"/>
  <c r="D32" i="2"/>
  <c r="C32" i="2"/>
  <c r="H32" i="2" s="1"/>
  <c r="B32" i="2"/>
  <c r="G31" i="2"/>
  <c r="G33" i="2" s="1"/>
  <c r="F31" i="2"/>
  <c r="F33" i="2" s="1"/>
  <c r="E31" i="2"/>
  <c r="E33" i="2" s="1"/>
  <c r="D31" i="2"/>
  <c r="D33" i="2" s="1"/>
  <c r="C31" i="2"/>
  <c r="C33" i="2" s="1"/>
  <c r="H33" i="2" s="1"/>
  <c r="B31" i="2"/>
  <c r="B30" i="2"/>
  <c r="G29" i="2"/>
  <c r="E29" i="2"/>
  <c r="D28" i="2"/>
  <c r="C28" i="2"/>
  <c r="C29" i="2" s="1"/>
  <c r="F27" i="2"/>
  <c r="H27" i="2" s="1"/>
  <c r="D26" i="2"/>
  <c r="H26" i="2" s="1"/>
  <c r="G22" i="2"/>
  <c r="F22" i="2"/>
  <c r="E22" i="2"/>
  <c r="D22" i="2"/>
  <c r="C22" i="2"/>
  <c r="H22" i="2" s="1"/>
  <c r="G21" i="2"/>
  <c r="G23" i="2" s="1"/>
  <c r="F21" i="2"/>
  <c r="E21" i="2"/>
  <c r="E23" i="2" s="1"/>
  <c r="D21" i="2"/>
  <c r="H21" i="2" s="1"/>
  <c r="G20" i="2"/>
  <c r="F20" i="2"/>
  <c r="F23" i="2" s="1"/>
  <c r="E20" i="2"/>
  <c r="D20" i="2"/>
  <c r="D23" i="2" s="1"/>
  <c r="F18" i="2"/>
  <c r="D18" i="2"/>
  <c r="H18" i="2" s="1"/>
  <c r="D17" i="2"/>
  <c r="C17" i="2"/>
  <c r="H17" i="2" s="1"/>
  <c r="G16" i="2"/>
  <c r="F16" i="2"/>
  <c r="H16" i="2" s="1"/>
  <c r="H15" i="2"/>
  <c r="E15" i="2"/>
  <c r="H14" i="2"/>
  <c r="C14" i="2"/>
  <c r="H13" i="2"/>
  <c r="C13" i="2"/>
  <c r="D12" i="2"/>
  <c r="C12" i="2"/>
  <c r="C19" i="2" s="1"/>
  <c r="G11" i="2"/>
  <c r="G19" i="2" s="1"/>
  <c r="G24" i="2" s="1"/>
  <c r="F11" i="2"/>
  <c r="F19" i="2" s="1"/>
  <c r="F24" i="2" s="1"/>
  <c r="E11" i="2"/>
  <c r="H11" i="2" s="1"/>
  <c r="D9" i="2"/>
  <c r="D19" i="2" s="1"/>
  <c r="D24" i="2" s="1"/>
  <c r="B8" i="2"/>
  <c r="G7" i="2"/>
  <c r="F7" i="2"/>
  <c r="E7" i="2"/>
  <c r="D7" i="2"/>
  <c r="H7" i="2" s="1"/>
  <c r="C7" i="2"/>
  <c r="B7" i="2"/>
  <c r="G6" i="2"/>
  <c r="G8" i="2" s="1"/>
  <c r="F6" i="2"/>
  <c r="F8" i="2" s="1"/>
  <c r="E6" i="2"/>
  <c r="E8" i="2" s="1"/>
  <c r="D6" i="2"/>
  <c r="D8" i="2" s="1"/>
  <c r="C6" i="2"/>
  <c r="H6" i="2" s="1"/>
  <c r="B6" i="2"/>
  <c r="Q38" i="1"/>
  <c r="M38" i="1"/>
  <c r="I38" i="1"/>
  <c r="G34" i="1"/>
  <c r="E34" i="1" s="1"/>
  <c r="G33" i="1"/>
  <c r="E33" i="1" s="1"/>
  <c r="O32" i="1"/>
  <c r="G32" i="1"/>
  <c r="E32" i="1"/>
  <c r="G31" i="1"/>
  <c r="E31" i="1" s="1"/>
  <c r="G29" i="1"/>
  <c r="E29" i="1" s="1"/>
  <c r="G28" i="1"/>
  <c r="E28" i="1" s="1"/>
  <c r="G27" i="1"/>
  <c r="E27" i="1" s="1"/>
  <c r="I26" i="1"/>
  <c r="G26" i="1"/>
  <c r="E26" i="1"/>
  <c r="G24" i="1"/>
  <c r="F24" i="1" s="1"/>
  <c r="G23" i="1"/>
  <c r="F23" i="1"/>
  <c r="O21" i="1"/>
  <c r="G21" i="1"/>
  <c r="F21" i="1" s="1"/>
  <c r="M20" i="1"/>
  <c r="I20" i="1"/>
  <c r="G20" i="1"/>
  <c r="F20" i="1"/>
  <c r="O18" i="1"/>
  <c r="G18" i="1"/>
  <c r="E18" i="1" s="1"/>
  <c r="G16" i="1"/>
  <c r="E16" i="1" s="1"/>
  <c r="G15" i="1"/>
  <c r="E15" i="1"/>
  <c r="G14" i="1"/>
  <c r="E14" i="1" s="1"/>
  <c r="G13" i="1"/>
  <c r="E13" i="1"/>
  <c r="G12" i="1"/>
  <c r="E12" i="1"/>
  <c r="O11" i="1"/>
  <c r="G11" i="1"/>
  <c r="E11" i="1" s="1"/>
  <c r="I9" i="1"/>
  <c r="G9" i="1"/>
  <c r="D9" i="1"/>
  <c r="Q7" i="1"/>
  <c r="O7" i="1"/>
  <c r="M7" i="1"/>
  <c r="K7" i="1"/>
  <c r="I7" i="1"/>
  <c r="S5" i="1"/>
  <c r="R5" i="1"/>
  <c r="Q5" i="1"/>
  <c r="P5" i="1"/>
  <c r="O5" i="1"/>
  <c r="N5" i="1"/>
  <c r="M5" i="1"/>
  <c r="L5" i="1"/>
  <c r="K5" i="1"/>
  <c r="J5" i="1"/>
  <c r="I5" i="1"/>
  <c r="H5" i="1"/>
  <c r="H21" i="5" l="1"/>
  <c r="H26" i="5"/>
  <c r="H8" i="5"/>
  <c r="G27" i="5"/>
  <c r="F22" i="5"/>
  <c r="F27" i="5" s="1"/>
  <c r="C22" i="5"/>
  <c r="H22" i="5" s="1"/>
  <c r="H16" i="5"/>
  <c r="H6" i="5"/>
  <c r="H11" i="5"/>
  <c r="H14" i="5"/>
  <c r="H17" i="5"/>
  <c r="C30" i="5"/>
  <c r="H30" i="5" s="1"/>
  <c r="H25" i="5"/>
  <c r="I35" i="4"/>
  <c r="I26" i="4"/>
  <c r="I24" i="4"/>
  <c r="I22" i="4"/>
  <c r="I18" i="4"/>
  <c r="I15" i="4"/>
  <c r="K35" i="4"/>
  <c r="K27" i="4"/>
  <c r="K22" i="4"/>
  <c r="K18" i="4"/>
  <c r="K15" i="4"/>
  <c r="M35" i="4"/>
  <c r="M22" i="4"/>
  <c r="M18" i="4"/>
  <c r="M15" i="4"/>
  <c r="O35" i="4"/>
  <c r="O30" i="4"/>
  <c r="O22" i="4"/>
  <c r="O19" i="4"/>
  <c r="O17" i="4"/>
  <c r="O13" i="4"/>
  <c r="Q35" i="4"/>
  <c r="Q22" i="4"/>
  <c r="Q19" i="4"/>
  <c r="Q17" i="4"/>
  <c r="Q13" i="4"/>
  <c r="S31" i="4"/>
  <c r="S30" i="4"/>
  <c r="I6" i="4"/>
  <c r="K6" i="4"/>
  <c r="M6" i="4"/>
  <c r="O6" i="4"/>
  <c r="Q6" i="4"/>
  <c r="K9" i="4"/>
  <c r="P11" i="4"/>
  <c r="M12" i="4"/>
  <c r="L15" i="4"/>
  <c r="Q15" i="4"/>
  <c r="K17" i="4"/>
  <c r="L18" i="4"/>
  <c r="Q18" i="4"/>
  <c r="K19" i="4"/>
  <c r="K21" i="4"/>
  <c r="O21" i="4"/>
  <c r="K29" i="4"/>
  <c r="K34" i="4"/>
  <c r="K36" i="4" s="1"/>
  <c r="O34" i="4"/>
  <c r="O36" i="4" s="1"/>
  <c r="H34" i="4"/>
  <c r="H36" i="4" s="1"/>
  <c r="H29" i="4"/>
  <c r="H25" i="4"/>
  <c r="H21" i="4"/>
  <c r="J34" i="4"/>
  <c r="J29" i="4"/>
  <c r="J21" i="4"/>
  <c r="J19" i="4"/>
  <c r="J17" i="4"/>
  <c r="L34" i="4"/>
  <c r="L36" i="4" s="1"/>
  <c r="L29" i="4"/>
  <c r="L21" i="4"/>
  <c r="L19" i="4"/>
  <c r="L17" i="4"/>
  <c r="N34" i="4"/>
  <c r="N21" i="4"/>
  <c r="P34" i="4"/>
  <c r="P36" i="4" s="1"/>
  <c r="P21" i="4"/>
  <c r="P18" i="4"/>
  <c r="P15" i="4"/>
  <c r="R34" i="4"/>
  <c r="R21" i="4"/>
  <c r="R18" i="4"/>
  <c r="R15" i="4"/>
  <c r="R11" i="4"/>
  <c r="H6" i="4"/>
  <c r="H8" i="4" s="1"/>
  <c r="H32" i="4" s="1"/>
  <c r="H37" i="4" s="1"/>
  <c r="J6" i="4"/>
  <c r="J8" i="4" s="1"/>
  <c r="L6" i="4"/>
  <c r="L8" i="4" s="1"/>
  <c r="N6" i="4"/>
  <c r="N8" i="4" s="1"/>
  <c r="P6" i="4"/>
  <c r="P8" i="4" s="1"/>
  <c r="R6" i="4"/>
  <c r="R8" i="4" s="1"/>
  <c r="I7" i="4"/>
  <c r="K7" i="4"/>
  <c r="M7" i="4"/>
  <c r="O7" i="4"/>
  <c r="Q7" i="4"/>
  <c r="I9" i="4"/>
  <c r="O11" i="4"/>
  <c r="Q11" i="4"/>
  <c r="R13" i="4"/>
  <c r="J15" i="4"/>
  <c r="O15" i="4"/>
  <c r="I17" i="4"/>
  <c r="M17" i="4"/>
  <c r="R17" i="4"/>
  <c r="J18" i="4"/>
  <c r="O18" i="4"/>
  <c r="I19" i="4"/>
  <c r="M19" i="4"/>
  <c r="R19" i="4"/>
  <c r="I21" i="4"/>
  <c r="M21" i="4"/>
  <c r="Q21" i="4"/>
  <c r="J22" i="4"/>
  <c r="N22" i="4"/>
  <c r="R22" i="4"/>
  <c r="N24" i="4"/>
  <c r="K25" i="4"/>
  <c r="J26" i="4"/>
  <c r="L27" i="4"/>
  <c r="I29" i="4"/>
  <c r="S29" i="4"/>
  <c r="P30" i="4"/>
  <c r="I34" i="4"/>
  <c r="I36" i="4" s="1"/>
  <c r="M34" i="4"/>
  <c r="M36" i="4" s="1"/>
  <c r="Q34" i="4"/>
  <c r="Q36" i="4" s="1"/>
  <c r="J35" i="4"/>
  <c r="N35" i="4"/>
  <c r="R35" i="4"/>
  <c r="F30" i="2"/>
  <c r="G30" i="2"/>
  <c r="C8" i="2"/>
  <c r="H12" i="2"/>
  <c r="E19" i="2"/>
  <c r="E24" i="2" s="1"/>
  <c r="E30" i="2" s="1"/>
  <c r="H20" i="2"/>
  <c r="C23" i="2"/>
  <c r="H23" i="2" s="1"/>
  <c r="H28" i="2"/>
  <c r="D29" i="2"/>
  <c r="D30" i="2" s="1"/>
  <c r="F29" i="2"/>
  <c r="H31" i="2"/>
  <c r="H9" i="2"/>
  <c r="H38" i="1"/>
  <c r="H34" i="1"/>
  <c r="H27" i="1"/>
  <c r="H24" i="1"/>
  <c r="H14" i="1"/>
  <c r="J38" i="1"/>
  <c r="J26" i="1"/>
  <c r="J24" i="1"/>
  <c r="J20" i="1"/>
  <c r="L38" i="1"/>
  <c r="L34" i="1"/>
  <c r="L24" i="1"/>
  <c r="L20" i="1"/>
  <c r="N38" i="1"/>
  <c r="N33" i="1"/>
  <c r="N24" i="1"/>
  <c r="P38" i="1"/>
  <c r="P32" i="1"/>
  <c r="P24" i="1"/>
  <c r="P21" i="1"/>
  <c r="P18" i="1"/>
  <c r="P11" i="1"/>
  <c r="R38" i="1"/>
  <c r="R24" i="1"/>
  <c r="R21" i="1"/>
  <c r="R18" i="1"/>
  <c r="R11" i="1"/>
  <c r="H6" i="1"/>
  <c r="J6" i="1"/>
  <c r="L6" i="1"/>
  <c r="N6" i="1"/>
  <c r="P6" i="1"/>
  <c r="R6" i="1"/>
  <c r="H12" i="1"/>
  <c r="R16" i="1"/>
  <c r="J18" i="1"/>
  <c r="H23" i="1"/>
  <c r="L23" i="1"/>
  <c r="P23" i="1"/>
  <c r="K24" i="1"/>
  <c r="O24" i="1"/>
  <c r="R20" i="1"/>
  <c r="J21" i="1"/>
  <c r="S34" i="1"/>
  <c r="H37" i="1"/>
  <c r="H39" i="1" s="1"/>
  <c r="L37" i="1"/>
  <c r="L39" i="1" s="1"/>
  <c r="P37" i="1"/>
  <c r="P39" i="1" s="1"/>
  <c r="I37" i="1"/>
  <c r="I39" i="1" s="1"/>
  <c r="I31" i="1"/>
  <c r="I28" i="1"/>
  <c r="I23" i="1"/>
  <c r="I21" i="1"/>
  <c r="I18" i="1"/>
  <c r="K37" i="1"/>
  <c r="K29" i="1"/>
  <c r="K23" i="1"/>
  <c r="K21" i="1"/>
  <c r="K18" i="1"/>
  <c r="K12" i="1"/>
  <c r="M37" i="1"/>
  <c r="M39" i="1" s="1"/>
  <c r="M23" i="1"/>
  <c r="M21" i="1"/>
  <c r="M18" i="1"/>
  <c r="M11" i="1"/>
  <c r="O37" i="1"/>
  <c r="O23" i="1"/>
  <c r="O20" i="1"/>
  <c r="O16" i="1"/>
  <c r="Q37" i="1"/>
  <c r="Q39" i="1" s="1"/>
  <c r="Q23" i="1"/>
  <c r="Q20" i="1"/>
  <c r="Q16" i="1"/>
  <c r="S31" i="1"/>
  <c r="I6" i="1"/>
  <c r="I8" i="1" s="1"/>
  <c r="K6" i="1"/>
  <c r="K8" i="1" s="1"/>
  <c r="M6" i="1"/>
  <c r="M8" i="1" s="1"/>
  <c r="O6" i="1"/>
  <c r="O8" i="1" s="1"/>
  <c r="Q6" i="1"/>
  <c r="Q8" i="1" s="1"/>
  <c r="H7" i="1"/>
  <c r="J7" i="1"/>
  <c r="L7" i="1"/>
  <c r="N7" i="1"/>
  <c r="P7" i="1"/>
  <c r="R7" i="1"/>
  <c r="Q11" i="1"/>
  <c r="H13" i="1"/>
  <c r="M15" i="1"/>
  <c r="P16" i="1"/>
  <c r="L18" i="1"/>
  <c r="Q18" i="1"/>
  <c r="K20" i="1"/>
  <c r="P20" i="1"/>
  <c r="L21" i="1"/>
  <c r="Q21" i="1"/>
  <c r="J23" i="1"/>
  <c r="N23" i="1"/>
  <c r="R23" i="1"/>
  <c r="I24" i="1"/>
  <c r="M24" i="1"/>
  <c r="Q24" i="1"/>
  <c r="N26" i="1"/>
  <c r="K27" i="1"/>
  <c r="J28" i="1"/>
  <c r="L29" i="1"/>
  <c r="J31" i="1"/>
  <c r="S32" i="1"/>
  <c r="S33" i="1"/>
  <c r="K34" i="1"/>
  <c r="J37" i="1"/>
  <c r="N37" i="1"/>
  <c r="N39" i="1" s="1"/>
  <c r="R37" i="1"/>
  <c r="R39" i="1" s="1"/>
  <c r="K38" i="1"/>
  <c r="O38" i="1"/>
  <c r="C27" i="5" l="1"/>
  <c r="H27" i="5" s="1"/>
  <c r="R32" i="4"/>
  <c r="R37" i="4" s="1"/>
  <c r="N32" i="4"/>
  <c r="J32" i="4"/>
  <c r="R36" i="4"/>
  <c r="N36" i="4"/>
  <c r="N39" i="4" s="1"/>
  <c r="J36" i="4"/>
  <c r="H39" i="4"/>
  <c r="O8" i="4"/>
  <c r="O32" i="4" s="1"/>
  <c r="O37" i="4" s="1"/>
  <c r="K8" i="4"/>
  <c r="K32" i="4" s="1"/>
  <c r="K37" i="4" s="1"/>
  <c r="P32" i="4"/>
  <c r="P37" i="4" s="1"/>
  <c r="L32" i="4"/>
  <c r="L37" i="4" s="1"/>
  <c r="Q8" i="4"/>
  <c r="Q32" i="4" s="1"/>
  <c r="Q37" i="4" s="1"/>
  <c r="M8" i="4"/>
  <c r="M32" i="4" s="1"/>
  <c r="M37" i="4" s="1"/>
  <c r="I8" i="4"/>
  <c r="I32" i="4" s="1"/>
  <c r="I37" i="4" s="1"/>
  <c r="J39" i="1"/>
  <c r="O35" i="1"/>
  <c r="H8" i="2"/>
  <c r="H19" i="2"/>
  <c r="C24" i="2"/>
  <c r="H24" i="2" s="1"/>
  <c r="H29" i="2"/>
  <c r="Q35" i="1"/>
  <c r="Q40" i="1" s="1"/>
  <c r="M35" i="1"/>
  <c r="M40" i="1" s="1"/>
  <c r="I35" i="1"/>
  <c r="I40" i="1" s="1"/>
  <c r="K39" i="1"/>
  <c r="P8" i="1"/>
  <c r="P35" i="1" s="1"/>
  <c r="P40" i="1" s="1"/>
  <c r="L8" i="1"/>
  <c r="L35" i="1" s="1"/>
  <c r="L40" i="1" s="1"/>
  <c r="H8" i="1"/>
  <c r="H35" i="1" s="1"/>
  <c r="H40" i="1" s="1"/>
  <c r="K35" i="1"/>
  <c r="O39" i="1"/>
  <c r="O40" i="1" s="1"/>
  <c r="R8" i="1"/>
  <c r="R35" i="1" s="1"/>
  <c r="R40" i="1" s="1"/>
  <c r="N8" i="1"/>
  <c r="N35" i="1" s="1"/>
  <c r="N40" i="1" s="1"/>
  <c r="J8" i="1"/>
  <c r="J35" i="1" s="1"/>
  <c r="J39" i="4" l="1"/>
  <c r="P39" i="4"/>
  <c r="I39" i="4"/>
  <c r="O39" i="4"/>
  <c r="K39" i="4"/>
  <c r="J37" i="4"/>
  <c r="L39" i="4"/>
  <c r="Q39" i="4"/>
  <c r="R39" i="4"/>
  <c r="N37" i="4"/>
  <c r="M39" i="4"/>
  <c r="J40" i="1"/>
  <c r="C30" i="2"/>
  <c r="H30" i="2" s="1"/>
  <c r="K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 W Ferguson</author>
  </authors>
  <commentList>
    <comment ref="M11" authorId="0" shapeId="0" xr:uid="{41046344-74FE-4EDD-A11C-FF56ED549ED3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release of the LRC - Loss as a result of providing the service over the reporting period (therefore will always be negative).</t>
        </r>
      </text>
    </comment>
    <comment ref="O11" authorId="0" shapeId="0" xr:uid="{31FBF382-7D02-436C-ADAB-09E139435740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LIC - PVFCF for new claims incurred during the reporting period net of the release for payments on these claims made during the reporting period</t>
        </r>
      </text>
    </comment>
    <comment ref="P11" authorId="0" shapeId="0" xr:uid="{EAA3E763-8C86-4046-BDC3-DC692DDD84CE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LIC - PVFCF for new claims incurred during the reporting period net of the release for payments on these claims made during the reporting period</t>
        </r>
      </text>
    </comment>
    <comment ref="Q11" authorId="0" shapeId="0" xr:uid="{DC0FB768-FBDD-40B4-89D8-D80CB6661D5C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LIC - RA for new claims incurred during the reporting period net of the release for payments on these claims made during the reporting period</t>
        </r>
      </text>
    </comment>
    <comment ref="R11" authorId="0" shapeId="0" xr:uid="{D1440754-8EA8-435A-AFA5-2C47E01A6682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LIC - RA for new claims incurred during the reporting period net of the release for payments on these claims made during the reporting period</t>
        </r>
      </text>
    </comment>
    <comment ref="O16" authorId="0" shapeId="0" xr:uid="{78F66F62-0A55-4BD8-B166-EE944B8774BB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LIC - PVFCF for claims incurred in prior reporting periods net of the release for payments on these claims made during the reporting period</t>
        </r>
      </text>
    </comment>
    <comment ref="P16" authorId="0" shapeId="0" xr:uid="{7F44885C-05F4-4965-AE96-A9E46BE9CA2E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LIC - PVFCF for claims incurred in prior reporting periods net of the release for payments on these claims made during the reporting period</t>
        </r>
      </text>
    </comment>
    <comment ref="Q16" authorId="0" shapeId="0" xr:uid="{5822B6E3-F03C-4330-87FE-9679A6BF1F85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LIC - RA for claims incurred in prior reporting periods net of the release for payments on these claims made during the reporting period</t>
        </r>
      </text>
    </comment>
    <comment ref="R16" authorId="0" shapeId="0" xr:uid="{C4691281-B1B1-4B6F-A7FE-6C6D6F65CF8E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LIC - RA for claims incurred in prior reporting periods net of the release for payments on these claims made during the reporting period</t>
        </r>
      </text>
    </comment>
    <comment ref="H40" authorId="0" shapeId="0" xr:uid="{ACCEA6C1-8E6F-45C6-9D38-FB72B28F5ADE}">
      <text>
        <r>
          <rPr>
            <b/>
            <sz val="9"/>
            <color indexed="81"/>
            <rFont val="Tahoma"/>
            <family val="2"/>
          </rPr>
          <t>Ross W Ferguson:</t>
        </r>
        <r>
          <rPr>
            <sz val="9"/>
            <color indexed="81"/>
            <rFont val="Tahoma"/>
            <family val="2"/>
          </rPr>
          <t xml:space="preserve">
Note: not expected to balance unless this reports the aggregate results (i.e. not for an individual reporting segment) since this is, by definition not allocated to a particular group of contracts.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Ross W Ferguson</author>
  </authors>
  <commentList>
    <comment ref="O11" authorId="0" shapeId="0" xr:uid="{93E9C9ED-609E-4C46-B9C2-A3BA85746FB2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ARIC - PVFCF for recoveries on new claims incurred during the reporting period net of the release for payments on these claims made during the reporting period</t>
        </r>
      </text>
    </comment>
    <comment ref="P11" authorId="0" shapeId="0" xr:uid="{73959F58-A8CB-4E80-AA4A-A99423BEC78F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ARIC - PVFCF for recoveries on new claims incurred during the reporting period net of the release for payments on these claims made during the reporting period</t>
        </r>
      </text>
    </comment>
    <comment ref="Q11" authorId="0" shapeId="0" xr:uid="{F946560F-3480-4A8C-AEE3-808BA85E4561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ARIC - RA for recoveries on new claims incurred during the reporting period net of the release for payments on these claims made during the reporting period</t>
        </r>
      </text>
    </comment>
    <comment ref="R11" authorId="0" shapeId="0" xr:uid="{1C2FA3AB-22CC-4245-9BD1-F8A466F4CBC0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increase in the ARIC - RA for recoveries on new claims incurred during the reporting period net of the release for payments on these claims made during the reporting period</t>
        </r>
      </text>
    </comment>
    <comment ref="O13" authorId="0" shapeId="0" xr:uid="{0CD6BA57-55A0-42CB-BCBD-33D0A69B1D25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ARIC - PVFCF for recoveries on claims incurred in prior reporting periods net of the release for payments on these claims made during the reporting period</t>
        </r>
      </text>
    </comment>
    <comment ref="P13" authorId="0" shapeId="0" xr:uid="{CA4A1456-351E-4F92-8F07-1199460AE734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ARIC - PVFCF for recoveries on claims incurred in prior reporting periods net of the release for payments on these claims made during the reporting period</t>
        </r>
      </text>
    </comment>
    <comment ref="Q13" authorId="0" shapeId="0" xr:uid="{4A597C87-E303-4128-9662-96A22960CA31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ARIC - RA for recoveries on claims incurred in prior reporting periods net of the release for payments on these claims made during the reporting period</t>
        </r>
      </text>
    </comment>
    <comment ref="R13" authorId="0" shapeId="0" xr:uid="{479073F9-D2D8-4AFA-BA65-8988F25FD2F0}">
      <text>
        <r>
          <rPr>
            <b/>
            <sz val="9"/>
            <color indexed="81"/>
            <rFont val="Tahoma"/>
            <family val="2"/>
          </rPr>
          <t>Comment:</t>
        </r>
        <r>
          <rPr>
            <sz val="9"/>
            <color indexed="81"/>
            <rFont val="Tahoma"/>
            <family val="2"/>
          </rPr>
          <t xml:space="preserve">
The change in the ARIC - RA for recoveries on claims incurred in prior reporting periods net of the release for payments on these claims made during the reporting period</t>
        </r>
      </text>
    </comment>
    <comment ref="H37" authorId="0" shapeId="0" xr:uid="{909B3C11-EF5C-400C-BA3F-84F5C3E1676C}">
      <text>
        <r>
          <rPr>
            <b/>
            <sz val="9"/>
            <color indexed="81"/>
            <rFont val="Tahoma"/>
            <family val="2"/>
          </rPr>
          <t>Ross W Ferguson:</t>
        </r>
        <r>
          <rPr>
            <sz val="9"/>
            <color indexed="81"/>
            <rFont val="Tahoma"/>
            <family val="2"/>
          </rPr>
          <t xml:space="preserve">
Note: not expected to balance unless this reports the aggregate results (i.e. not for an individual reporting segment) since this is, by definition not allocated to a particular group of contracts.</t>
        </r>
      </text>
    </comment>
  </commentList>
</comments>
</file>

<file path=xl/sharedStrings.xml><?xml version="1.0" encoding="utf-8"?>
<sst xmlns="http://schemas.openxmlformats.org/spreadsheetml/2006/main" count="198" uniqueCount="116">
  <si>
    <t>PAA - Master Disclosure - Insurance Contracts Issued</t>
  </si>
  <si>
    <t>Account code</t>
  </si>
  <si>
    <t>Statement of financial position</t>
  </si>
  <si>
    <t>Liability for remaining coverage</t>
  </si>
  <si>
    <t>Liability for incurred claims</t>
  </si>
  <si>
    <t>Cash</t>
  </si>
  <si>
    <t>Excluding loss component</t>
  </si>
  <si>
    <t>Loss component</t>
  </si>
  <si>
    <t>Estimates of the present value of future cash flows</t>
  </si>
  <si>
    <t>Risk adjustment</t>
  </si>
  <si>
    <t>Pre-recognition cash flows</t>
  </si>
  <si>
    <t>Expected premium</t>
  </si>
  <si>
    <t>Premium due</t>
  </si>
  <si>
    <t>Expected acquisition expenses</t>
  </si>
  <si>
    <t>Acquisition expenses payable</t>
  </si>
  <si>
    <t>Investment components</t>
  </si>
  <si>
    <t>Claims and other expenses</t>
  </si>
  <si>
    <t>Cash-backs</t>
  </si>
  <si>
    <t>Assets</t>
  </si>
  <si>
    <t>Liabilities</t>
  </si>
  <si>
    <t>Opening</t>
  </si>
  <si>
    <t>Statement of comprehensive income</t>
  </si>
  <si>
    <t>Insurance service result</t>
  </si>
  <si>
    <t>Current</t>
  </si>
  <si>
    <t>Insurance service expenses</t>
  </si>
  <si>
    <t>Future</t>
  </si>
  <si>
    <t>Past</t>
  </si>
  <si>
    <t>Insurance finance expense</t>
  </si>
  <si>
    <t>Insurance finance income / (expense)</t>
  </si>
  <si>
    <t>Effect of changes in interest rates and other financial assumptions</t>
  </si>
  <si>
    <t>Net foreign exchange income / (expenses)</t>
  </si>
  <si>
    <t>CFs/Transfers</t>
  </si>
  <si>
    <t>Transfers</t>
  </si>
  <si>
    <t>Cash flows</t>
  </si>
  <si>
    <t>Closing</t>
  </si>
  <si>
    <t>Check</t>
  </si>
  <si>
    <t>Insurance reporting segment</t>
  </si>
  <si>
    <t>Total</t>
  </si>
  <si>
    <t>Roll-forward of net (assets) / liabilities for insurance contracts issued showing the liability for remaining coverage and the liability for incurred claims</t>
  </si>
  <si>
    <t>Liability (asset) for pre-recognition cash flows</t>
  </si>
  <si>
    <t>Total Liability</t>
  </si>
  <si>
    <t>Insurance revenue</t>
  </si>
  <si>
    <t>Incurred claims and other expenses</t>
  </si>
  <si>
    <t>Amortisation of insurance acquisition cash flows</t>
  </si>
  <si>
    <t>Impairment of PRCF Asset</t>
  </si>
  <si>
    <t>Reversal of Impairment of PRCF Asset</t>
  </si>
  <si>
    <t>Losses on onerous contracts and reversals of those losses</t>
  </si>
  <si>
    <t>Changes to liabilities for incurred claims</t>
  </si>
  <si>
    <t>Transfer of pre-recognition cash flows</t>
  </si>
  <si>
    <t>Transfer of investment components</t>
  </si>
  <si>
    <t>Interest accreted</t>
  </si>
  <si>
    <t>Insurance finance income / (expense) from insurance contracts issued</t>
  </si>
  <si>
    <t>Total changes in the statement of comprehensive income</t>
  </si>
  <si>
    <t>Premiums received</t>
  </si>
  <si>
    <t>Claims and other expenses paid</t>
  </si>
  <si>
    <t>Insurance acquisition cash flows paid</t>
  </si>
  <si>
    <t>Total cash flows</t>
  </si>
  <si>
    <t>Insurance finance income / (expense) for insurance contracts issued</t>
  </si>
  <si>
    <t>Insurance finance income / (expenses) from insurance contracts issued</t>
  </si>
  <si>
    <t>Total insurance finance income / (expenses) from insurance contracts issued</t>
  </si>
  <si>
    <t>Amounts recognised in profit or loss</t>
  </si>
  <si>
    <t>Amounts recognised in OCI</t>
  </si>
  <si>
    <t>Opening and closing</t>
  </si>
  <si>
    <t>Profit/loss - service result</t>
  </si>
  <si>
    <t>Profit/loss (and OCI) - finance result</t>
  </si>
  <si>
    <t>Cash flows and transfers</t>
  </si>
  <si>
    <t>PAA - Master Disclosure - Reinsurance Contracts Held</t>
  </si>
  <si>
    <t>Asset for remaining coverage</t>
  </si>
  <si>
    <t>Amounts recoverable on incurred claims</t>
  </si>
  <si>
    <t>Non-loss-recovery</t>
  </si>
  <si>
    <t>Loss-recovery</t>
  </si>
  <si>
    <t>Premium payable</t>
  </si>
  <si>
    <t>Expected non-claims-related commissions</t>
  </si>
  <si>
    <t>Non-claims-related commissions due</t>
  </si>
  <si>
    <t>Recoveries</t>
  </si>
  <si>
    <t>Claims-related commissions</t>
  </si>
  <si>
    <t>Reinsurance service result</t>
  </si>
  <si>
    <t>Amounts recoverable from reinsurers</t>
  </si>
  <si>
    <t>Reinsurance finance expense</t>
  </si>
  <si>
    <t>Reinsurance finance income / (expense)</t>
  </si>
  <si>
    <t>Reinsurance reporting segment</t>
  </si>
  <si>
    <t>Roll-forward of net assets / (liabilities) for reinsurance contracts held showing the asset for remaining coverage and the amounts recoverable on incurred claims</t>
  </si>
  <si>
    <t>Asset (liability) for pre-recognition cash flows</t>
  </si>
  <si>
    <t>Total Asset</t>
  </si>
  <si>
    <t>Non-loss-recovery component</t>
  </si>
  <si>
    <t>Loss-recovery component</t>
  </si>
  <si>
    <t>Allocation of reinsurance premiums</t>
  </si>
  <si>
    <t>Amounts recoverable for claims and other expenses incurred in the period</t>
  </si>
  <si>
    <t>Adjustments for onerous underlying contracts</t>
  </si>
  <si>
    <t>Changes in amounts recoverable arising from changes in liability for incurred claims</t>
  </si>
  <si>
    <t>Transfer of reinsurance investment components</t>
  </si>
  <si>
    <t>Net income / (expense) from reinsurance contracts held</t>
  </si>
  <si>
    <t>Effect of changes in the risk of non-performance by reinsurers</t>
  </si>
  <si>
    <t>Reinsurance finance income / (expense) from reinsurance contracts held</t>
  </si>
  <si>
    <t>Premiums paid</t>
  </si>
  <si>
    <t>Amounts received</t>
  </si>
  <si>
    <t>Reinsurance finance income / (expense) for reinsurance contracts held</t>
  </si>
  <si>
    <t>Reinsurance finance income / (expenses) from reinsurance contracts held</t>
  </si>
  <si>
    <t>Effect of changes in non-performance risk of reinsurers</t>
  </si>
  <si>
    <t>Total Reinsurance finance income / (expenses) from reinsurance contracts held</t>
  </si>
  <si>
    <t>Financial assets</t>
  </si>
  <si>
    <t>Insurance contract assets</t>
  </si>
  <si>
    <t>Reinsurance contract assets</t>
  </si>
  <si>
    <t>Other assets</t>
  </si>
  <si>
    <t>Total assets</t>
  </si>
  <si>
    <t>Insurance contract liabilities</t>
  </si>
  <si>
    <t>Reinsurance contract liabilities</t>
  </si>
  <si>
    <t>Other liabilities</t>
  </si>
  <si>
    <t>Equity</t>
  </si>
  <si>
    <t>Total liabilities and equity</t>
  </si>
  <si>
    <t>Insurance service result before reinsurance contracts held</t>
  </si>
  <si>
    <t>Net income / (expenses) from reinsurance contracts held</t>
  </si>
  <si>
    <t>Net insurance finance result</t>
  </si>
  <si>
    <t>Profit before tax</t>
  </si>
  <si>
    <t>Other comprehensive income</t>
  </si>
  <si>
    <t>Total other comprehensive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</si>
</sst>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;\(#,##0\);_-* &quot;-&quot;??_-;_-@_-"/>
    <numFmt numFmtId="166" formatCode="_-* #,##0_-;\-* #,##0_-;_-* &quot;-&quot;??_-;_-@_-"/>
    <numFmt numFmtId="167" formatCode="#,##0.000;\(#,##0.000\);_-* &quot;-&quot;??_-;_-@_-"/>
    <numFmt numFmtId="168" formatCode="#,##0.00;\(#,##0.00\);_-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EYInterstate Light"/>
    </font>
    <font>
      <i/>
      <sz val="9"/>
      <color theme="1"/>
      <name val="EYInterstate Light"/>
    </font>
    <font>
      <sz val="9"/>
      <color theme="1"/>
      <name val="EYInterstate Light"/>
    </font>
    <font>
      <i/>
      <sz val="9"/>
      <color rgb="FF7F7E82"/>
      <name val="EYInterstate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8"/>
      <color rgb="FF7F7E82"/>
      <name val="EYInterstate Light"/>
    </font>
    <font>
      <i/>
      <sz val="8"/>
      <color rgb="FF7F7E82"/>
      <name val="EYInterstate Light"/>
    </font>
    <font>
      <b/>
      <sz val="8"/>
      <color rgb="FF7F7E82"/>
      <name val="EYInterstate"/>
    </font>
    <font>
      <b/>
      <sz val="8"/>
      <color theme="0"/>
      <name val="EYInterstate"/>
    </font>
    <font>
      <b/>
      <sz val="8"/>
      <color rgb="FF7F7E82"/>
      <name val="EYInterstate Light"/>
    </font>
    <font>
      <sz val="8"/>
      <color rgb="FF7F7E82"/>
      <name val="EYInterstate Light"/>
    </font>
    <font>
      <sz val="7"/>
      <color theme="0"/>
      <name val="Source Sans Pro Light"/>
      <family val="2"/>
    </font>
    <font>
      <b/>
      <sz val="8"/>
      <color theme="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008DF6"/>
        <bgColor indexed="64"/>
      </patternFill>
    </fill>
    <fill>
      <patternFill patternType="solid">
        <fgColor rgb="FF7F7E8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F0F0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rgb="FF7F7E82"/>
      </top>
      <bottom/>
      <diagonal/>
    </border>
    <border>
      <left style="thick">
        <color theme="0"/>
      </left>
      <right style="thick">
        <color theme="0"/>
      </right>
      <top style="thin">
        <color rgb="FF7F7E82"/>
      </top>
      <bottom/>
      <diagonal/>
    </border>
    <border>
      <left style="thick">
        <color theme="0"/>
      </left>
      <right/>
      <top style="thin">
        <color rgb="FF7F7E82"/>
      </top>
      <bottom/>
      <diagonal/>
    </border>
    <border>
      <left/>
      <right/>
      <top style="thin">
        <color rgb="FF7F7E82"/>
      </top>
      <bottom style="thin">
        <color rgb="FF7F7E82"/>
      </bottom>
      <diagonal/>
    </border>
    <border>
      <left style="thick">
        <color theme="0"/>
      </left>
      <right style="thick">
        <color theme="0"/>
      </right>
      <top style="thin">
        <color rgb="FF7F7E82"/>
      </top>
      <bottom style="thin">
        <color rgb="FF7F7E82"/>
      </bottom>
      <diagonal/>
    </border>
    <border>
      <left style="thick">
        <color theme="0"/>
      </left>
      <right/>
      <top style="thin">
        <color rgb="FF7F7E82"/>
      </top>
      <bottom style="thin">
        <color rgb="FF7F7E82"/>
      </bottom>
      <diagonal/>
    </border>
    <border>
      <left/>
      <right style="thick">
        <color theme="0"/>
      </right>
      <top style="thin">
        <color rgb="FF7F7E82"/>
      </top>
      <bottom style="medium">
        <color rgb="FF7F7E82"/>
      </bottom>
      <diagonal/>
    </border>
    <border>
      <left style="thick">
        <color theme="0"/>
      </left>
      <right style="thick">
        <color theme="0"/>
      </right>
      <top style="thin">
        <color rgb="FF7F7E82"/>
      </top>
      <bottom style="medium">
        <color rgb="FF7F7E82"/>
      </bottom>
      <diagonal/>
    </border>
    <border>
      <left style="thick">
        <color theme="0"/>
      </left>
      <right/>
      <top style="thin">
        <color rgb="FF7F7E82"/>
      </top>
      <bottom style="medium">
        <color rgb="FF7F7E82"/>
      </bottom>
      <diagonal/>
    </border>
    <border>
      <left/>
      <right/>
      <top/>
      <bottom style="thin">
        <color rgb="FF7F7E82"/>
      </bottom>
      <diagonal/>
    </border>
    <border>
      <left style="thick">
        <color theme="0"/>
      </left>
      <right/>
      <top/>
      <bottom style="thin">
        <color rgb="FF7F7E82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7F7E82"/>
      </top>
      <bottom style="medium">
        <color rgb="FF7F7E8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65" fontId="6" fillId="0" borderId="1" xfId="1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5" fillId="3" borderId="1" xfId="0" applyFont="1" applyFill="1" applyBorder="1"/>
    <xf numFmtId="165" fontId="6" fillId="3" borderId="1" xfId="1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/>
    <xf numFmtId="165" fontId="6" fillId="0" borderId="1" xfId="1" applyNumberFormat="1" applyFont="1" applyFill="1" applyBorder="1" applyAlignment="1">
      <alignment horizontal="right"/>
    </xf>
    <xf numFmtId="165" fontId="6" fillId="4" borderId="1" xfId="1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4" borderId="3" xfId="0" applyFont="1" applyFill="1" applyBorder="1" applyAlignment="1">
      <alignment horizontal="left" vertical="center"/>
    </xf>
    <xf numFmtId="0" fontId="6" fillId="5" borderId="1" xfId="0" applyFont="1" applyFill="1" applyBorder="1"/>
    <xf numFmtId="165" fontId="6" fillId="5" borderId="1" xfId="1" applyNumberFormat="1" applyFont="1" applyFill="1" applyBorder="1" applyAlignment="1">
      <alignment horizontal="right"/>
    </xf>
    <xf numFmtId="165" fontId="6" fillId="5" borderId="7" xfId="1" applyNumberFormat="1" applyFont="1" applyFill="1" applyBorder="1" applyAlignment="1">
      <alignment horizontal="right"/>
    </xf>
    <xf numFmtId="165" fontId="6" fillId="0" borderId="2" xfId="1" applyNumberFormat="1" applyFont="1" applyBorder="1" applyAlignment="1">
      <alignment horizontal="right"/>
    </xf>
    <xf numFmtId="165" fontId="6" fillId="0" borderId="6" xfId="1" applyNumberFormat="1" applyFont="1" applyBorder="1" applyAlignment="1">
      <alignment horizontal="right"/>
    </xf>
    <xf numFmtId="0" fontId="6" fillId="4" borderId="7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166" fontId="6" fillId="6" borderId="1" xfId="1" applyNumberFormat="1" applyFont="1" applyFill="1" applyBorder="1" applyAlignment="1">
      <alignment horizontal="right"/>
    </xf>
    <xf numFmtId="165" fontId="6" fillId="0" borderId="1" xfId="1" applyNumberFormat="1" applyFont="1" applyBorder="1" applyAlignment="1">
      <alignment horizontal="right" vertical="top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7" borderId="1" xfId="0" applyFont="1" applyFill="1" applyBorder="1" applyAlignment="1">
      <alignment horizontal="left" vertical="top"/>
    </xf>
    <xf numFmtId="165" fontId="6" fillId="7" borderId="1" xfId="1" applyNumberFormat="1" applyFont="1" applyFill="1" applyBorder="1" applyAlignment="1">
      <alignment horizontal="right" vertical="top"/>
    </xf>
    <xf numFmtId="0" fontId="6" fillId="8" borderId="8" xfId="0" applyFont="1" applyFill="1" applyBorder="1" applyAlignment="1">
      <alignment horizontal="center" vertical="center" textRotation="90" wrapText="1"/>
    </xf>
    <xf numFmtId="0" fontId="6" fillId="8" borderId="9" xfId="0" applyFont="1" applyFill="1" applyBorder="1" applyAlignment="1">
      <alignment horizontal="center" vertical="center" textRotation="90" wrapText="1"/>
    </xf>
    <xf numFmtId="0" fontId="6" fillId="8" borderId="10" xfId="0" applyFont="1" applyFill="1" applyBorder="1" applyAlignment="1">
      <alignment horizontal="center" vertical="center" textRotation="90" wrapText="1"/>
    </xf>
    <xf numFmtId="0" fontId="6" fillId="8" borderId="11" xfId="0" applyFont="1" applyFill="1" applyBorder="1" applyAlignment="1">
      <alignment horizontal="center" vertical="center" textRotation="90" wrapText="1"/>
    </xf>
    <xf numFmtId="165" fontId="6" fillId="8" borderId="1" xfId="1" applyNumberFormat="1" applyFont="1" applyFill="1" applyBorder="1" applyAlignment="1">
      <alignment horizontal="right"/>
    </xf>
    <xf numFmtId="0" fontId="5" fillId="5" borderId="1" xfId="0" applyFont="1" applyFill="1" applyBorder="1"/>
    <xf numFmtId="0" fontId="6" fillId="2" borderId="7" xfId="0" applyFont="1" applyFill="1" applyBorder="1" applyAlignment="1">
      <alignment horizontal="center" vertical="center" textRotation="90"/>
    </xf>
    <xf numFmtId="0" fontId="6" fillId="8" borderId="12" xfId="0" applyFont="1" applyFill="1" applyBorder="1" applyAlignment="1">
      <alignment horizontal="center" vertical="center" textRotation="90" wrapText="1"/>
    </xf>
    <xf numFmtId="0" fontId="6" fillId="8" borderId="13" xfId="0" applyFont="1" applyFill="1" applyBorder="1" applyAlignment="1">
      <alignment horizontal="center" vertical="center" textRotation="90" wrapText="1"/>
    </xf>
    <xf numFmtId="0" fontId="6" fillId="9" borderId="1" xfId="0" applyFont="1" applyFill="1" applyBorder="1" applyAlignment="1">
      <alignment horizontal="center" vertical="center" textRotation="90"/>
    </xf>
    <xf numFmtId="165" fontId="6" fillId="5" borderId="2" xfId="1" applyNumberFormat="1" applyFont="1" applyFill="1" applyBorder="1" applyAlignment="1">
      <alignment horizontal="right"/>
    </xf>
    <xf numFmtId="165" fontId="6" fillId="0" borderId="8" xfId="1" applyNumberFormat="1" applyFont="1" applyBorder="1" applyAlignment="1">
      <alignment horizontal="right"/>
    </xf>
    <xf numFmtId="165" fontId="6" fillId="9" borderId="14" xfId="1" applyNumberFormat="1" applyFont="1" applyFill="1" applyBorder="1" applyAlignment="1">
      <alignment horizontal="right"/>
    </xf>
    <xf numFmtId="165" fontId="6" fillId="9" borderId="15" xfId="1" applyNumberFormat="1" applyFont="1" applyFill="1" applyBorder="1" applyAlignment="1">
      <alignment horizontal="right"/>
    </xf>
    <xf numFmtId="165" fontId="6" fillId="9" borderId="16" xfId="1" applyNumberFormat="1" applyFont="1" applyFill="1" applyBorder="1" applyAlignment="1">
      <alignment horizontal="right"/>
    </xf>
    <xf numFmtId="165" fontId="6" fillId="0" borderId="10" xfId="1" applyNumberFormat="1" applyFont="1" applyBorder="1" applyAlignment="1">
      <alignment horizontal="right"/>
    </xf>
    <xf numFmtId="165" fontId="6" fillId="5" borderId="3" xfId="1" applyNumberFormat="1" applyFont="1" applyFill="1" applyBorder="1" applyAlignment="1">
      <alignment horizontal="right"/>
    </xf>
    <xf numFmtId="165" fontId="6" fillId="0" borderId="4" xfId="1" applyNumberFormat="1" applyFont="1" applyBorder="1" applyAlignment="1">
      <alignment horizontal="right"/>
    </xf>
    <xf numFmtId="165" fontId="6" fillId="0" borderId="3" xfId="1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6" fillId="0" borderId="5" xfId="1" applyNumberFormat="1" applyFont="1" applyBorder="1" applyAlignment="1">
      <alignment horizontal="right"/>
    </xf>
    <xf numFmtId="165" fontId="6" fillId="0" borderId="11" xfId="1" applyNumberFormat="1" applyFont="1" applyBorder="1" applyAlignment="1">
      <alignment horizontal="right"/>
    </xf>
    <xf numFmtId="165" fontId="6" fillId="0" borderId="7" xfId="1" applyNumberFormat="1" applyFont="1" applyBorder="1" applyAlignment="1">
      <alignment horizontal="right"/>
    </xf>
    <xf numFmtId="165" fontId="6" fillId="3" borderId="7" xfId="1" applyNumberFormat="1" applyFont="1" applyFill="1" applyBorder="1" applyAlignment="1">
      <alignment horizontal="right"/>
    </xf>
    <xf numFmtId="165" fontId="7" fillId="0" borderId="1" xfId="1" applyNumberFormat="1" applyFont="1" applyFill="1" applyBorder="1" applyAlignment="1">
      <alignment horizontal="right"/>
    </xf>
    <xf numFmtId="0" fontId="5" fillId="0" borderId="0" xfId="0" applyFont="1"/>
    <xf numFmtId="0" fontId="10" fillId="0" borderId="0" xfId="0" applyFont="1"/>
    <xf numFmtId="0" fontId="11" fillId="4" borderId="17" xfId="0" applyFont="1" applyFill="1" applyBorder="1"/>
    <xf numFmtId="0" fontId="3" fillId="0" borderId="0" xfId="0" applyFont="1"/>
    <xf numFmtId="0" fontId="12" fillId="0" borderId="0" xfId="0" applyFont="1"/>
    <xf numFmtId="0" fontId="0" fillId="0" borderId="18" xfId="0" applyBorder="1"/>
    <xf numFmtId="14" fontId="13" fillId="10" borderId="19" xfId="0" applyNumberFormat="1" applyFont="1" applyFill="1" applyBorder="1" applyAlignment="1">
      <alignment horizontal="center" vertical="center" wrapText="1"/>
    </xf>
    <xf numFmtId="14" fontId="13" fillId="10" borderId="19" xfId="0" applyNumberFormat="1" applyFont="1" applyFill="1" applyBorder="1" applyAlignment="1">
      <alignment horizontal="center"/>
    </xf>
    <xf numFmtId="14" fontId="13" fillId="10" borderId="18" xfId="0" applyNumberFormat="1" applyFont="1" applyFill="1" applyBorder="1" applyAlignment="1">
      <alignment horizontal="center"/>
    </xf>
    <xf numFmtId="14" fontId="13" fillId="11" borderId="20" xfId="0" applyNumberFormat="1" applyFont="1" applyFill="1" applyBorder="1" applyAlignment="1">
      <alignment horizontal="center" vertical="center" wrapText="1"/>
    </xf>
    <xf numFmtId="0" fontId="14" fillId="0" borderId="21" xfId="0" applyFont="1" applyBorder="1"/>
    <xf numFmtId="165" fontId="14" fillId="0" borderId="22" xfId="1" applyNumberFormat="1" applyFont="1" applyFill="1" applyBorder="1"/>
    <xf numFmtId="165" fontId="14" fillId="0" borderId="23" xfId="1" applyNumberFormat="1" applyFont="1" applyFill="1" applyBorder="1"/>
    <xf numFmtId="0" fontId="14" fillId="0" borderId="0" xfId="0" applyFont="1"/>
    <xf numFmtId="165" fontId="14" fillId="0" borderId="20" xfId="1" applyNumberFormat="1" applyFont="1" applyFill="1" applyBorder="1"/>
    <xf numFmtId="165" fontId="14" fillId="0" borderId="19" xfId="1" applyNumberFormat="1" applyFont="1" applyFill="1" applyBorder="1"/>
    <xf numFmtId="0" fontId="14" fillId="12" borderId="24" xfId="0" applyFont="1" applyFill="1" applyBorder="1"/>
    <xf numFmtId="165" fontId="14" fillId="12" borderId="25" xfId="1" applyNumberFormat="1" applyFont="1" applyFill="1" applyBorder="1"/>
    <xf numFmtId="165" fontId="14" fillId="12" borderId="26" xfId="1" applyNumberFormat="1" applyFont="1" applyFill="1" applyBorder="1"/>
    <xf numFmtId="165" fontId="14" fillId="5" borderId="20" xfId="1" applyNumberFormat="1" applyFont="1" applyFill="1" applyBorder="1"/>
    <xf numFmtId="165" fontId="14" fillId="5" borderId="19" xfId="1" applyNumberFormat="1" applyFont="1" applyFill="1" applyBorder="1"/>
    <xf numFmtId="0" fontId="15" fillId="0" borderId="0" xfId="0" applyFont="1" applyAlignment="1">
      <alignment horizontal="left" indent="2"/>
    </xf>
    <xf numFmtId="165" fontId="15" fillId="5" borderId="20" xfId="1" applyNumberFormat="1" applyFont="1" applyFill="1" applyBorder="1"/>
    <xf numFmtId="165" fontId="15" fillId="0" borderId="20" xfId="1" applyNumberFormat="1" applyFont="1" applyFill="1" applyBorder="1"/>
    <xf numFmtId="165" fontId="15" fillId="0" borderId="19" xfId="1" applyNumberFormat="1" applyFont="1" applyFill="1" applyBorder="1"/>
    <xf numFmtId="165" fontId="15" fillId="5" borderId="19" xfId="1" applyNumberFormat="1" applyFont="1" applyFill="1" applyBorder="1"/>
    <xf numFmtId="0" fontId="14" fillId="0" borderId="24" xfId="0" applyFont="1" applyBorder="1"/>
    <xf numFmtId="165" fontId="14" fillId="0" borderId="25" xfId="1" applyNumberFormat="1" applyFont="1" applyFill="1" applyBorder="1"/>
    <xf numFmtId="165" fontId="14" fillId="0" borderId="26" xfId="1" applyNumberFormat="1" applyFont="1" applyFill="1" applyBorder="1"/>
    <xf numFmtId="0" fontId="15" fillId="0" borderId="0" xfId="0" applyFont="1"/>
    <xf numFmtId="0" fontId="14" fillId="12" borderId="27" xfId="0" applyFont="1" applyFill="1" applyBorder="1"/>
    <xf numFmtId="165" fontId="14" fillId="12" borderId="28" xfId="1" applyNumberFormat="1" applyFont="1" applyFill="1" applyBorder="1"/>
    <xf numFmtId="165" fontId="14" fillId="12" borderId="29" xfId="1" applyNumberFormat="1" applyFont="1" applyFill="1" applyBorder="1"/>
    <xf numFmtId="0" fontId="11" fillId="0" borderId="0" xfId="0" applyFont="1"/>
    <xf numFmtId="165" fontId="10" fillId="0" borderId="0" xfId="1" applyNumberFormat="1" applyFont="1" applyFill="1" applyBorder="1" applyAlignment="1">
      <alignment horizontal="right"/>
    </xf>
    <xf numFmtId="14" fontId="13" fillId="10" borderId="20" xfId="0" applyNumberFormat="1" applyFont="1" applyFill="1" applyBorder="1" applyAlignment="1">
      <alignment horizontal="center" vertical="center"/>
    </xf>
    <xf numFmtId="0" fontId="14" fillId="0" borderId="30" xfId="0" applyFont="1" applyBorder="1"/>
    <xf numFmtId="165" fontId="14" fillId="0" borderId="31" xfId="1" applyNumberFormat="1" applyFont="1" applyFill="1" applyBorder="1"/>
    <xf numFmtId="0" fontId="16" fillId="4" borderId="0" xfId="0" applyFont="1" applyFill="1"/>
    <xf numFmtId="0" fontId="16" fillId="13" borderId="0" xfId="0" applyFont="1" applyFill="1"/>
    <xf numFmtId="0" fontId="16" fillId="14" borderId="0" xfId="0" applyFont="1" applyFill="1"/>
    <xf numFmtId="0" fontId="16" fillId="15" borderId="0" xfId="0" applyFont="1" applyFill="1"/>
    <xf numFmtId="0" fontId="16" fillId="16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left" vertical="center"/>
    </xf>
    <xf numFmtId="165" fontId="6" fillId="6" borderId="7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horizontal="left" vertical="center"/>
    </xf>
    <xf numFmtId="165" fontId="6" fillId="7" borderId="1" xfId="1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center" vertical="center" textRotation="90" wrapText="1"/>
    </xf>
    <xf numFmtId="167" fontId="6" fillId="8" borderId="1" xfId="1" applyNumberFormat="1" applyFont="1" applyFill="1" applyBorder="1" applyAlignment="1">
      <alignment horizontal="right"/>
    </xf>
    <xf numFmtId="168" fontId="6" fillId="8" borderId="1" xfId="1" applyNumberFormat="1" applyFont="1" applyFill="1" applyBorder="1" applyAlignment="1">
      <alignment horizontal="right"/>
    </xf>
    <xf numFmtId="165" fontId="6" fillId="9" borderId="32" xfId="1" applyNumberFormat="1" applyFont="1" applyFill="1" applyBorder="1" applyAlignment="1">
      <alignment horizontal="right"/>
    </xf>
    <xf numFmtId="165" fontId="6" fillId="0" borderId="9" xfId="1" applyNumberFormat="1" applyFont="1" applyBorder="1" applyAlignment="1">
      <alignment horizontal="right"/>
    </xf>
    <xf numFmtId="165" fontId="6" fillId="0" borderId="0" xfId="0" applyNumberFormat="1" applyFont="1"/>
    <xf numFmtId="14" fontId="13" fillId="10" borderId="18" xfId="0" applyNumberFormat="1" applyFont="1" applyFill="1" applyBorder="1" applyAlignment="1">
      <alignment horizontal="center" vertical="center" wrapText="1"/>
    </xf>
    <xf numFmtId="14" fontId="13" fillId="10" borderId="31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indent="2"/>
    </xf>
    <xf numFmtId="0" fontId="17" fillId="0" borderId="0" xfId="0" applyFont="1"/>
    <xf numFmtId="14" fontId="13" fillId="10" borderId="19" xfId="0" applyNumberFormat="1" applyFont="1" applyFill="1" applyBorder="1" applyAlignment="1">
      <alignment horizontal="center" vertical="center"/>
    </xf>
    <xf numFmtId="0" fontId="11" fillId="0" borderId="21" xfId="0" applyFont="1" applyBorder="1"/>
    <xf numFmtId="165" fontId="15" fillId="17" borderId="22" xfId="1" applyNumberFormat="1" applyFont="1" applyFill="1" applyBorder="1"/>
    <xf numFmtId="165" fontId="15" fillId="17" borderId="23" xfId="1" applyNumberFormat="1" applyFont="1" applyFill="1" applyBorder="1"/>
    <xf numFmtId="165" fontId="11" fillId="5" borderId="20" xfId="1" applyNumberFormat="1" applyFont="1" applyFill="1" applyBorder="1"/>
    <xf numFmtId="165" fontId="11" fillId="5" borderId="19" xfId="1" applyNumberFormat="1" applyFont="1" applyFill="1" applyBorder="1"/>
    <xf numFmtId="0" fontId="14" fillId="12" borderId="33" xfId="0" applyFont="1" applyFill="1" applyBorder="1"/>
    <xf numFmtId="165" fontId="0" fillId="0" borderId="0" xfId="0" applyNumberFormat="1"/>
    <xf numFmtId="0" fontId="15" fillId="0" borderId="21" xfId="0" applyFont="1" applyBorder="1"/>
    <xf numFmtId="165" fontId="15" fillId="0" borderId="22" xfId="1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20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6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plotArea>
      <cx:plotAreaRegion>
        <cx:series layoutId="waterfall" uniqueId="{9A31A1B9-4301-43E6-B571-3CF1987D9F2C}">
          <cx:tx>
            <cx:txData>
              <cx:f>_xlchart.v1.0</cx:f>
              <cx:v>Total insurance liabilities</cx:v>
            </cx:txData>
          </cx:tx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/>
              </a:solidFill>
            </cx:spPr>
          </cx:dataPt>
          <cx:dataPt idx="3">
            <cx:spPr>
              <a:solidFill>
                <a:srgbClr val="00B0F0"/>
              </a:solidFill>
            </cx:spPr>
          </cx:dataPt>
          <cx:dataPt idx="4">
            <cx:spPr>
              <a:solidFill>
                <a:sysClr val="window" lastClr="FFFFFF"/>
              </a:solidFill>
            </cx:spPr>
          </cx:dataPt>
          <cx:dataPt idx="5">
            <cx:spPr>
              <a:solidFill>
                <a:srgbClr val="7030A0"/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7030A0"/>
              </a:solidFill>
            </cx:spPr>
          </cx:dataPt>
          <cx:dataPt idx="10">
            <cx:spPr>
              <a:solidFill>
                <a:srgbClr val="00B0F0"/>
              </a:solidFill>
            </cx:spPr>
          </cx:dataPt>
          <cx:dataPt idx="11">
            <cx:spPr>
              <a:solidFill>
                <a:srgbClr val="00B0F0"/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700" b="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ZA"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4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ZA" sz="70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Total Insurance Liabilities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Total Insurance Liabilities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ZA" sz="70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plotArea>
      <cx:plotAreaRegion>
        <cx:series layoutId="waterfall" uniqueId="{AABCF95D-5B1B-400F-B74E-51E3F53B1514}">
          <cx:tx>
            <cx:txData>
              <cx:f>_xlchart.v1.23</cx:f>
              <cx:v>Asset for remaining coverage - loss-recovery</cx:v>
            </cx:txData>
          </cx:tx>
          <cx:dataPt idx="0">
            <cx:spPr>
              <a:solidFill>
                <a:srgbClr val="FFFF00">
                  <a:alpha val="80000"/>
                </a:srgbClr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>
                  <a:alpha val="80000"/>
                </a:srgbClr>
              </a:solidFill>
            </cx:spPr>
          </cx:dataPt>
          <cx:dataPt idx="3">
            <cx:spPr>
              <a:solidFill>
                <a:srgbClr val="00B0F0">
                  <a:alpha val="80000"/>
                </a:srgbClr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ysClr val="window" lastClr="FFFFFF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ysClr val="window" lastClr="FFFFFF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F0">
                  <a:alpha val="80000"/>
                </a:srgbClr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_-* # ##0_-;-* # ##0_-;_-* &quot;-&quot;??_-;_-@_-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5"/>
            <cx:dataLabelHidden idx="6"/>
            <cx:dataLabelHidden idx="7"/>
            <cx:dataLabelHidden idx="8"/>
          </cx:dataLabels>
          <cx:dataId val="0"/>
          <cx:layoutPr>
            <cx:subtotals>
              <cx:idx val="11"/>
              <cx:idx val="12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AFRC - Loss-recovery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7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Calibri" panose="020F0502020204030204" pitchFamily="34" charset="0"/>
                </a:rPr>
                <a:t>AFRC - Loss-recovery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plotArea>
      <cx:plotAreaRegion>
        <cx:series layoutId="waterfall" uniqueId="{B3F0F027-3A32-43E0-A7B6-FCE8C003F215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/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00B0F0"/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50"/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# 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2"/>
            <cx:dataLabelHidden idx="3"/>
            <cx:dataLabelHidden idx="5"/>
            <cx:dataLabelHidden idx="6"/>
          </cx:dataLabels>
          <cx:dataId val="0"/>
          <cx:layoutPr>
            <cx:subtotals>
              <cx:idx val="12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ARIC (RA)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7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ARIC (RA)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waterfall" uniqueId="{AABCF95D-5B1B-400F-B74E-51E3F53B1514}">
          <cx:tx>
            <cx:txData>
              <cx:f>_xlchart.v1.15</cx:f>
              <cx:v>Asset (liability) for pre-recognition cash flows</cx:v>
            </cx:txData>
          </cx:tx>
          <cx:dataPt idx="0">
            <cx:spPr>
              <a:solidFill>
                <a:srgbClr val="FFFF00">
                  <a:alpha val="80000"/>
                </a:srgbClr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>
                  <a:alpha val="80000"/>
                </a:srgbClr>
              </a:solidFill>
            </cx:spPr>
          </cx:dataPt>
          <cx:dataPt idx="3">
            <cx:spPr>
              <a:solidFill>
                <a:srgbClr val="00B0F0">
                  <a:alpha val="80000"/>
                </a:srgbClr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7030A0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ysClr val="window" lastClr="FFFFFF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F0">
                  <a:alpha val="80000"/>
                </a:srgbClr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_-* # ##0_-;-* # ##0_-;_-* &quot;-&quot;??_-;_-@_-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5"/>
            <cx:dataLabelHidden idx="6"/>
            <cx:dataLabelHidden idx="7"/>
            <cx:dataLabelHidden idx="8"/>
          </cx:dataLabels>
          <cx:dataId val="0"/>
          <cx:layoutPr>
            <cx:subtotals>
              <cx:idx val="11"/>
              <cx:idx val="12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A(L) PRCF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7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Calibri" panose="020F0502020204030204" pitchFamily="34" charset="0"/>
                </a:rPr>
                <a:t>A(L) PRCF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waterfall" uniqueId="{AABCF95D-5B1B-400F-B74E-51E3F53B1514}">
          <cx:tx>
            <cx:txData>
              <cx:f>_xlchart.v1.18</cx:f>
              <cx:v>Asset for remaining coverage - non-loss-recovery</cx:v>
            </cx:txData>
          </cx:tx>
          <cx:dataPt idx="0">
            <cx:spPr>
              <a:solidFill>
                <a:srgbClr val="FFFF00">
                  <a:alpha val="80000"/>
                </a:srgbClr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>
                  <a:alpha val="80000"/>
                </a:srgbClr>
              </a:solidFill>
            </cx:spPr>
          </cx:dataPt>
          <cx:dataPt idx="3">
            <cx:spPr>
              <a:solidFill>
                <a:srgbClr val="00B0F0">
                  <a:alpha val="80000"/>
                </a:srgbClr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7030A0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ysClr val="window" lastClr="FFFFFF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F0">
                  <a:alpha val="80000"/>
                </a:srgbClr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_-* # ##0_-;-* # ##0_-;_-* &quot;-&quot;??_-;_-@_-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5"/>
            <cx:dataLabelHidden idx="6"/>
            <cx:dataLabelHidden idx="7"/>
            <cx:dataLabelHidden idx="8"/>
          </cx:dataLabels>
          <cx:dataId val="0"/>
          <cx:layoutPr>
            <cx:subtotals>
              <cx:idx val="11"/>
              <cx:idx val="12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AFRC - Non-loss-recovery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7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Calibri" panose="020F0502020204030204" pitchFamily="34" charset="0"/>
                </a:rPr>
                <a:t>AFRC - Non-loss-recovery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plotArea>
      <cx:plotAreaRegion>
        <cx:series layoutId="waterfall" uniqueId="{B3F0F027-3A32-43E0-A7B6-FCE8C003F215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/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ysClr val="window" lastClr="FFFFFF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7030A0"/>
              </a:solidFill>
            </cx:spPr>
          </cx:dataPt>
          <cx:dataPt idx="10">
            <cx:spPr>
              <a:solidFill>
                <a:srgbClr val="00B0F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dataLabelHidden idx="2"/>
            <cx:dataLabelHidden idx="3"/>
            <cx:dataLabelHidden idx="5"/>
            <cx:dataLabelHidden idx="6"/>
            <cx:dataLabelHidden idx="10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LIC (PVFCF)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LIC (PVFCF)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waterfall" uniqueId="{F2386EE3-23C4-4723-AC50-41A37F1E38F1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/>
              </a:solidFill>
            </cx:spPr>
          </cx:dataPt>
          <cx:dataPt idx="4">
            <cx:spPr>
              <a:solidFill>
                <a:sysClr val="window" lastClr="FFFFFF"/>
              </a:solidFill>
            </cx:spPr>
          </cx:dataPt>
          <cx:dataPt idx="5">
            <cx:spPr>
              <a:solidFill>
                <a:sysClr val="window" lastClr="FFFFFF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ysClr val="window" lastClr="FFFFFF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7030A0"/>
              </a:solidFill>
            </cx:spPr>
          </cx:dataPt>
          <cx:dataPt idx="10">
            <cx:spPr>
              <a:solidFill>
                <a:srgbClr val="00B0F0"/>
              </a:solidFill>
            </cx:spPr>
          </cx:dataPt>
          <cx:dataPt idx="11">
            <cx:spPr>
              <a:solidFill>
                <a:srgbClr val="00B0F0"/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dataLabelHidden idx="2"/>
            <cx:dataLabelHidden idx="3"/>
            <cx:dataLabelHidden idx="4"/>
            <cx:dataLabelHidden idx="5"/>
            <cx:dataLabelHidden idx="6"/>
            <cx:dataLabelHidden idx="7"/>
            <cx:dataLabelHidden idx="9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LFRC (Loss)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LFRC (Loss)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plotArea>
      <cx:plotAreaRegion>
        <cx:series layoutId="waterfall" uniqueId="{AABCF95D-5B1B-400F-B74E-51E3F53B1514}">
          <cx:tx>
            <cx:txData>
              <cx:f>_xlchart.v1.12</cx:f>
              <cx:v>Liability for remaining coverage (excl. loss component)</cx:v>
            </cx:txData>
          </cx:tx>
          <cx:dataPt idx="0">
            <cx:spPr>
              <a:solidFill>
                <a:srgbClr val="FFFF00">
                  <a:alpha val="80000"/>
                </a:srgbClr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>
                  <a:alpha val="80000"/>
                </a:srgbClr>
              </a:solidFill>
            </cx:spPr>
          </cx:dataPt>
          <cx:dataPt idx="3">
            <cx:spPr>
              <a:solidFill>
                <a:srgbClr val="00B0F0">
                  <a:alpha val="80000"/>
                </a:srgbClr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7030A0">
                  <a:alpha val="80000"/>
                </a:srgbClr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ysClr val="window" lastClr="FFFFFF"/>
              </a:solidFill>
            </cx:spPr>
          </cx:dataPt>
          <cx:dataPt idx="9">
            <cx:spPr>
              <a:solidFill>
                <a:sysClr val="window" lastClr="FFFFFF"/>
              </a:solidFill>
            </cx:spPr>
          </cx:dataPt>
          <cx:dataPt idx="10">
            <cx:spPr>
              <a:solidFill>
                <a:sysClr val="window" lastClr="FFFFFF"/>
              </a:solidFill>
            </cx:spPr>
          </cx:dataPt>
          <cx:dataPt idx="11">
            <cx:spPr>
              <a:solidFill>
                <a:srgbClr val="00B050">
                  <a:alpha val="80000"/>
                </a:srgbClr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numFmt formatCode="_-* # ##0_-;-* # ##0_-;_-* &quot;-&quot;??_-;_-@_-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 idx="5">
              <cx:numFmt formatCode="_-* # ##0_-;-* # ##0_-;_-* &quot;-&quot;??_-;_-@_-" sourceLinked="0"/>
              <cx:visibility seriesName="0" categoryName="0" value="1"/>
              <cx:separator>, </cx:separator>
            </cx:dataLabel>
            <cx:dataLabelHidden idx="7"/>
            <cx:dataLabelHidden idx="8"/>
            <cx:dataLabelHidden idx="9"/>
            <cx:dataLabelHidden idx="10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LFRC (excl. Loss)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Calibri" panose="020F0502020204030204" pitchFamily="34" charset="0"/>
                </a:rPr>
                <a:t>LFRC (excl. Loss)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waterfall" uniqueId="{B3F0F027-3A32-43E0-A7B6-FCE8C003F215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/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ysClr val="window" lastClr="FFFFFF"/>
              </a:solidFill>
            </cx:spPr>
          </cx:dataPt>
          <cx:dataPt idx="6">
            <cx:spPr>
              <a:solidFill>
                <a:sysClr val="window" lastClr="FFFFFF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7030A0"/>
              </a:solidFill>
            </cx:spPr>
          </cx:dataPt>
          <cx:dataPt idx="10">
            <cx:spPr>
              <a:solidFill>
                <a:sysClr val="window" lastClr="FFFFFF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dataLabelHidden idx="2"/>
            <cx:dataLabelHidden idx="3"/>
            <cx:dataLabelHidden idx="5"/>
            <cx:dataLabelHidden idx="6"/>
            <cx:dataLabelHidden idx="10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LIC (RA)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LIC (RA)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plotArea>
      <cx:plotAreaRegion>
        <cx:series layoutId="waterfall" uniqueId="{AABCF95D-5B1B-400F-B74E-51E3F53B1514}">
          <cx:tx>
            <cx:txData>
              <cx:f>_xlchart.v1.6</cx:f>
              <cx:v>Liability (asset) for pre-recognition cash flows</cx:v>
            </cx:txData>
          </cx:tx>
          <cx:dataPt idx="0">
            <cx:spPr>
              <a:solidFill>
                <a:srgbClr val="FFFF00">
                  <a:alpha val="80000"/>
                </a:srgbClr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>
                  <a:alpha val="80000"/>
                </a:srgbClr>
              </a:solidFill>
            </cx:spPr>
          </cx:dataPt>
          <cx:dataPt idx="3">
            <cx:spPr>
              <a:solidFill>
                <a:srgbClr val="00B0F0">
                  <a:alpha val="80000"/>
                </a:srgbClr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7030A0">
                  <a:alpha val="80000"/>
                </a:srgbClr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00B0F0"/>
              </a:solidFill>
            </cx:spPr>
          </cx:dataPt>
          <cx:dataPt idx="8">
            <cx:spPr>
              <a:solidFill>
                <a:sysClr val="window" lastClr="FFFFFF"/>
              </a:solidFill>
            </cx:spPr>
          </cx:dataPt>
          <cx:dataPt idx="9">
            <cx:spPr>
              <a:solidFill>
                <a:sysClr val="window" lastClr="FFFFFF"/>
              </a:solidFill>
            </cx:spPr>
          </cx:dataPt>
          <cx:dataPt idx="10">
            <cx:spPr>
              <a:solidFill>
                <a:sysClr val="window" lastClr="FFFFFF"/>
              </a:solidFill>
            </cx:spPr>
          </cx:dataPt>
          <cx:dataPt idx="11">
            <cx:spPr>
              <a:solidFill>
                <a:srgbClr val="00B050">
                  <a:alpha val="80000"/>
                </a:srgbClr>
              </a:solidFill>
            </cx:spPr>
          </cx:dataPt>
          <cx:dataPt idx="12">
            <cx:spPr>
              <a:solidFill>
                <a:srgbClr val="00B050"/>
              </a:solidFill>
            </cx:spPr>
          </cx:dataPt>
          <cx:dataPt idx="13">
            <cx:spPr>
              <a:solidFill>
                <a:srgbClr val="FFFF00"/>
              </a:solidFill>
            </cx:spPr>
          </cx:dataPt>
          <cx:dataLabels pos="outEnd">
            <cx:numFmt formatCode="_-* # ##0_-;-* # ##0_-;_-* &quot;-&quot;??_-;_-@_-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 idx="5">
              <cx:numFmt formatCode="_-* # ##0_-;-* # ##0_-;_-* &quot;-&quot;??_-;_-@_-" sourceLinked="0"/>
              <cx:visibility seriesName="0" categoryName="0" value="1"/>
              <cx:separator>, </cx:separator>
            </cx:dataLabel>
            <cx:dataLabelHidden idx="7"/>
            <cx:dataLabelHidden idx="8"/>
            <cx:dataLabelHidden idx="9"/>
            <cx:dataLabelHidden idx="10"/>
          </cx:dataLabels>
          <cx:dataId val="0"/>
          <cx:layoutPr>
            <cx:subtotals>
              <cx:idx val="12"/>
              <cx:idx val="13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L(A) PRCF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Calibri" panose="020F0502020204030204" pitchFamily="34" charset="0"/>
                </a:rPr>
                <a:t>L(A) PRCF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plotArea>
      <cx:plotAreaRegion>
        <cx:series layoutId="waterfall" uniqueId="{9A31A1B9-4301-43E6-B571-3CF1987D9F2C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7030A0"/>
              </a:solidFill>
            </cx:spPr>
          </cx:dataPt>
          <cx:dataPt idx="3">
            <cx:spPr>
              <a:solidFill>
                <a:srgbClr val="00B0F0"/>
              </a:solidFill>
            </cx:spPr>
          </cx:dataPt>
          <cx:dataPt idx="4">
            <cx:spPr>
              <a:solidFill>
                <a:sysClr val="window" lastClr="FFFFFF"/>
              </a:solidFill>
            </cx:spPr>
          </cx:dataPt>
          <cx:dataPt idx="5">
            <cx:spPr>
              <a:solidFill>
                <a:srgbClr val="00B0F0"/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7030A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F0"/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# 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700" b="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ZA"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4"/>
          </cx:dataLabels>
          <cx:dataId val="0"/>
          <cx:layoutPr>
            <cx:subtotals>
              <cx:idx val="12"/>
            </cx:subtotals>
          </cx:layoutPr>
        </cx:series>
      </cx:plotAreaRegion>
      <cx:axis id="0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ZA" sz="70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Total Reinsurance Assets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0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10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Total Reinsurance Assets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700" b="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ZA" sz="70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_xlchart.v1.29</cx:f>
      </cx:numDim>
    </cx:data>
  </cx:chartData>
  <cx:chart>
    <cx:plotArea>
      <cx:plotAreaRegion>
        <cx:series layoutId="waterfall" uniqueId="{B3F0F027-3A32-43E0-A7B6-FCE8C003F215}">
          <cx:dataPt idx="0">
            <cx:spPr>
              <a:solidFill>
                <a:srgbClr val="FFFF0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/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Pt idx="5">
            <cx:spPr>
              <a:solidFill>
                <a:srgbClr val="00B0F0"/>
              </a:solidFill>
            </cx:spPr>
          </cx:dataPt>
          <cx:dataPt idx="6">
            <cx:spPr>
              <a:solidFill>
                <a:srgbClr val="00B0F0"/>
              </a:solidFill>
            </cx:spPr>
          </cx:dataPt>
          <cx:dataPt idx="7">
            <cx:spPr>
              <a:solidFill>
                <a:srgbClr val="7030A0"/>
              </a:solidFill>
            </cx:spPr>
          </cx:dataPt>
          <cx:dataPt idx="8">
            <cx:spPr>
              <a:solidFill>
                <a:srgbClr val="00B0F0"/>
              </a:solidFill>
            </cx:spPr>
          </cx:dataPt>
          <cx:dataPt idx="9">
            <cx:spPr>
              <a:solidFill>
                <a:srgbClr val="00B050"/>
              </a:solidFill>
            </cx:spPr>
          </cx:dataPt>
          <cx:dataPt idx="10">
            <cx:spPr>
              <a:solidFill>
                <a:srgbClr val="00B050"/>
              </a:solidFill>
            </cx:spPr>
          </cx:dataPt>
          <cx:dataPt idx="11">
            <cx:spPr>
              <a:solidFill>
                <a:srgbClr val="00B05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Labels pos="outEnd">
            <cx:numFmt formatCode="# 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>
                    <a:solidFill>
                      <a:schemeClr val="bg1"/>
                    </a:solidFill>
                    <a:latin typeface="Source Sans Pro Light" panose="020B0403030403020204" pitchFamily="34" charset="0"/>
                    <a:ea typeface="Source Sans Pro Light" panose="020B0403030403020204" pitchFamily="34" charset="0"/>
                    <a:cs typeface="Source Sans Pro Light" panose="020B0403030403020204" pitchFamily="34" charset="0"/>
                  </a:defRPr>
                </a:pPr>
                <a:endParaRPr lang="en-US" sz="700" b="0" i="0" u="none" strike="noStrike" baseline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endParaRPr>
              </a:p>
            </cx:txPr>
            <cx:visibility seriesName="0" categoryName="0" value="1"/>
            <cx:separator>, </cx:separator>
            <cx:dataLabelHidden idx="2"/>
            <cx:dataLabelHidden idx="3"/>
            <cx:dataLabelHidden idx="5"/>
            <cx:dataLabelHidden idx="6"/>
            <cx:dataLabelHidden idx="10"/>
          </cx:dataLabels>
          <cx:dataId val="0"/>
          <cx:layoutPr>
            <cx:subtotals>
              <cx:idx val="12"/>
            </cx:subtotals>
          </cx:layoutPr>
        </cx:series>
      </cx:plotAreaRegion>
      <cx:axis id="0" hidden="1">
        <cx:catScaling gapWidth="0.200000003"/>
        <cx:majorGridlines>
          <cx:spPr>
            <a:ln>
              <a:solidFill>
                <a:schemeClr val="bg1">
                  <a:alpha val="30000"/>
                </a:schemeClr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  <cx:axis id="1" hidden="1">
        <cx:valScaling/>
        <cx:title>
          <cx:tx>
            <cx:txData>
              <cx:v>ARIC (PVFCF)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700" b="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  <a:cs typeface="Source Sans Pro Light" panose="020B0403030403020204" pitchFamily="34" charset="0"/>
                </a:defRPr>
              </a:pPr>
              <a:r>
                <a:rPr lang="en-ZA" sz="700">
                  <a:solidFill>
                    <a:schemeClr val="bg1"/>
                  </a:solidFill>
                  <a:latin typeface="Source Sans Pro Light" panose="020B0403030403020204" pitchFamily="34" charset="0"/>
                  <a:ea typeface="Source Sans Pro Light" panose="020B0403030403020204" pitchFamily="34" charset="0"/>
                </a:rPr>
                <a:t>ARIC (PVFCF)</a:t>
              </a:r>
            </a:p>
          </cx:txPr>
        </cx:title>
        <cx:tickLabels/>
        <cx:spPr>
          <a:ln>
            <a:solidFill>
              <a:schemeClr val="bg1">
                <a:alpha val="30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solidFill>
                  <a:schemeClr val="bg1"/>
                </a:solidFill>
                <a:latin typeface="Source Sans Pro Light" panose="020B0403030403020204" pitchFamily="34" charset="0"/>
                <a:ea typeface="Source Sans Pro Light" panose="020B0403030403020204" pitchFamily="34" charset="0"/>
                <a:cs typeface="Source Sans Pro Light" panose="020B0403030403020204" pitchFamily="34" charset="0"/>
              </a:defRPr>
            </a:pPr>
            <a:endParaRPr lang="en-US" sz="700" b="0" i="0" u="none" strike="noStrike" baseline="0">
              <a:solidFill>
                <a:schemeClr val="bg1"/>
              </a:solidFill>
              <a:latin typeface="Source Sans Pro Light" panose="020B0403030403020204" pitchFamily="34" charset="0"/>
              <a:ea typeface="Source Sans Pro Light" panose="020B0403030403020204" pitchFamily="34" charset="0"/>
            </a:endParaRPr>
          </a:p>
        </cx:txPr>
      </cx:axis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solidFill>
      <a:schemeClr val="tx1">
        <a:lumMod val="75000"/>
        <a:lumOff val="25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7" Type="http://schemas.microsoft.com/office/2014/relationships/chartEx" Target="../charts/chartEx13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60</xdr:col>
      <xdr:colOff>127600</xdr:colOff>
      <xdr:row>77</xdr:row>
      <xdr:rowOff>54975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694C10-501C-4E0A-B062-83F2EF0AB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0"/>
              <a:ext cx="9843100" cy="199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60</xdr:col>
      <xdr:colOff>127600</xdr:colOff>
      <xdr:row>47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F344EC8-4C2F-44D7-9C1E-C9F2A2471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14800"/>
              <a:ext cx="9843100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0</xdr:rowOff>
    </xdr:from>
    <xdr:to>
      <xdr:col>60</xdr:col>
      <xdr:colOff>127600</xdr:colOff>
      <xdr:row>35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78DD3B6-A15B-4C5E-B9C8-71748EC34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3200"/>
              <a:ext cx="9843100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0</xdr:rowOff>
    </xdr:from>
    <xdr:to>
      <xdr:col>60</xdr:col>
      <xdr:colOff>127600</xdr:colOff>
      <xdr:row>23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28C17B-9EE0-4734-9238-D9D42CB859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0"/>
              <a:ext cx="9843100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0</xdr:rowOff>
    </xdr:from>
    <xdr:to>
      <xdr:col>60</xdr:col>
      <xdr:colOff>124425</xdr:colOff>
      <xdr:row>59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DC0ECEC-AC22-49FD-A809-E8CB578B6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400"/>
              <a:ext cx="9839925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60</xdr:col>
      <xdr:colOff>124425</xdr:colOff>
      <xdr:row>11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71E7DAD-B79C-47D0-9980-EB0AE6E34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839925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60</xdr:col>
      <xdr:colOff>127600</xdr:colOff>
      <xdr:row>77</xdr:row>
      <xdr:rowOff>54975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175A86-1E44-48E8-B7EF-E48BB9B32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0"/>
              <a:ext cx="9843100" cy="1998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60</xdr:col>
      <xdr:colOff>127600</xdr:colOff>
      <xdr:row>47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DE38B9-FDBB-4478-A5F9-F90B6F0CB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14800"/>
              <a:ext cx="9843100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0</xdr:rowOff>
    </xdr:from>
    <xdr:to>
      <xdr:col>60</xdr:col>
      <xdr:colOff>127600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1409B1-3471-4908-B316-3E50D88E4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14800"/>
              <a:ext cx="98431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0</xdr:rowOff>
    </xdr:from>
    <xdr:to>
      <xdr:col>60</xdr:col>
      <xdr:colOff>127600</xdr:colOff>
      <xdr:row>35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54A785C-D724-4AEE-A837-118A0A1CA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3200"/>
              <a:ext cx="9843100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48</xdr:row>
      <xdr:rowOff>0</xdr:rowOff>
    </xdr:from>
    <xdr:to>
      <xdr:col>60</xdr:col>
      <xdr:colOff>124425</xdr:colOff>
      <xdr:row>59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D8D63FB-43F1-47C3-B493-77CD36A36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86400"/>
              <a:ext cx="9839925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60</xdr:col>
      <xdr:colOff>124425</xdr:colOff>
      <xdr:row>11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F60AD93-160F-40BB-9E65-FC4577149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839925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0</xdr:rowOff>
    </xdr:from>
    <xdr:to>
      <xdr:col>60</xdr:col>
      <xdr:colOff>124425</xdr:colOff>
      <xdr:row>23</xdr:row>
      <xdr:rowOff>77925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957B38C-3140-4643-95CD-D5ECB43B0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0"/>
              <a:ext cx="9839925" cy="13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B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an\Downloads\PAA-Tool\PAA-Tool\PAA%20Tool-2023%20BLL.xlsm" TargetMode="External"/><Relationship Id="rId1" Type="http://schemas.openxmlformats.org/officeDocument/2006/relationships/externalLinkPath" Target="PAA-Tool/PAA-Tool/PAA%20Tool-2023%20B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C693EZ/Desktop/IFRS17/0.%20EY%20Development%20work/1.%20Excel/1.%20PAA/1.%20FX%20changes/GMM%20ref/IFRS%2017%20GMM%20Tool%20v0.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 &gt;"/>
      <sheetName val="User Guide"/>
      <sheetName val="Detailed Scope"/>
      <sheetName val="Process Diagram"/>
      <sheetName val="Workings"/>
      <sheetName val="Model &gt;"/>
      <sheetName val="Control"/>
      <sheetName val="Setup"/>
      <sheetName val="Assumptions"/>
      <sheetName val="MetaData"/>
      <sheetName val="I_Disclosures_Master"/>
      <sheetName val="I_Disclosures"/>
      <sheetName val="I_Dashboard_Data"/>
      <sheetName val="I_Dashboard"/>
      <sheetName val="R_Disclosures_Master"/>
      <sheetName val="R_Disclosures"/>
      <sheetName val="R_Dashboard_Data"/>
      <sheetName val="R_Dashboard"/>
      <sheetName val="Financials"/>
      <sheetName val="I_B120_metadata"/>
      <sheetName val="B120 Check"/>
      <sheetName val="Data Checks"/>
      <sheetName val="Trial Balance"/>
      <sheetName val="Subledger"/>
      <sheetName val="Datasets"/>
      <sheetName val="YieldCurve_fwd"/>
      <sheetName val="YieldCurve_spot"/>
      <sheetName val="I_Groups"/>
      <sheetName val="I_CO_NEW"/>
      <sheetName val="I_CO_IF"/>
      <sheetName val="I_PR_CF"/>
      <sheetName val="I_PR_DR"/>
      <sheetName val="I_PR_WO"/>
      <sheetName val="I_AE_CF"/>
      <sheetName val="I_AE_CR"/>
      <sheetName val="I_AE_WO"/>
      <sheetName val="I_AE_UN"/>
      <sheetName val="I_CL_GEN"/>
      <sheetName val="I_CL_RA"/>
      <sheetName val="I_CL_FCF"/>
      <sheetName val="I_CB_GEN"/>
      <sheetName val="I_CB_RA"/>
      <sheetName val="I_CB_FCF"/>
      <sheetName val="I_IC_CF"/>
      <sheetName val="LRC_1"/>
      <sheetName val="LRC_2_Pre_FX"/>
      <sheetName val="FX"/>
      <sheetName val="LRC_2"/>
      <sheetName val="LIC_CL_1"/>
      <sheetName val="LIC_CL_2"/>
      <sheetName val="LIC_CL_3_Pre_FX"/>
      <sheetName val="LIC_CL_3"/>
      <sheetName val="LIC_CB_1"/>
      <sheetName val="LIC_CB_2"/>
      <sheetName val="LIC_CB_3_Pre_FX"/>
      <sheetName val="LIC_CB_3"/>
      <sheetName val="I_AE_CF_FX"/>
      <sheetName val="AE_UN_1_Pre_FX"/>
      <sheetName val="AE_UN_1_FX"/>
      <sheetName val="AE_UN_1"/>
      <sheetName val="IL_Opening"/>
      <sheetName val="IL_Closing"/>
      <sheetName val="R_Groups"/>
      <sheetName val="R_I_Mapping"/>
      <sheetName val="R_CO_NEW"/>
      <sheetName val="R_CO_IF"/>
      <sheetName val="R_PR_CF"/>
      <sheetName val="R_PR_CR"/>
      <sheetName val="R_PR_WO"/>
      <sheetName val="R_NCC_CF"/>
      <sheetName val="R_NCC_DR"/>
      <sheetName val="R_NCC_WO"/>
      <sheetName val="R_NCC_UN"/>
      <sheetName val="R_REC_GEN"/>
      <sheetName val="R_REC_RA"/>
      <sheetName val="R_REC_FCF"/>
      <sheetName val="R_CC_GEN"/>
      <sheetName val="R_CC_RA"/>
      <sheetName val="R_CC_FCF"/>
      <sheetName val="R_IC_CF"/>
      <sheetName val="ARC_0"/>
      <sheetName val="ARC_1"/>
      <sheetName val="ARC_2_Pre_FX"/>
      <sheetName val="ARC_2"/>
      <sheetName val="ARIC_REC_1"/>
      <sheetName val="ARIC_REC_2"/>
      <sheetName val="ARIC_REC_3_Pre_FX"/>
      <sheetName val="ARIC_REC_3"/>
      <sheetName val="ARIC_CC_1"/>
      <sheetName val="ARIC_CC_2"/>
      <sheetName val="ARIC_CC_3_Pre_FX"/>
      <sheetName val="ARIC_CC_3"/>
      <sheetName val="R_FX"/>
      <sheetName val="RA_Opening"/>
      <sheetName val="RA_Closing"/>
      <sheetName val="R_NCC_CF_FX"/>
      <sheetName val="NCC_UN_1_Pre_FX"/>
      <sheetName val="NCC_UN_1_FX"/>
      <sheetName val="NCC_UN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>
            <v>44742</v>
          </cell>
        </row>
        <row r="3">
          <cell r="F3">
            <v>45107</v>
          </cell>
        </row>
        <row r="4">
          <cell r="F4" t="str">
            <v>ZAR</v>
          </cell>
        </row>
        <row r="7">
          <cell r="F7" t="str">
            <v>Yes</v>
          </cell>
        </row>
        <row r="8">
          <cell r="F8" t="str">
            <v>No</v>
          </cell>
        </row>
        <row r="9">
          <cell r="F9" t="str">
            <v>Yes</v>
          </cell>
        </row>
        <row r="10">
          <cell r="F10" t="str">
            <v>Yes</v>
          </cell>
        </row>
        <row r="11">
          <cell r="F11" t="str">
            <v>Yes</v>
          </cell>
        </row>
        <row r="12">
          <cell r="F12" t="str">
            <v>No</v>
          </cell>
        </row>
        <row r="13">
          <cell r="F13" t="str">
            <v>No</v>
          </cell>
        </row>
        <row r="14">
          <cell r="F14" t="str">
            <v>No</v>
          </cell>
        </row>
        <row r="17">
          <cell r="F17" t="str">
            <v>No</v>
          </cell>
        </row>
        <row r="19">
          <cell r="F19" t="str">
            <v>No</v>
          </cell>
        </row>
        <row r="22">
          <cell r="F22" t="str">
            <v>Yes</v>
          </cell>
        </row>
        <row r="23">
          <cell r="F23" t="str">
            <v>P/L</v>
          </cell>
        </row>
        <row r="24">
          <cell r="F24" t="str">
            <v>Current YC</v>
          </cell>
        </row>
        <row r="25">
          <cell r="F25" t="str">
            <v>Combined Ratio Approach</v>
          </cell>
        </row>
        <row r="26">
          <cell r="F26" t="str">
            <v>Yes</v>
          </cell>
        </row>
        <row r="27">
          <cell r="F27" t="str">
            <v>Portfolio</v>
          </cell>
        </row>
        <row r="28">
          <cell r="F28" t="str">
            <v>No</v>
          </cell>
        </row>
      </sheetData>
      <sheetData sheetId="8"/>
      <sheetData sheetId="9">
        <row r="4">
          <cell r="J4">
            <v>1100000</v>
          </cell>
        </row>
        <row r="5">
          <cell r="J5" t="str">
            <v>1211100</v>
          </cell>
        </row>
        <row r="6">
          <cell r="J6" t="str">
            <v>1211200</v>
          </cell>
        </row>
        <row r="7">
          <cell r="J7" t="str">
            <v>1211300</v>
          </cell>
        </row>
        <row r="8">
          <cell r="J8" t="str">
            <v>1211400</v>
          </cell>
        </row>
        <row r="9">
          <cell r="J9" t="str">
            <v>1212000</v>
          </cell>
        </row>
        <row r="10">
          <cell r="J10" t="str">
            <v>1213000</v>
          </cell>
        </row>
        <row r="11">
          <cell r="J11" t="str">
            <v>1221110</v>
          </cell>
        </row>
        <row r="12">
          <cell r="J12" t="str">
            <v>1221120</v>
          </cell>
        </row>
        <row r="13">
          <cell r="J13" t="str">
            <v>1222110</v>
          </cell>
        </row>
        <row r="14">
          <cell r="J14" t="str">
            <v>1223110</v>
          </cell>
        </row>
        <row r="15">
          <cell r="J15" t="str">
            <v>1223120</v>
          </cell>
        </row>
        <row r="16">
          <cell r="J16" t="str">
            <v>1311100</v>
          </cell>
        </row>
        <row r="17">
          <cell r="J17" t="str">
            <v>1311200</v>
          </cell>
        </row>
        <row r="18">
          <cell r="J18" t="str">
            <v>1311300</v>
          </cell>
        </row>
        <row r="19">
          <cell r="J19" t="str">
            <v>1311400</v>
          </cell>
        </row>
        <row r="20">
          <cell r="J20" t="str">
            <v>1312000</v>
          </cell>
        </row>
        <row r="21">
          <cell r="J21" t="str">
            <v>1313000</v>
          </cell>
        </row>
        <row r="22">
          <cell r="J22" t="str">
            <v>1321110</v>
          </cell>
        </row>
        <row r="23">
          <cell r="J23" t="str">
            <v>1321120</v>
          </cell>
        </row>
        <row r="24">
          <cell r="J24" t="str">
            <v>1322110</v>
          </cell>
        </row>
        <row r="25">
          <cell r="J25" t="str">
            <v>1323110</v>
          </cell>
        </row>
        <row r="26">
          <cell r="J26" t="str">
            <v>1323120</v>
          </cell>
        </row>
        <row r="27">
          <cell r="J27" t="str">
            <v>2110000</v>
          </cell>
        </row>
        <row r="28">
          <cell r="J28" t="str">
            <v>2121000</v>
          </cell>
        </row>
        <row r="29">
          <cell r="J29" t="str">
            <v>2122000</v>
          </cell>
        </row>
        <row r="32">
          <cell r="J32" t="str">
            <v>2125000</v>
          </cell>
        </row>
        <row r="33">
          <cell r="J33" t="str">
            <v>2126000</v>
          </cell>
        </row>
        <row r="34">
          <cell r="J34" t="str">
            <v>2210000</v>
          </cell>
        </row>
        <row r="35">
          <cell r="J35" t="str">
            <v>2221000</v>
          </cell>
        </row>
        <row r="36">
          <cell r="J36" t="str">
            <v>2222000</v>
          </cell>
        </row>
        <row r="37">
          <cell r="J37" t="str">
            <v>2223000</v>
          </cell>
        </row>
        <row r="38">
          <cell r="J38" t="str">
            <v>2310000</v>
          </cell>
        </row>
        <row r="39">
          <cell r="J39" t="str">
            <v>2321000</v>
          </cell>
        </row>
        <row r="40">
          <cell r="J40" t="str">
            <v>2322000</v>
          </cell>
        </row>
        <row r="41">
          <cell r="J41" t="str">
            <v>2331000</v>
          </cell>
        </row>
        <row r="42">
          <cell r="J42" t="str">
            <v>2332000</v>
          </cell>
        </row>
        <row r="43">
          <cell r="J43" t="str">
            <v>2410000</v>
          </cell>
        </row>
        <row r="44">
          <cell r="J44" t="str">
            <v>2421000</v>
          </cell>
        </row>
        <row r="45">
          <cell r="J45" t="str">
            <v>2422000</v>
          </cell>
        </row>
        <row r="46">
          <cell r="J46" t="str">
            <v>2430000</v>
          </cell>
        </row>
        <row r="47">
          <cell r="J47" t="str">
            <v>2441000</v>
          </cell>
        </row>
        <row r="48">
          <cell r="J48" t="str">
            <v>2442000</v>
          </cell>
        </row>
        <row r="49">
          <cell r="J49" t="str">
            <v>3111000</v>
          </cell>
        </row>
        <row r="50">
          <cell r="J50" t="str">
            <v>3112000</v>
          </cell>
        </row>
        <row r="51">
          <cell r="J51" t="str">
            <v>3113000</v>
          </cell>
        </row>
        <row r="52">
          <cell r="J52" t="str">
            <v>3114000</v>
          </cell>
        </row>
        <row r="53">
          <cell r="J53" t="str">
            <v>3121000</v>
          </cell>
        </row>
        <row r="54">
          <cell r="J54" t="str">
            <v>3122000</v>
          </cell>
        </row>
        <row r="55">
          <cell r="J55" t="str">
            <v>3123000</v>
          </cell>
        </row>
        <row r="56">
          <cell r="J56" t="str">
            <v>3210000</v>
          </cell>
        </row>
        <row r="57">
          <cell r="J57" t="str">
            <v>3220000</v>
          </cell>
        </row>
        <row r="58">
          <cell r="J58" t="str">
            <v>3230000</v>
          </cell>
        </row>
        <row r="59">
          <cell r="J59" t="str">
            <v>3240000</v>
          </cell>
        </row>
        <row r="60">
          <cell r="J60" t="str">
            <v>3310000</v>
          </cell>
        </row>
        <row r="61">
          <cell r="J61" t="str">
            <v>3320000</v>
          </cell>
        </row>
        <row r="62">
          <cell r="J62" t="str">
            <v>3330000</v>
          </cell>
        </row>
        <row r="63">
          <cell r="J63" t="str">
            <v>3340000</v>
          </cell>
        </row>
        <row r="191">
          <cell r="C191" t="str">
            <v>2123000</v>
          </cell>
        </row>
        <row r="192">
          <cell r="C192" t="str">
            <v>2124000</v>
          </cell>
        </row>
        <row r="370">
          <cell r="B370" t="str">
            <v>Opening Unallocated Acq Exp - Actuals FX</v>
          </cell>
          <cell r="C370" t="str">
            <v>Previous</v>
          </cell>
          <cell r="D370">
            <v>44742</v>
          </cell>
        </row>
        <row r="371">
          <cell r="B371" t="str">
            <v>Alloc Pre-recognition Acq Exp - Actuals FX</v>
          </cell>
          <cell r="C371" t="str">
            <v>Previous</v>
          </cell>
          <cell r="D371">
            <v>44742</v>
          </cell>
        </row>
        <row r="372">
          <cell r="B372" t="str">
            <v>Pre-recognition Acq Exp Paid (2) - Actuals FX</v>
          </cell>
          <cell r="C372" t="str">
            <v>Previous</v>
          </cell>
          <cell r="D372">
            <v>44742</v>
          </cell>
        </row>
        <row r="373">
          <cell r="B373" t="str">
            <v>Closing Unallocated Acq Exp - Actuals FX</v>
          </cell>
          <cell r="C373" t="str">
            <v>N/A</v>
          </cell>
          <cell r="D373" t="str">
            <v>N/A</v>
          </cell>
        </row>
        <row r="374">
          <cell r="B374" t="str">
            <v>Impairment of PRCF Asset - Actual FX</v>
          </cell>
          <cell r="C374" t="str">
            <v>Previous</v>
          </cell>
          <cell r="D374">
            <v>44742</v>
          </cell>
        </row>
        <row r="375">
          <cell r="B375" t="str">
            <v>Reversal of Impairment of PRCF Asset - Actual FX</v>
          </cell>
          <cell r="C375" t="str">
            <v>Current</v>
          </cell>
          <cell r="D375">
            <v>45107</v>
          </cell>
        </row>
        <row r="376">
          <cell r="B376" t="str">
            <v>Closing Unallocated Acq Exp - Current FX</v>
          </cell>
          <cell r="C376" t="str">
            <v>Current</v>
          </cell>
          <cell r="D376">
            <v>45107</v>
          </cell>
        </row>
        <row r="377">
          <cell r="B377" t="str">
            <v>Closing Unallocated Acq Exp - Net foreign exchange income / (expenses)</v>
          </cell>
          <cell r="C377" t="str">
            <v>N/A</v>
          </cell>
          <cell r="D377" t="str">
            <v>N/A</v>
          </cell>
        </row>
        <row r="378">
          <cell r="B378" t="str">
            <v>Opening LRC - Expected Prem - Actuals FX</v>
          </cell>
          <cell r="C378" t="str">
            <v>Average</v>
          </cell>
          <cell r="D378" t="str">
            <v>Average</v>
          </cell>
        </row>
        <row r="379">
          <cell r="B379" t="str">
            <v>Opening ARC - Expected Prem - Actuals FX</v>
          </cell>
          <cell r="C379" t="str">
            <v>Previous</v>
          </cell>
          <cell r="D379">
            <v>44742</v>
          </cell>
        </row>
        <row r="380">
          <cell r="B380" t="str">
            <v>Current Premium Received - Actuals FX</v>
          </cell>
          <cell r="C380" t="str">
            <v>Average</v>
          </cell>
          <cell r="D380" t="str">
            <v>Average</v>
          </cell>
        </row>
        <row r="381">
          <cell r="B381" t="str">
            <v>LRC - Prem Due Raised - Actuals FX</v>
          </cell>
          <cell r="C381" t="str">
            <v>Previous</v>
          </cell>
          <cell r="D381">
            <v>44742</v>
          </cell>
        </row>
        <row r="382">
          <cell r="B382" t="str">
            <v>Transfer Investment Component to LIC (2) - Actuals FX</v>
          </cell>
          <cell r="C382" t="str">
            <v>Previous</v>
          </cell>
          <cell r="D382">
            <v>44742</v>
          </cell>
        </row>
        <row r="383">
          <cell r="B383" t="str">
            <v>LRC - Prem Due Write-offs (2) - Actuals FX</v>
          </cell>
          <cell r="C383" t="str">
            <v>Previous</v>
          </cell>
          <cell r="D383">
            <v>44742</v>
          </cell>
        </row>
        <row r="384">
          <cell r="B384" t="str">
            <v>Allocation of RI Premium - Actuals FX</v>
          </cell>
          <cell r="C384" t="str">
            <v>Current</v>
          </cell>
          <cell r="D384">
            <v>45107</v>
          </cell>
        </row>
        <row r="385">
          <cell r="B385" t="str">
            <v>Revenue - Actuals FX</v>
          </cell>
          <cell r="C385" t="str">
            <v>Current</v>
          </cell>
          <cell r="D385">
            <v>45107</v>
          </cell>
        </row>
        <row r="386">
          <cell r="B386" t="str">
            <v>Closing LRC - Expected Prem - Actuals FX</v>
          </cell>
          <cell r="C386" t="str">
            <v>N/A</v>
          </cell>
          <cell r="D386" t="str">
            <v>N/A</v>
          </cell>
        </row>
        <row r="387">
          <cell r="B387" t="str">
            <v>Closing LRC - Expected Prem - Current FX</v>
          </cell>
          <cell r="C387" t="str">
            <v>Current</v>
          </cell>
          <cell r="D387">
            <v>45107</v>
          </cell>
        </row>
        <row r="388">
          <cell r="B388" t="str">
            <v>Closing LRC - Expected Prem - Net foreign exchange income / (expenses)</v>
          </cell>
          <cell r="C388" t="str">
            <v>N/A</v>
          </cell>
          <cell r="D388" t="str">
            <v>N/A</v>
          </cell>
        </row>
        <row r="389">
          <cell r="B389" t="str">
            <v>Opening LRC - Prem Due - Actuals FX</v>
          </cell>
          <cell r="C389" t="str">
            <v>Previous</v>
          </cell>
          <cell r="D389">
            <v>44742</v>
          </cell>
        </row>
        <row r="390">
          <cell r="B390" t="str">
            <v>Past Due Premium Received - Actuals FX</v>
          </cell>
          <cell r="C390" t="str">
            <v>Previous</v>
          </cell>
          <cell r="D390">
            <v>44742</v>
          </cell>
        </row>
        <row r="391">
          <cell r="B391" t="str">
            <v>LRC - Prem Due Write-offs - Actuals FX</v>
          </cell>
          <cell r="C391" t="str">
            <v>Previous</v>
          </cell>
          <cell r="D391">
            <v>44742</v>
          </cell>
        </row>
        <row r="392">
          <cell r="B392" t="str">
            <v>LRC - Prem Due Raised (2) - Actuals FX</v>
          </cell>
          <cell r="C392" t="str">
            <v>Previous</v>
          </cell>
          <cell r="D392">
            <v>44742</v>
          </cell>
        </row>
        <row r="393">
          <cell r="B393" t="str">
            <v>Closing LRC - Prem Due - Actuals FX</v>
          </cell>
          <cell r="C393" t="str">
            <v>N/A</v>
          </cell>
          <cell r="D393" t="str">
            <v>N/A</v>
          </cell>
        </row>
        <row r="394">
          <cell r="B394" t="str">
            <v>Closing LRC - Prem Due - Current FX</v>
          </cell>
          <cell r="C394" t="str">
            <v>Current</v>
          </cell>
          <cell r="D394">
            <v>45107</v>
          </cell>
        </row>
        <row r="395">
          <cell r="B395" t="str">
            <v>Closing LRC - Prem Due - Net foreign exchange income / (expenses)</v>
          </cell>
          <cell r="C395" t="str">
            <v>N/A</v>
          </cell>
          <cell r="D395" t="str">
            <v>N/A</v>
          </cell>
        </row>
        <row r="396">
          <cell r="B396" t="str">
            <v>Opening LRC - Expected Acq Exp - Actuals FX</v>
          </cell>
          <cell r="C396" t="str">
            <v>Previous</v>
          </cell>
          <cell r="D396">
            <v>44742</v>
          </cell>
        </row>
        <row r="397">
          <cell r="B397" t="str">
            <v>LRC - Acq Exp Payable Write-offs - Actuals FX</v>
          </cell>
          <cell r="C397" t="str">
            <v>Previous</v>
          </cell>
          <cell r="D397">
            <v>44742</v>
          </cell>
        </row>
        <row r="398">
          <cell r="B398" t="str">
            <v>Acq Exp - Actuals FX</v>
          </cell>
          <cell r="C398" t="str">
            <v>Previous</v>
          </cell>
          <cell r="D398">
            <v>44742</v>
          </cell>
        </row>
        <row r="399">
          <cell r="B399" t="str">
            <v>Current Acq Exp Paid (2) - Actuals FX</v>
          </cell>
          <cell r="C399" t="str">
            <v>Previous</v>
          </cell>
          <cell r="D399">
            <v>44742</v>
          </cell>
        </row>
        <row r="400">
          <cell r="B400" t="str">
            <v>Alloc Pre-recognition Acq Exp (2) - Actuals FX</v>
          </cell>
          <cell r="C400" t="str">
            <v>Previous</v>
          </cell>
          <cell r="D400">
            <v>44742</v>
          </cell>
        </row>
        <row r="401">
          <cell r="B401" t="str">
            <v>LRC - Acq Exp Payable Raised (2) - Actuals FX</v>
          </cell>
          <cell r="C401" t="str">
            <v>Previous</v>
          </cell>
          <cell r="D401">
            <v>44742</v>
          </cell>
        </row>
        <row r="402">
          <cell r="B402" t="str">
            <v>Closing LRC - Expected Acq Exp - Actuals FX</v>
          </cell>
          <cell r="C402" t="str">
            <v>N/A</v>
          </cell>
          <cell r="D402" t="str">
            <v>N/A</v>
          </cell>
        </row>
        <row r="403">
          <cell r="B403" t="str">
            <v>Closing LRC - Expected Acq Exp - Current FX</v>
          </cell>
          <cell r="C403" t="str">
            <v>Current</v>
          </cell>
          <cell r="D403">
            <v>45107</v>
          </cell>
        </row>
        <row r="404">
          <cell r="B404" t="str">
            <v>Closing LRC - Expected Acq Exp - Net foreign exchange income / (expenses)</v>
          </cell>
          <cell r="C404" t="str">
            <v>N/A</v>
          </cell>
          <cell r="D404" t="str">
            <v>N/A</v>
          </cell>
        </row>
        <row r="405">
          <cell r="B405" t="str">
            <v>Opening LRC - Acq Exp Payable - Actuals FX</v>
          </cell>
          <cell r="C405" t="str">
            <v>Previous</v>
          </cell>
          <cell r="D405">
            <v>44742</v>
          </cell>
        </row>
        <row r="406">
          <cell r="B406" t="str">
            <v>LRC - Acq Exp Payable Raised - Actuals FX</v>
          </cell>
          <cell r="C406" t="str">
            <v>Previous</v>
          </cell>
          <cell r="D406">
            <v>44742</v>
          </cell>
        </row>
        <row r="407">
          <cell r="B407" t="str">
            <v>Past Due Acq Exp Paid (2) - Actuals FX</v>
          </cell>
          <cell r="C407" t="str">
            <v>Previous</v>
          </cell>
          <cell r="D407">
            <v>44742</v>
          </cell>
        </row>
        <row r="408">
          <cell r="B408" t="str">
            <v>LRC - Acq Exp Payable Write-offs (2) - Actuals FX</v>
          </cell>
          <cell r="C408" t="str">
            <v>Previous</v>
          </cell>
          <cell r="D408">
            <v>44742</v>
          </cell>
        </row>
        <row r="409">
          <cell r="B409" t="str">
            <v>Closing LRC - Acq Exp Payable - Actuals FX</v>
          </cell>
          <cell r="C409" t="str">
            <v>N/A</v>
          </cell>
          <cell r="D409" t="str">
            <v>N/A</v>
          </cell>
        </row>
        <row r="410">
          <cell r="B410" t="str">
            <v>Closing LRC - Acq Exp Payable - Current FX</v>
          </cell>
          <cell r="C410" t="str">
            <v>Current</v>
          </cell>
          <cell r="D410">
            <v>45107</v>
          </cell>
        </row>
        <row r="411">
          <cell r="B411" t="str">
            <v>Closing LRC - Acq Exp Payable - Net foreign exchange income / (expenses)</v>
          </cell>
          <cell r="C411" t="str">
            <v>N/A</v>
          </cell>
          <cell r="D411" t="str">
            <v>N/A</v>
          </cell>
        </row>
        <row r="412">
          <cell r="B412" t="str">
            <v>Opening LRC - Loss Component - Actuals FX</v>
          </cell>
          <cell r="C412" t="str">
            <v>Previous</v>
          </cell>
          <cell r="D412">
            <v>44742</v>
          </cell>
        </row>
        <row r="413">
          <cell r="B413" t="str">
            <v>Initial Loss Component - Actuals FX</v>
          </cell>
          <cell r="C413" t="str">
            <v>Previous</v>
          </cell>
          <cell r="D413">
            <v>44742</v>
          </cell>
        </row>
        <row r="414">
          <cell r="B414" t="str">
            <v>Release of LRC - Loss Component - Actuals FX</v>
          </cell>
          <cell r="C414" t="str">
            <v>Current</v>
          </cell>
          <cell r="D414">
            <v>45107</v>
          </cell>
        </row>
        <row r="415">
          <cell r="B415" t="str">
            <v>Change in LRC - Loss Component - Actuals FX</v>
          </cell>
          <cell r="C415" t="str">
            <v>Current</v>
          </cell>
          <cell r="D415">
            <v>45107</v>
          </cell>
        </row>
        <row r="416">
          <cell r="B416" t="str">
            <v>Closing LRC - Loss Component - Actuals FX</v>
          </cell>
          <cell r="C416" t="str">
            <v>N/A</v>
          </cell>
          <cell r="D416" t="str">
            <v>N/A</v>
          </cell>
        </row>
        <row r="417">
          <cell r="B417" t="str">
            <v>Closing LRC - Loss Component - Current FX</v>
          </cell>
          <cell r="C417" t="str">
            <v>Current</v>
          </cell>
          <cell r="D417">
            <v>45107</v>
          </cell>
        </row>
        <row r="418">
          <cell r="B418" t="str">
            <v>Closing LRC - Loss Component - Net foreign exchange income / (expenses)</v>
          </cell>
          <cell r="C418" t="str">
            <v>N/A</v>
          </cell>
          <cell r="D418" t="str">
            <v>N/A</v>
          </cell>
        </row>
        <row r="419">
          <cell r="B419" t="str">
            <v>Opening LIC - Investment Component - Actuals FX</v>
          </cell>
          <cell r="C419" t="str">
            <v>Previous</v>
          </cell>
          <cell r="D419">
            <v>44742</v>
          </cell>
        </row>
        <row r="420">
          <cell r="B420" t="str">
            <v>Transfer Investment Component to LIC - Actuals FX</v>
          </cell>
          <cell r="C420" t="str">
            <v>Previous</v>
          </cell>
          <cell r="D420">
            <v>44742</v>
          </cell>
        </row>
        <row r="421">
          <cell r="B421" t="str">
            <v>Investment Component Paid (2) - Actuals FX</v>
          </cell>
          <cell r="C421" t="str">
            <v>Previous</v>
          </cell>
          <cell r="D421">
            <v>44742</v>
          </cell>
        </row>
        <row r="422">
          <cell r="B422" t="str">
            <v>Closing LIC - Investment Component - Actuals FX</v>
          </cell>
          <cell r="C422" t="str">
            <v>N/A</v>
          </cell>
          <cell r="D422" t="str">
            <v>N/A</v>
          </cell>
        </row>
        <row r="423">
          <cell r="B423" t="str">
            <v>Closing LIC - Investment Component - Current FX</v>
          </cell>
          <cell r="C423" t="str">
            <v>Current</v>
          </cell>
          <cell r="D423">
            <v>45107</v>
          </cell>
        </row>
        <row r="424">
          <cell r="B424" t="str">
            <v>Closing LIC - Investment Component - Net foreign exchange income / (expenses)</v>
          </cell>
          <cell r="C424" t="str">
            <v>N/A</v>
          </cell>
          <cell r="D424" t="str">
            <v>N/A</v>
          </cell>
        </row>
        <row r="425">
          <cell r="B425" t="str">
            <v>Opening LIC - Claims - Actuals FX</v>
          </cell>
          <cell r="C425" t="str">
            <v>Previous</v>
          </cell>
          <cell r="D425">
            <v>44742</v>
          </cell>
        </row>
        <row r="426">
          <cell r="B426" t="str">
            <v>New Claims Incurred - Actuals FX</v>
          </cell>
          <cell r="C426" t="str">
            <v>Previous</v>
          </cell>
          <cell r="D426">
            <v>44742</v>
          </cell>
        </row>
        <row r="427">
          <cell r="B427" t="str">
            <v>Interest Accreted on LIC - Claims - Actuals FX</v>
          </cell>
          <cell r="C427" t="str">
            <v>Previous</v>
          </cell>
          <cell r="D427">
            <v>44742</v>
          </cell>
        </row>
        <row r="428">
          <cell r="B428" t="str">
            <v>Effect on LIC - Claims of Changes in Interest Rates - Actuals FX</v>
          </cell>
          <cell r="C428" t="str">
            <v>Previous</v>
          </cell>
          <cell r="D428">
            <v>44742</v>
          </cell>
        </row>
        <row r="429">
          <cell r="B429" t="str">
            <v>Non-financial Changes to LIC - Claims - Actuals FX</v>
          </cell>
          <cell r="C429" t="str">
            <v>Previous</v>
          </cell>
          <cell r="D429">
            <v>44742</v>
          </cell>
        </row>
        <row r="430">
          <cell r="B430" t="str">
            <v>Claims Paid (2) - Actuals FX</v>
          </cell>
          <cell r="C430" t="str">
            <v>Previous</v>
          </cell>
          <cell r="D430">
            <v>44742</v>
          </cell>
        </row>
        <row r="431">
          <cell r="B431" t="str">
            <v>Closing LIC - Claims - Actuals FX</v>
          </cell>
          <cell r="C431" t="str">
            <v>N/A</v>
          </cell>
          <cell r="D431" t="str">
            <v>N/A</v>
          </cell>
        </row>
        <row r="432">
          <cell r="B432" t="str">
            <v>Closing LIC - Claims - Current FX</v>
          </cell>
          <cell r="C432" t="str">
            <v>Current</v>
          </cell>
          <cell r="D432">
            <v>45107</v>
          </cell>
        </row>
        <row r="433">
          <cell r="B433" t="str">
            <v>Closing LIC - Claims - Net foreign exchange income / (expenses)</v>
          </cell>
          <cell r="C433" t="str">
            <v>N/A</v>
          </cell>
          <cell r="D433" t="str">
            <v>N/A</v>
          </cell>
        </row>
        <row r="434">
          <cell r="B434" t="str">
            <v>Opening LIC - Cash-backs - Actuals FX</v>
          </cell>
          <cell r="C434" t="str">
            <v>Previous</v>
          </cell>
          <cell r="D434">
            <v>44742</v>
          </cell>
        </row>
        <row r="435">
          <cell r="B435" t="str">
            <v>New Cash-backs Incurred - Actuals FX</v>
          </cell>
          <cell r="C435" t="str">
            <v>Previous</v>
          </cell>
          <cell r="D435">
            <v>44742</v>
          </cell>
        </row>
        <row r="436">
          <cell r="B436" t="str">
            <v>Interest Accreted on LIC - Cash-backs - Actuals FX</v>
          </cell>
          <cell r="C436" t="str">
            <v>Previous</v>
          </cell>
          <cell r="D436">
            <v>44742</v>
          </cell>
        </row>
        <row r="437">
          <cell r="B437" t="str">
            <v>Effect on LIC - Cash-backs of Changes in Interest Rates - Actuals FX</v>
          </cell>
          <cell r="C437" t="str">
            <v>Previous</v>
          </cell>
          <cell r="D437">
            <v>44742</v>
          </cell>
        </row>
        <row r="438">
          <cell r="B438" t="str">
            <v>Non-financial Changes to LIC - Cash-backs - Actuals FX</v>
          </cell>
          <cell r="C438" t="str">
            <v>Previous</v>
          </cell>
          <cell r="D438">
            <v>44742</v>
          </cell>
        </row>
        <row r="439">
          <cell r="B439" t="str">
            <v>Cash-backs Paid (2) - Actuals FX</v>
          </cell>
          <cell r="C439" t="str">
            <v>Previous</v>
          </cell>
          <cell r="D439">
            <v>44742</v>
          </cell>
        </row>
        <row r="440">
          <cell r="B440" t="str">
            <v>Closing LIC - Cash-backs - Actuals FX</v>
          </cell>
          <cell r="C440" t="str">
            <v>N/A</v>
          </cell>
          <cell r="D440" t="str">
            <v>N/A</v>
          </cell>
        </row>
        <row r="441">
          <cell r="B441" t="str">
            <v>Closing LIC - Cash-backs - Current FX</v>
          </cell>
          <cell r="C441" t="str">
            <v>Current</v>
          </cell>
          <cell r="D441">
            <v>45107</v>
          </cell>
        </row>
        <row r="442">
          <cell r="B442" t="str">
            <v>Closing LIC - Cash-backs - Net foreign exchange income / (expenses)</v>
          </cell>
          <cell r="C442" t="str">
            <v>N/A</v>
          </cell>
          <cell r="D442" t="str">
            <v>N/A</v>
          </cell>
        </row>
        <row r="443">
          <cell r="B443" t="str">
            <v>Opening LIC - RA - Claims - Actuals FX</v>
          </cell>
          <cell r="C443" t="str">
            <v>Previous</v>
          </cell>
          <cell r="D443">
            <v>44742</v>
          </cell>
        </row>
        <row r="444">
          <cell r="B444" t="str">
            <v>New Claims Incurred - RA - Actuals FX</v>
          </cell>
          <cell r="C444" t="str">
            <v>Previous</v>
          </cell>
          <cell r="D444">
            <v>44742</v>
          </cell>
        </row>
        <row r="445">
          <cell r="B445" t="str">
            <v>Interest Accreted on LIC - Claims - RA - Actuals FX</v>
          </cell>
          <cell r="C445" t="str">
            <v>Previous</v>
          </cell>
          <cell r="D445">
            <v>44742</v>
          </cell>
        </row>
        <row r="446">
          <cell r="B446" t="str">
            <v>Effect on LIC - Claims - RA of Changes in Interest Rates - Actuals FX</v>
          </cell>
          <cell r="C446" t="str">
            <v>Previous</v>
          </cell>
          <cell r="D446">
            <v>44742</v>
          </cell>
        </row>
        <row r="447">
          <cell r="B447" t="str">
            <v>Non-financial Changes to LIC - Claims - RA - Actuals FX</v>
          </cell>
          <cell r="C447" t="str">
            <v>Previous</v>
          </cell>
          <cell r="D447">
            <v>44742</v>
          </cell>
        </row>
        <row r="448">
          <cell r="B448" t="str">
            <v>Closing LIC - RA - Claims - Actuals FX</v>
          </cell>
          <cell r="C448" t="str">
            <v>N/A</v>
          </cell>
          <cell r="D448" t="str">
            <v>N/A</v>
          </cell>
        </row>
        <row r="449">
          <cell r="B449" t="str">
            <v>Closing LIC - RA - Claims - Current FX</v>
          </cell>
          <cell r="C449" t="str">
            <v>Current</v>
          </cell>
          <cell r="D449">
            <v>45107</v>
          </cell>
        </row>
        <row r="450">
          <cell r="B450" t="str">
            <v>Closing LIC - RA - Claims - Net foreign exchange income / (expenses)</v>
          </cell>
          <cell r="C450" t="str">
            <v>N/A</v>
          </cell>
          <cell r="D450" t="str">
            <v>N/A</v>
          </cell>
        </row>
        <row r="451">
          <cell r="B451" t="str">
            <v>Opening LIC - RA - Cash-backs - Actuals FX</v>
          </cell>
          <cell r="C451" t="str">
            <v>Previous</v>
          </cell>
          <cell r="D451">
            <v>44742</v>
          </cell>
        </row>
        <row r="452">
          <cell r="B452" t="str">
            <v>New Cash-backs Incurred - RA - Actuals FX</v>
          </cell>
          <cell r="C452" t="str">
            <v>Previous</v>
          </cell>
          <cell r="D452">
            <v>44742</v>
          </cell>
        </row>
        <row r="453">
          <cell r="B453" t="str">
            <v>Interest Accreted on LIC - Cash-backs - RA - Actuals FX</v>
          </cell>
          <cell r="C453" t="str">
            <v>Previous</v>
          </cell>
          <cell r="D453">
            <v>44742</v>
          </cell>
        </row>
        <row r="454">
          <cell r="B454" t="str">
            <v>Effect on LIC - Cash-backs - RA of Changes in Interest Rates - Actuals FX</v>
          </cell>
          <cell r="C454" t="str">
            <v>Previous</v>
          </cell>
          <cell r="D454">
            <v>44742</v>
          </cell>
        </row>
        <row r="455">
          <cell r="B455" t="str">
            <v>Non-financial Changes to LIC - Cash-backs - RA - Actuals FX</v>
          </cell>
          <cell r="C455" t="str">
            <v>Previous</v>
          </cell>
          <cell r="D455">
            <v>44742</v>
          </cell>
        </row>
        <row r="456">
          <cell r="B456" t="str">
            <v>Closing LIC - RA - Cash-backs - Actuals FX</v>
          </cell>
          <cell r="C456" t="str">
            <v>N/A</v>
          </cell>
          <cell r="D456" t="str">
            <v>N/A</v>
          </cell>
        </row>
        <row r="457">
          <cell r="B457" t="str">
            <v>Closing LIC - RA - Cash-backs - Current FX</v>
          </cell>
          <cell r="C457" t="str">
            <v>Current</v>
          </cell>
          <cell r="D457">
            <v>45107</v>
          </cell>
        </row>
        <row r="458">
          <cell r="B458" t="str">
            <v>Closing LIC - RA - Cash-backs - Net foreign exchange income / (expenses)</v>
          </cell>
          <cell r="C458" t="str">
            <v>N/A</v>
          </cell>
          <cell r="D458" t="str">
            <v>N/A</v>
          </cell>
        </row>
        <row r="459">
          <cell r="B459" t="str">
            <v>Pre-recognition NC Comm Received (2) - Actuals FX</v>
          </cell>
          <cell r="C459" t="str">
            <v>Previous</v>
          </cell>
          <cell r="D459">
            <v>44742</v>
          </cell>
        </row>
        <row r="460">
          <cell r="B460" t="str">
            <v>Closing Unallocated NC Comm - Current FX</v>
          </cell>
          <cell r="C460" t="str">
            <v>Current</v>
          </cell>
          <cell r="D460">
            <v>45107</v>
          </cell>
        </row>
        <row r="461">
          <cell r="B461" t="str">
            <v>Current Premium paid - Actuals FX</v>
          </cell>
          <cell r="C461" t="str">
            <v>Average</v>
          </cell>
          <cell r="D461" t="str">
            <v>Average</v>
          </cell>
        </row>
        <row r="462">
          <cell r="B462" t="str">
            <v>ARC - Prem Payable Raised - Actuals FX</v>
          </cell>
          <cell r="C462" t="str">
            <v>Previous</v>
          </cell>
          <cell r="D462">
            <v>44742</v>
          </cell>
        </row>
        <row r="463">
          <cell r="B463" t="str">
            <v>Transfer Investment Component to ARIC (2) - Actuals FX</v>
          </cell>
          <cell r="C463" t="str">
            <v>Previous</v>
          </cell>
          <cell r="D463">
            <v>44742</v>
          </cell>
        </row>
        <row r="464">
          <cell r="B464" t="str">
            <v>ARC - Prem payable Write-offs (2) - Actuals FX</v>
          </cell>
          <cell r="C464" t="str">
            <v>Previous</v>
          </cell>
          <cell r="D464">
            <v>44742</v>
          </cell>
        </row>
        <row r="465">
          <cell r="B465" t="str">
            <v>Closing ARC - Expected Prem - Actuals FX</v>
          </cell>
          <cell r="C465" t="str">
            <v>N/A</v>
          </cell>
          <cell r="D465" t="str">
            <v>N/A</v>
          </cell>
        </row>
        <row r="466">
          <cell r="B466" t="str">
            <v>Closing ARC - Expected Prem - Current FX</v>
          </cell>
          <cell r="C466" t="str">
            <v>Current</v>
          </cell>
          <cell r="D466">
            <v>45107</v>
          </cell>
        </row>
        <row r="467">
          <cell r="B467" t="str">
            <v>Closing ARC - Expected Prem - Net foreign exchange income / (expenses)</v>
          </cell>
          <cell r="C467" t="str">
            <v>N/A</v>
          </cell>
          <cell r="D467" t="str">
            <v>N/A</v>
          </cell>
        </row>
        <row r="468">
          <cell r="B468" t="str">
            <v>Opening ARC - Prem payable - Actuals FX</v>
          </cell>
          <cell r="C468" t="str">
            <v>Previous</v>
          </cell>
          <cell r="D468">
            <v>44742</v>
          </cell>
        </row>
        <row r="469">
          <cell r="B469" t="str">
            <v>Past Due Premium Paid - Actuals FX</v>
          </cell>
          <cell r="C469" t="str">
            <v>Previous</v>
          </cell>
          <cell r="D469">
            <v>44742</v>
          </cell>
        </row>
        <row r="470">
          <cell r="B470" t="str">
            <v>ARC - Prem payable Write-offs - Actuals FX</v>
          </cell>
          <cell r="C470" t="str">
            <v>Previous</v>
          </cell>
          <cell r="D470">
            <v>44742</v>
          </cell>
        </row>
        <row r="471">
          <cell r="B471" t="str">
            <v>ARC - Prem Payable Raised (2) - Actuals FX</v>
          </cell>
          <cell r="C471" t="str">
            <v>Previous</v>
          </cell>
          <cell r="D471">
            <v>44742</v>
          </cell>
        </row>
        <row r="472">
          <cell r="B472" t="str">
            <v>Closing ARC - Prem payable - Actuals FX</v>
          </cell>
          <cell r="C472" t="str">
            <v>N/A</v>
          </cell>
          <cell r="D472" t="str">
            <v>N/A</v>
          </cell>
        </row>
        <row r="473">
          <cell r="B473" t="str">
            <v>Closing ARC - Prem payable - Current FX</v>
          </cell>
          <cell r="C473" t="str">
            <v>Current</v>
          </cell>
          <cell r="D473">
            <v>45107</v>
          </cell>
        </row>
        <row r="474">
          <cell r="B474" t="str">
            <v>Closing ARC - Prem payable - Net foreign exchange income / (expenses)</v>
          </cell>
          <cell r="C474" t="str">
            <v>N/A</v>
          </cell>
          <cell r="D474" t="str">
            <v>N/A</v>
          </cell>
        </row>
        <row r="475">
          <cell r="B475" t="str">
            <v>Opening ARC - Expected NC Comm - Actuals FX</v>
          </cell>
          <cell r="C475" t="str">
            <v>Previous</v>
          </cell>
          <cell r="D475">
            <v>44742</v>
          </cell>
        </row>
        <row r="476">
          <cell r="B476" t="str">
            <v>ARC - NC Comm Due Write-offs - Actuals FX</v>
          </cell>
          <cell r="C476" t="str">
            <v>Previous</v>
          </cell>
          <cell r="D476">
            <v>44742</v>
          </cell>
        </row>
        <row r="477">
          <cell r="B477" t="str">
            <v>Allocation of NC Comm - Actuals FX</v>
          </cell>
          <cell r="C477" t="str">
            <v>Previous</v>
          </cell>
          <cell r="D477">
            <v>44742</v>
          </cell>
        </row>
        <row r="478">
          <cell r="B478" t="str">
            <v>Current NC Comm Received - Actuals FX</v>
          </cell>
          <cell r="C478" t="str">
            <v>Previous</v>
          </cell>
          <cell r="D478">
            <v>44742</v>
          </cell>
        </row>
        <row r="479">
          <cell r="B479" t="str">
            <v>Alloc Pre-recognition NC Comm - Actuals FX</v>
          </cell>
          <cell r="C479" t="str">
            <v>Previous</v>
          </cell>
          <cell r="D479">
            <v>44742</v>
          </cell>
        </row>
        <row r="480">
          <cell r="B480" t="str">
            <v>Alloc Pre-recognition NC Comm (2) - Actuals FX</v>
          </cell>
          <cell r="C480" t="str">
            <v>Previous</v>
          </cell>
          <cell r="D480">
            <v>44742</v>
          </cell>
        </row>
        <row r="481">
          <cell r="B481" t="str">
            <v>ARC - NC Comm Due Raised (2) - Actuals FX</v>
          </cell>
          <cell r="C481" t="str">
            <v>Previous</v>
          </cell>
          <cell r="D481">
            <v>44742</v>
          </cell>
        </row>
        <row r="482">
          <cell r="B482" t="str">
            <v>Closing ARC - Expected Acq Exp - Actuals FX</v>
          </cell>
          <cell r="C482" t="str">
            <v>N/A</v>
          </cell>
          <cell r="D482" t="str">
            <v>N/A</v>
          </cell>
        </row>
        <row r="483">
          <cell r="B483" t="str">
            <v>Closing ARC - Expected NC Comm - Current FX</v>
          </cell>
          <cell r="C483" t="str">
            <v>Current</v>
          </cell>
          <cell r="D483">
            <v>45107</v>
          </cell>
        </row>
        <row r="484">
          <cell r="B484" t="str">
            <v>Closing ARC - Expected NC Comm - Net foreign exchange income / (expenses)</v>
          </cell>
          <cell r="C484" t="str">
            <v>N/A</v>
          </cell>
          <cell r="D484" t="str">
            <v>N/A</v>
          </cell>
        </row>
        <row r="485">
          <cell r="B485" t="str">
            <v>Opening ARC - NC Comm Due - Actuals FX</v>
          </cell>
          <cell r="C485" t="str">
            <v>Previous</v>
          </cell>
          <cell r="D485">
            <v>44742</v>
          </cell>
        </row>
        <row r="486">
          <cell r="B486" t="str">
            <v>ARC - NC Comm Due Raised - Actuals FX</v>
          </cell>
          <cell r="C486" t="str">
            <v>Previous</v>
          </cell>
          <cell r="D486">
            <v>44742</v>
          </cell>
        </row>
        <row r="487">
          <cell r="B487" t="str">
            <v>Past Due NC Comm Received (2) - Actuals FX</v>
          </cell>
          <cell r="C487" t="str">
            <v>Previous</v>
          </cell>
          <cell r="D487">
            <v>44742</v>
          </cell>
        </row>
        <row r="488">
          <cell r="B488" t="str">
            <v>ARC - NC Comm Due Write-offs (2) - Actuals FX</v>
          </cell>
          <cell r="C488" t="str">
            <v>Previous</v>
          </cell>
          <cell r="D488">
            <v>44742</v>
          </cell>
        </row>
        <row r="489">
          <cell r="B489" t="str">
            <v>Closing ARC - NC Comm Due - Actuals FX</v>
          </cell>
          <cell r="C489" t="str">
            <v>N/A</v>
          </cell>
          <cell r="D489" t="str">
            <v>N/A</v>
          </cell>
        </row>
        <row r="490">
          <cell r="B490" t="str">
            <v>Closing ARC - NC Comm Due - Current FX</v>
          </cell>
          <cell r="C490" t="str">
            <v>Current</v>
          </cell>
          <cell r="D490">
            <v>45107</v>
          </cell>
        </row>
        <row r="491">
          <cell r="B491" t="str">
            <v>Closing ARC - NC Comm Due - Net foreign exchange income / (expenses)</v>
          </cell>
          <cell r="C491" t="str">
            <v>N/A</v>
          </cell>
          <cell r="D491" t="str">
            <v>N/A</v>
          </cell>
        </row>
        <row r="492">
          <cell r="B492" t="str">
            <v>Opening ARC - Loss-recovery - Actuals FX</v>
          </cell>
          <cell r="C492" t="str">
            <v>Previous</v>
          </cell>
          <cell r="D492">
            <v>44742</v>
          </cell>
        </row>
        <row r="493">
          <cell r="B493" t="str">
            <v>Initial Loss-recovery - Actuals FX</v>
          </cell>
          <cell r="C493" t="str">
            <v>Previous</v>
          </cell>
          <cell r="D493">
            <v>44742</v>
          </cell>
        </row>
        <row r="494">
          <cell r="B494" t="str">
            <v>Release of ARC - Loss-recovery - Actuals FX</v>
          </cell>
          <cell r="C494" t="str">
            <v>Current</v>
          </cell>
          <cell r="D494">
            <v>45107</v>
          </cell>
        </row>
        <row r="495">
          <cell r="B495" t="str">
            <v>Change in ARC - Loss-recovery - Actuals FX</v>
          </cell>
          <cell r="C495" t="str">
            <v>Current</v>
          </cell>
          <cell r="D495">
            <v>45107</v>
          </cell>
        </row>
        <row r="496">
          <cell r="B496" t="str">
            <v>Closing ARC - Loss-recovery - Actuals FX</v>
          </cell>
          <cell r="C496" t="str">
            <v>N/A</v>
          </cell>
          <cell r="D496" t="str">
            <v>N/A</v>
          </cell>
        </row>
        <row r="497">
          <cell r="B497" t="str">
            <v>Closing ARC - Loss-recovery - Current FX</v>
          </cell>
          <cell r="C497" t="str">
            <v>Current</v>
          </cell>
          <cell r="D497">
            <v>45107</v>
          </cell>
        </row>
        <row r="498">
          <cell r="B498" t="str">
            <v>Closing ARC - Loss-recovery - Net foreign exchange income / (expenses)</v>
          </cell>
          <cell r="C498" t="str">
            <v>N/A</v>
          </cell>
          <cell r="D498" t="str">
            <v>N/A</v>
          </cell>
        </row>
        <row r="499">
          <cell r="B499" t="str">
            <v>Opening ARIC - Investment Component - Actuals FX</v>
          </cell>
          <cell r="C499" t="str">
            <v>Previous</v>
          </cell>
          <cell r="D499">
            <v>44742</v>
          </cell>
        </row>
        <row r="500">
          <cell r="B500" t="str">
            <v>Transfer Investment Component to ARIC - Actuals FX</v>
          </cell>
          <cell r="C500" t="str">
            <v>Previous</v>
          </cell>
          <cell r="D500">
            <v>44742</v>
          </cell>
        </row>
        <row r="501">
          <cell r="B501" t="str">
            <v>Investment Component Received (2) - Actuals FX</v>
          </cell>
          <cell r="C501" t="str">
            <v>Previous</v>
          </cell>
          <cell r="D501">
            <v>44742</v>
          </cell>
        </row>
        <row r="502">
          <cell r="B502" t="str">
            <v>Closing ARIC - Investment Component - Actuals FX</v>
          </cell>
          <cell r="C502" t="str">
            <v>N/A</v>
          </cell>
          <cell r="D502" t="str">
            <v>N/A</v>
          </cell>
        </row>
        <row r="503">
          <cell r="B503" t="str">
            <v>Closing ARIC - Investment Component - Current FX</v>
          </cell>
          <cell r="C503" t="str">
            <v>Current</v>
          </cell>
          <cell r="D503">
            <v>45107</v>
          </cell>
        </row>
        <row r="504">
          <cell r="B504" t="str">
            <v>Closing ARIC - Investment Component - Net foreign exchange income / (expenses)</v>
          </cell>
          <cell r="C504" t="str">
            <v>N/A</v>
          </cell>
          <cell r="D504" t="str">
            <v>N/A</v>
          </cell>
        </row>
        <row r="505">
          <cell r="B505" t="str">
            <v>Opening ARIC - Recoveries - Actuals FX</v>
          </cell>
          <cell r="C505" t="str">
            <v>Previous</v>
          </cell>
          <cell r="D505">
            <v>44742</v>
          </cell>
        </row>
        <row r="506">
          <cell r="B506" t="str">
            <v>Recoveries on New Claims Incurred - Actuals FX</v>
          </cell>
          <cell r="C506" t="str">
            <v>Previous</v>
          </cell>
          <cell r="D506">
            <v>44742</v>
          </cell>
        </row>
        <row r="507">
          <cell r="B507" t="str">
            <v>Interest Accreted on ARIC - Recoveries - Actuals FX</v>
          </cell>
          <cell r="C507" t="str">
            <v>Previous</v>
          </cell>
          <cell r="D507">
            <v>44742</v>
          </cell>
        </row>
        <row r="508">
          <cell r="B508" t="str">
            <v>Effect on ARIC - Recoveries of Changes in Interest Rates - Actuals FX</v>
          </cell>
          <cell r="C508" t="str">
            <v>Previous</v>
          </cell>
          <cell r="D508">
            <v>44742</v>
          </cell>
        </row>
        <row r="509">
          <cell r="B509" t="str">
            <v>Non-financial Changes to ARIC - Recoveries - Actuals FX</v>
          </cell>
          <cell r="C509" t="str">
            <v>Previous</v>
          </cell>
          <cell r="D509">
            <v>44742</v>
          </cell>
        </row>
        <row r="510">
          <cell r="B510" t="str">
            <v>Recoveries Received (2) - Actuals FX</v>
          </cell>
          <cell r="C510" t="str">
            <v>Previous</v>
          </cell>
          <cell r="D510">
            <v>44742</v>
          </cell>
        </row>
        <row r="511">
          <cell r="B511" t="str">
            <v>Closing ARIC - Recoveries - Actuals FX</v>
          </cell>
          <cell r="C511" t="str">
            <v>N/A</v>
          </cell>
          <cell r="D511" t="str">
            <v>N/A</v>
          </cell>
        </row>
        <row r="512">
          <cell r="B512" t="str">
            <v>Closing ARIC - Recoveries - Current FX</v>
          </cell>
          <cell r="C512" t="str">
            <v>Current</v>
          </cell>
          <cell r="D512">
            <v>45107</v>
          </cell>
        </row>
        <row r="513">
          <cell r="B513" t="str">
            <v>Closing ARIC - Claims - Net foreign exchange income / (expenses)</v>
          </cell>
          <cell r="C513" t="str">
            <v>N/A</v>
          </cell>
          <cell r="D513" t="str">
            <v>N/A</v>
          </cell>
        </row>
        <row r="514">
          <cell r="B514" t="str">
            <v>Opening ARIC - C Comm - Actuals FX</v>
          </cell>
          <cell r="C514" t="str">
            <v>Previous</v>
          </cell>
          <cell r="D514">
            <v>44742</v>
          </cell>
        </row>
        <row r="515">
          <cell r="B515" t="str">
            <v>C Comm on New Claims Incurred - Actuals FX</v>
          </cell>
          <cell r="C515" t="str">
            <v>Previous</v>
          </cell>
          <cell r="D515">
            <v>44742</v>
          </cell>
        </row>
        <row r="516">
          <cell r="B516" t="str">
            <v>Interest Accreted on ARIC - C Comm - Actuals FX</v>
          </cell>
          <cell r="C516" t="str">
            <v>Previous</v>
          </cell>
          <cell r="D516">
            <v>44742</v>
          </cell>
        </row>
        <row r="517">
          <cell r="B517" t="str">
            <v>Effect on ARIC - C Comm of Changes in Interest Rates - Actuals FX</v>
          </cell>
          <cell r="C517" t="str">
            <v>Previous</v>
          </cell>
          <cell r="D517">
            <v>44742</v>
          </cell>
        </row>
        <row r="518">
          <cell r="B518" t="str">
            <v>Non-financial Changes to ARIC - C Comm - Actuals FX</v>
          </cell>
          <cell r="C518" t="str">
            <v>Previous</v>
          </cell>
          <cell r="D518">
            <v>44742</v>
          </cell>
        </row>
        <row r="519">
          <cell r="B519" t="str">
            <v>Effect on ARIC - C Comm of Changes in Non-performance Risk - Actuals FX</v>
          </cell>
          <cell r="C519" t="str">
            <v>Previous</v>
          </cell>
          <cell r="D519">
            <v>44742</v>
          </cell>
        </row>
        <row r="520">
          <cell r="B520" t="str">
            <v>Effect on ARIC - Recoveries of Changes in Non-performance Risk - Actuals FX</v>
          </cell>
          <cell r="C520" t="str">
            <v>Previous</v>
          </cell>
          <cell r="D520">
            <v>44742</v>
          </cell>
        </row>
        <row r="521">
          <cell r="B521" t="str">
            <v>C Comm Received (2) - Actuals FX</v>
          </cell>
          <cell r="C521" t="str">
            <v>Previous</v>
          </cell>
          <cell r="D521">
            <v>44742</v>
          </cell>
        </row>
        <row r="522">
          <cell r="B522" t="str">
            <v>Closing ARIC - C Comm - Actuals FX</v>
          </cell>
          <cell r="C522" t="str">
            <v>N/A</v>
          </cell>
          <cell r="D522" t="str">
            <v>N/A</v>
          </cell>
        </row>
        <row r="523">
          <cell r="B523" t="str">
            <v>Closing ARIC - C Comm - Current FX</v>
          </cell>
          <cell r="C523" t="str">
            <v>Current</v>
          </cell>
          <cell r="D523">
            <v>45107</v>
          </cell>
        </row>
        <row r="524">
          <cell r="B524" t="str">
            <v>Closing ARIC - C Comm - Net foreign exchange income / (expenses)</v>
          </cell>
          <cell r="C524" t="str">
            <v>N/A</v>
          </cell>
          <cell r="D524" t="str">
            <v>N/A</v>
          </cell>
        </row>
        <row r="525">
          <cell r="B525" t="str">
            <v>Opening ARIC - RA - Recoveries - Actuals FX</v>
          </cell>
          <cell r="C525" t="str">
            <v>Previous</v>
          </cell>
          <cell r="D525">
            <v>44742</v>
          </cell>
        </row>
        <row r="526">
          <cell r="B526" t="str">
            <v>Recoveries on New Claims Incurred - RA - Actuals FX</v>
          </cell>
          <cell r="C526" t="str">
            <v>Previous</v>
          </cell>
          <cell r="D526">
            <v>44742</v>
          </cell>
        </row>
        <row r="527">
          <cell r="B527" t="str">
            <v>Interest Accreted on ARIC - Recoveries - RA - Actuals FX</v>
          </cell>
          <cell r="C527" t="str">
            <v>Previous</v>
          </cell>
          <cell r="D527">
            <v>44742</v>
          </cell>
        </row>
        <row r="528">
          <cell r="B528" t="str">
            <v>Effect on ARIC - recoveries - RA of Changes in Interest Rates - Actuals FX</v>
          </cell>
          <cell r="C528" t="str">
            <v>Previous</v>
          </cell>
          <cell r="D528">
            <v>44742</v>
          </cell>
        </row>
        <row r="529">
          <cell r="B529" t="str">
            <v>Effect on ARIC - Recoveries - RA of Changes in Non-performance Risk - Actuals FX</v>
          </cell>
          <cell r="C529" t="str">
            <v>Previous</v>
          </cell>
          <cell r="D529">
            <v>44742</v>
          </cell>
        </row>
        <row r="530">
          <cell r="B530" t="str">
            <v>Effect on ARIC - Recoveries - RA of Changes in Interest Rates  - Actuals FX</v>
          </cell>
          <cell r="C530" t="str">
            <v>Previous</v>
          </cell>
          <cell r="D530">
            <v>44742</v>
          </cell>
        </row>
        <row r="531">
          <cell r="B531" t="str">
            <v>Non-financial Changes to ARIC - recoveries - RA - Actuals FX</v>
          </cell>
          <cell r="C531" t="str">
            <v>Previous</v>
          </cell>
          <cell r="D531">
            <v>44742</v>
          </cell>
        </row>
        <row r="532">
          <cell r="B532" t="str">
            <v>Closing ARIC - RA - recoveries - Actuals FX</v>
          </cell>
          <cell r="C532" t="str">
            <v>N/A</v>
          </cell>
          <cell r="D532" t="str">
            <v>N/A</v>
          </cell>
        </row>
        <row r="533">
          <cell r="B533" t="str">
            <v>Closing ARIC - RA - recoveries - Current FX</v>
          </cell>
          <cell r="C533" t="str">
            <v>Current</v>
          </cell>
          <cell r="D533">
            <v>45107</v>
          </cell>
        </row>
        <row r="534">
          <cell r="B534" t="str">
            <v>Closing ARIC - RA - recoveries - Net foreign exchange income / (expenses)</v>
          </cell>
          <cell r="C534" t="str">
            <v>N/A</v>
          </cell>
          <cell r="D534" t="str">
            <v>N/A</v>
          </cell>
        </row>
        <row r="535">
          <cell r="B535" t="str">
            <v>Opening ARIC - RA - C Comm - Actuals FX</v>
          </cell>
          <cell r="C535" t="str">
            <v>Previous</v>
          </cell>
          <cell r="D535">
            <v>44742</v>
          </cell>
        </row>
        <row r="536">
          <cell r="B536" t="str">
            <v>C Comm on New Claims Incurred - RA - Actuals FX</v>
          </cell>
          <cell r="C536" t="str">
            <v>Previous</v>
          </cell>
          <cell r="D536">
            <v>44742</v>
          </cell>
        </row>
        <row r="537">
          <cell r="B537" t="str">
            <v>Interest Accreted on ARIC - C Comm - RA - Actuals FX</v>
          </cell>
          <cell r="C537" t="str">
            <v>Previous</v>
          </cell>
          <cell r="D537">
            <v>44742</v>
          </cell>
        </row>
        <row r="538">
          <cell r="B538" t="str">
            <v>Effect on ARIC - C Comm - RA of Changes in Interest Rates - Actuals FX</v>
          </cell>
          <cell r="C538" t="str">
            <v>Previous</v>
          </cell>
          <cell r="D538">
            <v>44742</v>
          </cell>
        </row>
        <row r="539">
          <cell r="B539" t="str">
            <v>Effect on ARIC - C Comm - RA of Changes in Non-performance Risk - Actuals FX</v>
          </cell>
          <cell r="C539" t="str">
            <v>Previous</v>
          </cell>
          <cell r="D539">
            <v>44742</v>
          </cell>
        </row>
        <row r="540">
          <cell r="B540" t="str">
            <v>Non-financial Changes to ARIC - C Comm - RA - Actuals FX</v>
          </cell>
          <cell r="C540" t="str">
            <v>Previous</v>
          </cell>
          <cell r="D540">
            <v>44742</v>
          </cell>
        </row>
        <row r="541">
          <cell r="B541" t="str">
            <v>Closing ARIC - RA - C Comm - Actuals FX</v>
          </cell>
          <cell r="C541" t="str">
            <v>N/A</v>
          </cell>
          <cell r="D541" t="str">
            <v>N/A</v>
          </cell>
        </row>
        <row r="542">
          <cell r="B542" t="str">
            <v>Closing ARIC - RA - C Comm - Current FX</v>
          </cell>
          <cell r="C542" t="str">
            <v>Current</v>
          </cell>
          <cell r="D542">
            <v>45107</v>
          </cell>
        </row>
        <row r="543">
          <cell r="B543" t="str">
            <v>Closing Unallocated NC Comm - Net foreign exchange income / (expenses)</v>
          </cell>
          <cell r="C543" t="str">
            <v>N/A</v>
          </cell>
          <cell r="D543" t="str">
            <v>N/A</v>
          </cell>
        </row>
        <row r="544">
          <cell r="B544" t="str">
            <v>Closing ARIC - RA - C Comm - Net foreign exchange income / (expenses)</v>
          </cell>
          <cell r="C544" t="str">
            <v>N/A</v>
          </cell>
          <cell r="D544" t="str">
            <v>N/A</v>
          </cell>
        </row>
        <row r="545">
          <cell r="B545" t="str">
            <v>Effect on ARC - Loss-recovery of Change in ARC - Loss-recovery - Actuals FX</v>
          </cell>
          <cell r="C545" t="str">
            <v>Current</v>
          </cell>
          <cell r="D545">
            <v>45107</v>
          </cell>
        </row>
      </sheetData>
      <sheetData sheetId="10"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1626695.7672411359</v>
          </cell>
          <cell r="P7">
            <v>0</v>
          </cell>
          <cell r="Q7">
            <v>81334.788362056803</v>
          </cell>
          <cell r="R7">
            <v>0</v>
          </cell>
        </row>
        <row r="9">
          <cell r="I9">
            <v>-23492357.252800003</v>
          </cell>
        </row>
        <row r="11">
          <cell r="M11">
            <v>0</v>
          </cell>
          <cell r="O11">
            <v>12041338.239966534</v>
          </cell>
          <cell r="P11">
            <v>0</v>
          </cell>
          <cell r="Q11">
            <v>29380.20129832661</v>
          </cell>
          <cell r="R11">
            <v>0</v>
          </cell>
        </row>
        <row r="12">
          <cell r="H12">
            <v>0</v>
          </cell>
          <cell r="K12">
            <v>9723782.5540552903</v>
          </cell>
        </row>
        <row r="13">
          <cell r="H13">
            <v>5873</v>
          </cell>
        </row>
        <row r="14">
          <cell r="H14">
            <v>-2936.5</v>
          </cell>
        </row>
        <row r="15">
          <cell r="M15">
            <v>0</v>
          </cell>
        </row>
        <row r="16">
          <cell r="O16">
            <v>-1644603.2363942768</v>
          </cell>
          <cell r="P16">
            <v>0</v>
          </cell>
          <cell r="Q16">
            <v>-81490.997049759477</v>
          </cell>
          <cell r="R16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17907.469153140781</v>
          </cell>
          <cell r="P18">
            <v>0</v>
          </cell>
          <cell r="Q18">
            <v>0</v>
          </cell>
          <cell r="R18">
            <v>0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O20">
            <v>-3124.1737540536851</v>
          </cell>
          <cell r="P20">
            <v>0</v>
          </cell>
          <cell r="Q20">
            <v>0</v>
          </cell>
          <cell r="R20">
            <v>0</v>
          </cell>
        </row>
        <row r="21"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6">
          <cell r="I26">
            <v>0</v>
          </cell>
          <cell r="J26">
            <v>0</v>
          </cell>
          <cell r="N26">
            <v>0</v>
          </cell>
        </row>
        <row r="27">
          <cell r="H27">
            <v>0</v>
          </cell>
          <cell r="K27">
            <v>0</v>
          </cell>
        </row>
        <row r="31">
          <cell r="I31">
            <v>23492357.252800003</v>
          </cell>
          <cell r="J31">
            <v>0</v>
          </cell>
        </row>
        <row r="32">
          <cell r="O32">
            <v>-11453734.214000002</v>
          </cell>
          <cell r="P32">
            <v>0</v>
          </cell>
        </row>
        <row r="33">
          <cell r="N33">
            <v>0</v>
          </cell>
        </row>
        <row r="34">
          <cell r="H34">
            <v>0</v>
          </cell>
          <cell r="K34">
            <v>-9723782.5540552903</v>
          </cell>
          <cell r="L34">
            <v>0</v>
          </cell>
        </row>
        <row r="37">
          <cell r="H37">
            <v>2936.5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584479.85221247841</v>
          </cell>
          <cell r="P38">
            <v>0</v>
          </cell>
          <cell r="Q38">
            <v>29223.992610623922</v>
          </cell>
          <cell r="R38">
            <v>0</v>
          </cell>
        </row>
      </sheetData>
      <sheetData sheetId="11">
        <row r="1">
          <cell r="C1" t="str">
            <v>Total</v>
          </cell>
        </row>
        <row r="6">
          <cell r="H6">
            <v>0</v>
          </cell>
        </row>
        <row r="7">
          <cell r="H7">
            <v>1708030.5556031927</v>
          </cell>
        </row>
        <row r="9">
          <cell r="H9">
            <v>-23492357.252800003</v>
          </cell>
        </row>
        <row r="11">
          <cell r="H11">
            <v>12070718.44126486</v>
          </cell>
        </row>
        <row r="12">
          <cell r="H12">
            <v>9723782.5540552903</v>
          </cell>
        </row>
        <row r="13">
          <cell r="H13">
            <v>5873</v>
          </cell>
        </row>
        <row r="14">
          <cell r="H14">
            <v>-2936.5</v>
          </cell>
        </row>
        <row r="15">
          <cell r="H15">
            <v>0</v>
          </cell>
        </row>
        <row r="16">
          <cell r="H16">
            <v>-1726094.2334440362</v>
          </cell>
        </row>
        <row r="31">
          <cell r="H31">
            <v>2936.5</v>
          </cell>
        </row>
        <row r="32">
          <cell r="H32">
            <v>613703.84482310235</v>
          </cell>
        </row>
        <row r="42">
          <cell r="C42">
            <v>-14783.295399087096</v>
          </cell>
        </row>
        <row r="43">
          <cell r="C43">
            <v>0</v>
          </cell>
        </row>
      </sheetData>
      <sheetData sheetId="12">
        <row r="2">
          <cell r="B2" t="str">
            <v>Liability (asset) for pre-recognition cash flows</v>
          </cell>
        </row>
        <row r="3">
          <cell r="C3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6">
          <cell r="C16">
            <v>2936.5</v>
          </cell>
        </row>
        <row r="18">
          <cell r="B18" t="str">
            <v>Liability for remaining coverage (excl. loss component)</v>
          </cell>
        </row>
        <row r="19">
          <cell r="B19" t="str">
            <v>Opening liability</v>
          </cell>
          <cell r="C19">
            <v>0</v>
          </cell>
        </row>
        <row r="20">
          <cell r="B20" t="str">
            <v>Time value of money</v>
          </cell>
          <cell r="C20">
            <v>0</v>
          </cell>
        </row>
        <row r="21">
          <cell r="B21" t="str">
            <v>Premiums received</v>
          </cell>
          <cell r="C21">
            <v>23492357.252800003</v>
          </cell>
        </row>
        <row r="22">
          <cell r="B22" t="str">
            <v>Insurance revenue</v>
          </cell>
          <cell r="C22">
            <v>-23492357.252800003</v>
          </cell>
        </row>
        <row r="23">
          <cell r="B23" t="str">
            <v>Transfer of investment components</v>
          </cell>
          <cell r="C23">
            <v>0</v>
          </cell>
        </row>
        <row r="24">
          <cell r="B24" t="str">
            <v>Transfer of pre-recognition cash flows</v>
          </cell>
          <cell r="C24">
            <v>0</v>
          </cell>
        </row>
        <row r="25">
          <cell r="B25" t="str">
            <v>Insurance acquisition cash flows paid</v>
          </cell>
          <cell r="C25">
            <v>-9723782.5540552903</v>
          </cell>
        </row>
        <row r="26">
          <cell r="B26" t="str">
            <v>Amortisation of insurance acquisition cash flows</v>
          </cell>
          <cell r="C26">
            <v>9723782.5540552903</v>
          </cell>
        </row>
        <row r="27">
          <cell r="B27" t="str">
            <v>Changes to liabilities for incurred claims</v>
          </cell>
        </row>
        <row r="28">
          <cell r="B28" t="str">
            <v>Incurred claims and other expenses</v>
          </cell>
        </row>
        <row r="29">
          <cell r="B29" t="str">
            <v>Claims and other expenses paid</v>
          </cell>
        </row>
        <row r="30">
          <cell r="B30" t="str">
            <v>Losses on onerous contracts and reversals of those losses</v>
          </cell>
        </row>
        <row r="31">
          <cell r="B31" t="str">
            <v>Effect of changes in interest rates and other financial assumptions</v>
          </cell>
          <cell r="C31">
            <v>0</v>
          </cell>
        </row>
        <row r="32">
          <cell r="B32" t="str">
            <v>Closing liability</v>
          </cell>
          <cell r="C32">
            <v>0</v>
          </cell>
        </row>
        <row r="35">
          <cell r="B35" t="str">
            <v>Opening liability</v>
          </cell>
          <cell r="C35">
            <v>0</v>
          </cell>
        </row>
        <row r="36">
          <cell r="B36" t="str">
            <v>Time value of money</v>
          </cell>
          <cell r="C36">
            <v>0</v>
          </cell>
        </row>
        <row r="37">
          <cell r="B37" t="str">
            <v>Premiums received</v>
          </cell>
        </row>
        <row r="38">
          <cell r="B38" t="str">
            <v>Insurance revenue</v>
          </cell>
        </row>
        <row r="39">
          <cell r="B39" t="str">
            <v>Transfer of investment components</v>
          </cell>
        </row>
        <row r="40">
          <cell r="B40" t="str">
            <v>Transfer of pre-recognition cash flows</v>
          </cell>
        </row>
        <row r="41">
          <cell r="B41" t="str">
            <v>Insurance acquisition cash flows paid</v>
          </cell>
        </row>
        <row r="42">
          <cell r="B42" t="str">
            <v>Amortisation of insurance acquisition cash flows</v>
          </cell>
        </row>
        <row r="43">
          <cell r="B43" t="str">
            <v>Changes to liabilities for incurred claims</v>
          </cell>
        </row>
        <row r="44">
          <cell r="B44" t="str">
            <v>Incurred claims and other expenses</v>
          </cell>
          <cell r="C44">
            <v>0</v>
          </cell>
        </row>
        <row r="45">
          <cell r="B45" t="str">
            <v>Claims and other expenses paid</v>
          </cell>
        </row>
        <row r="46">
          <cell r="B46" t="str">
            <v>Losses on onerous contracts and reversals of those losses</v>
          </cell>
          <cell r="C46">
            <v>0</v>
          </cell>
        </row>
        <row r="47">
          <cell r="B47" t="str">
            <v>Effect of changes in interest rates and other financial assumptions</v>
          </cell>
          <cell r="C47">
            <v>0</v>
          </cell>
        </row>
        <row r="48">
          <cell r="B48" t="str">
            <v>Closing liability</v>
          </cell>
          <cell r="C48">
            <v>0</v>
          </cell>
        </row>
        <row r="51">
          <cell r="B51" t="str">
            <v>Opening liability</v>
          </cell>
          <cell r="C51">
            <v>1626695.7672411359</v>
          </cell>
        </row>
        <row r="52">
          <cell r="B52" t="str">
            <v>Time value of money</v>
          </cell>
          <cell r="C52">
            <v>17907.469153140781</v>
          </cell>
        </row>
        <row r="53">
          <cell r="B53" t="str">
            <v>Premiums received</v>
          </cell>
        </row>
        <row r="54">
          <cell r="B54" t="str">
            <v>Insurance revenue</v>
          </cell>
        </row>
        <row r="55">
          <cell r="B55" t="str">
            <v>Transfer of investment components</v>
          </cell>
          <cell r="C55">
            <v>0</v>
          </cell>
        </row>
        <row r="56">
          <cell r="B56" t="str">
            <v>Transfer of pre-recognition cash flows</v>
          </cell>
        </row>
        <row r="57">
          <cell r="B57" t="str">
            <v>Insurance acquisition cash flows paid</v>
          </cell>
        </row>
        <row r="58">
          <cell r="B58" t="str">
            <v>Amortisation of insurance acquisition cash flows</v>
          </cell>
        </row>
        <row r="59">
          <cell r="B59" t="str">
            <v>Changes to liabilities for incurred claims</v>
          </cell>
          <cell r="C59">
            <v>-1644603.2363942768</v>
          </cell>
        </row>
        <row r="60">
          <cell r="B60" t="str">
            <v>Incurred claims and other expenses</v>
          </cell>
          <cell r="C60">
            <v>12041338.239966534</v>
          </cell>
        </row>
        <row r="61">
          <cell r="B61" t="str">
            <v>Claims and other expenses paid</v>
          </cell>
          <cell r="C61">
            <v>-11453734.214000002</v>
          </cell>
        </row>
        <row r="62">
          <cell r="B62" t="str">
            <v>Losses on onerous contracts and reversals of those losses</v>
          </cell>
        </row>
        <row r="63">
          <cell r="B63" t="str">
            <v>Effect of changes in interest rates and other financial assumptions</v>
          </cell>
          <cell r="C63">
            <v>-3124.1737540536851</v>
          </cell>
        </row>
        <row r="64">
          <cell r="B64" t="str">
            <v>Closing liability</v>
          </cell>
          <cell r="C64">
            <v>584479.85221247748</v>
          </cell>
        </row>
        <row r="67">
          <cell r="B67" t="str">
            <v>Opening liability</v>
          </cell>
          <cell r="C67">
            <v>81334.788362056803</v>
          </cell>
        </row>
        <row r="68">
          <cell r="B68" t="str">
            <v>Time value of money</v>
          </cell>
          <cell r="C68">
            <v>0</v>
          </cell>
        </row>
        <row r="69">
          <cell r="B69" t="str">
            <v>Premiums received</v>
          </cell>
        </row>
        <row r="70">
          <cell r="B70" t="str">
            <v>Insurance revenue</v>
          </cell>
        </row>
        <row r="71">
          <cell r="B71" t="str">
            <v>Transfer of investment components</v>
          </cell>
        </row>
        <row r="72">
          <cell r="B72" t="str">
            <v>Transfer of pre-recognition cash flows</v>
          </cell>
        </row>
        <row r="73">
          <cell r="B73" t="str">
            <v>Insurance acquisition cash flows paid</v>
          </cell>
        </row>
        <row r="74">
          <cell r="B74" t="str">
            <v>Amortisation of insurance acquisition cash flows</v>
          </cell>
        </row>
        <row r="75">
          <cell r="B75" t="str">
            <v>Changes to liabilities for incurred claims</v>
          </cell>
          <cell r="C75">
            <v>-81490.997049759477</v>
          </cell>
        </row>
        <row r="76">
          <cell r="B76" t="str">
            <v>Incurred claims and other expenses</v>
          </cell>
          <cell r="C76">
            <v>29380.20129832661</v>
          </cell>
        </row>
        <row r="77">
          <cell r="B77" t="str">
            <v>Claims and other expenses paid</v>
          </cell>
        </row>
        <row r="78">
          <cell r="B78" t="str">
            <v>Losses on onerous contracts and reversals of those losses</v>
          </cell>
        </row>
        <row r="79">
          <cell r="B79" t="str">
            <v>Effect of changes in interest rates and other financial assumptions</v>
          </cell>
          <cell r="C79">
            <v>0</v>
          </cell>
        </row>
        <row r="80">
          <cell r="B80" t="str">
            <v>Closing liability</v>
          </cell>
          <cell r="C80">
            <v>29223.992610623936</v>
          </cell>
        </row>
        <row r="82">
          <cell r="B82" t="str">
            <v>Total insurance liabilities</v>
          </cell>
        </row>
        <row r="83">
          <cell r="B83" t="str">
            <v>Opening liability</v>
          </cell>
          <cell r="C83">
            <v>1708030.5556031927</v>
          </cell>
        </row>
        <row r="84">
          <cell r="B84" t="str">
            <v>Time value of
money</v>
          </cell>
          <cell r="C84">
            <v>17907.469153140781</v>
          </cell>
        </row>
        <row r="85">
          <cell r="B85" t="str">
            <v>Premiums
received</v>
          </cell>
          <cell r="C85">
            <v>23492357.252800003</v>
          </cell>
        </row>
        <row r="86">
          <cell r="B86" t="str">
            <v>Insurance
revenue</v>
          </cell>
          <cell r="C86">
            <v>-23492357.252800003</v>
          </cell>
        </row>
        <row r="87">
          <cell r="B87" t="str">
            <v>Transfer of
investment
components</v>
          </cell>
        </row>
        <row r="88">
          <cell r="B88" t="str">
            <v>Transfer of pre-
recognition
cash flows</v>
          </cell>
        </row>
        <row r="89">
          <cell r="B89" t="str">
            <v>Insurance
acquisition
cash flows paid</v>
          </cell>
          <cell r="C89">
            <v>-9723782.5540552903</v>
          </cell>
        </row>
        <row r="90">
          <cell r="B90" t="str">
            <v>Amortisation of
insurance
acquisition
cash flows</v>
          </cell>
          <cell r="C90">
            <v>9723782.5540552903</v>
          </cell>
        </row>
        <row r="91">
          <cell r="B91" t="str">
            <v>Changes to
liabilities for
incurred claims</v>
          </cell>
          <cell r="C91">
            <v>-1726094.2334440362</v>
          </cell>
        </row>
        <row r="92">
          <cell r="B92" t="str">
            <v>Incurred claims
and other
expenses</v>
          </cell>
          <cell r="C92">
            <v>12070718.44126486</v>
          </cell>
        </row>
        <row r="93">
          <cell r="B93" t="str">
            <v>Claims and
other expenses
paid</v>
          </cell>
          <cell r="C93">
            <v>-11453734.214000002</v>
          </cell>
        </row>
        <row r="94">
          <cell r="B94" t="str">
            <v>Losses on onerous
contracts and
reversals of
those losses</v>
          </cell>
          <cell r="C94">
            <v>0</v>
          </cell>
        </row>
        <row r="95">
          <cell r="B95" t="str">
            <v>Changes in
interest rates
and other
financial
assumptions</v>
          </cell>
          <cell r="C95">
            <v>-3124.1737540536851</v>
          </cell>
        </row>
        <row r="96">
          <cell r="B96" t="str">
            <v>Closing liability</v>
          </cell>
          <cell r="C96">
            <v>616640.34482310142</v>
          </cell>
        </row>
      </sheetData>
      <sheetData sheetId="13"/>
      <sheetData sheetId="14">
        <row r="6"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1218283.5489304648</v>
          </cell>
          <cell r="P6">
            <v>0</v>
          </cell>
          <cell r="Q6">
            <v>0</v>
          </cell>
          <cell r="R6">
            <v>0</v>
          </cell>
        </row>
        <row r="7"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9">
          <cell r="H9">
            <v>0</v>
          </cell>
          <cell r="I9">
            <v>-11713375.066908343</v>
          </cell>
          <cell r="K9">
            <v>0</v>
          </cell>
        </row>
        <row r="11">
          <cell r="O11">
            <v>8376338.0615383415</v>
          </cell>
          <cell r="P11">
            <v>0</v>
          </cell>
          <cell r="Q11">
            <v>0</v>
          </cell>
          <cell r="R11">
            <v>0</v>
          </cell>
        </row>
        <row r="12">
          <cell r="M12">
            <v>0</v>
          </cell>
        </row>
        <row r="13">
          <cell r="O13">
            <v>-1231695.0149904345</v>
          </cell>
          <cell r="P13">
            <v>0</v>
          </cell>
          <cell r="Q13">
            <v>0</v>
          </cell>
          <cell r="R13">
            <v>0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O15">
            <v>13411.466059969527</v>
          </cell>
          <cell r="P15">
            <v>0</v>
          </cell>
          <cell r="Q15">
            <v>0</v>
          </cell>
          <cell r="R15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O17">
            <v>-2339.3847178914075</v>
          </cell>
          <cell r="P17">
            <v>0</v>
          </cell>
          <cell r="Q17">
            <v>0</v>
          </cell>
          <cell r="R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4">
          <cell r="I24">
            <v>0</v>
          </cell>
          <cell r="N24">
            <v>0</v>
          </cell>
        </row>
        <row r="25">
          <cell r="H25">
            <v>0</v>
          </cell>
          <cell r="K25">
            <v>0</v>
          </cell>
        </row>
        <row r="29">
          <cell r="H29">
            <v>0</v>
          </cell>
          <cell r="I29">
            <v>11713375.066908343</v>
          </cell>
          <cell r="J29">
            <v>0</v>
          </cell>
          <cell r="K29">
            <v>0</v>
          </cell>
          <cell r="L29">
            <v>0</v>
          </cell>
        </row>
        <row r="30">
          <cell r="O30">
            <v>-7936339.5253705056</v>
          </cell>
          <cell r="P30">
            <v>0</v>
          </cell>
        </row>
        <row r="31">
          <cell r="N31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437659.15144994436</v>
          </cell>
          <cell r="P34">
            <v>0</v>
          </cell>
          <cell r="Q34">
            <v>0</v>
          </cell>
          <cell r="R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</sheetData>
      <sheetData sheetId="15">
        <row r="1">
          <cell r="C1" t="str">
            <v>Total</v>
          </cell>
        </row>
        <row r="6">
          <cell r="H6">
            <v>1218283.5489304648</v>
          </cell>
        </row>
        <row r="7">
          <cell r="H7">
            <v>0</v>
          </cell>
        </row>
        <row r="9">
          <cell r="H9">
            <v>-11713375.066908343</v>
          </cell>
        </row>
        <row r="11">
          <cell r="H11">
            <v>8376338.0615383415</v>
          </cell>
        </row>
        <row r="12">
          <cell r="H12">
            <v>0</v>
          </cell>
        </row>
        <row r="13">
          <cell r="H13">
            <v>-1231695.0149904345</v>
          </cell>
        </row>
        <row r="28">
          <cell r="H28">
            <v>437659.15144994436</v>
          </cell>
        </row>
        <row r="29">
          <cell r="H29">
            <v>0</v>
          </cell>
        </row>
        <row r="40">
          <cell r="C40">
            <v>11072.08134207812</v>
          </cell>
        </row>
        <row r="41">
          <cell r="C41">
            <v>0</v>
          </cell>
        </row>
      </sheetData>
      <sheetData sheetId="16">
        <row r="2">
          <cell r="B2" t="str">
            <v>Asset (liability) for pre-recognition cash flows</v>
          </cell>
        </row>
        <row r="3">
          <cell r="C3">
            <v>0</v>
          </cell>
        </row>
        <row r="5">
          <cell r="C5">
            <v>0</v>
          </cell>
        </row>
        <row r="6">
          <cell r="C6">
            <v>0</v>
          </cell>
        </row>
        <row r="8">
          <cell r="C8">
            <v>0</v>
          </cell>
        </row>
        <row r="15">
          <cell r="C15">
            <v>0</v>
          </cell>
        </row>
        <row r="17">
          <cell r="B17" t="str">
            <v>Asset for remaining coverage - non-loss-recovery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11713375.066908343</v>
          </cell>
        </row>
        <row r="21">
          <cell r="C21">
            <v>-11713375.066908343</v>
          </cell>
        </row>
        <row r="22">
          <cell r="C22">
            <v>0</v>
          </cell>
        </row>
        <row r="23">
          <cell r="C23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2">
          <cell r="B32" t="str">
            <v>Asset for remaining coverage - loss-recovery</v>
          </cell>
        </row>
        <row r="33">
          <cell r="B33" t="str">
            <v>Opening asset</v>
          </cell>
          <cell r="C33">
            <v>0</v>
          </cell>
        </row>
        <row r="34">
          <cell r="B34" t="str">
            <v>Time value of money</v>
          </cell>
          <cell r="C34">
            <v>0</v>
          </cell>
        </row>
        <row r="35">
          <cell r="B35" t="str">
            <v>Premiums paid</v>
          </cell>
        </row>
        <row r="36">
          <cell r="B36" t="str">
            <v>Allocation of reinsurance premums</v>
          </cell>
        </row>
        <row r="37">
          <cell r="B37" t="str">
            <v>Transfer of reinsurance investment components</v>
          </cell>
        </row>
        <row r="38">
          <cell r="B38" t="str">
            <v>Transfer of pre-recognition cash flows</v>
          </cell>
        </row>
        <row r="39">
          <cell r="B39" t="str">
            <v>Changes in amounts recoverable arising from changes in LFRC</v>
          </cell>
        </row>
        <row r="40">
          <cell r="B40" t="str">
            <v>Amounts recoverable for claims and other expenses incurred</v>
          </cell>
        </row>
        <row r="41">
          <cell r="B41" t="str">
            <v>Amounts received</v>
          </cell>
        </row>
        <row r="42">
          <cell r="B42" t="str">
            <v>Adjustments for onerous underlying contracts</v>
          </cell>
          <cell r="C42">
            <v>0</v>
          </cell>
        </row>
        <row r="43">
          <cell r="B43" t="str">
            <v>Effect of changes in interest rates and other financial assumptions</v>
          </cell>
          <cell r="C43">
            <v>0</v>
          </cell>
        </row>
        <row r="44">
          <cell r="B44" t="str">
            <v>Effect of changes in the risk of non-performance by reinsurers</v>
          </cell>
          <cell r="C44">
            <v>0</v>
          </cell>
        </row>
        <row r="45">
          <cell r="B45" t="str">
            <v>Closing asset</v>
          </cell>
          <cell r="C45">
            <v>0</v>
          </cell>
        </row>
        <row r="48">
          <cell r="B48" t="str">
            <v>Opening asset</v>
          </cell>
          <cell r="C48">
            <v>1218283.5489304648</v>
          </cell>
        </row>
        <row r="49">
          <cell r="B49" t="str">
            <v>Time value of money</v>
          </cell>
          <cell r="C49">
            <v>13411.466059969527</v>
          </cell>
        </row>
        <row r="50">
          <cell r="B50" t="str">
            <v>Premiums paid</v>
          </cell>
        </row>
        <row r="51">
          <cell r="B51" t="str">
            <v>Allocation of reinsurance premums</v>
          </cell>
        </row>
        <row r="52">
          <cell r="B52" t="str">
            <v>Transfer of reinsurance investment components</v>
          </cell>
          <cell r="C52">
            <v>0</v>
          </cell>
        </row>
        <row r="53">
          <cell r="B53" t="str">
            <v>Transfer of pre-recognition cash flows</v>
          </cell>
        </row>
        <row r="54">
          <cell r="B54" t="str">
            <v>Changes in amounts recoverable arising from changes in LFRC</v>
          </cell>
          <cell r="C54">
            <v>-1231695.0149904345</v>
          </cell>
        </row>
        <row r="55">
          <cell r="B55" t="str">
            <v>Amounts recoverable for claims and other expenses incurred</v>
          </cell>
          <cell r="C55">
            <v>8376338.0615383415</v>
          </cell>
        </row>
        <row r="56">
          <cell r="B56" t="str">
            <v>Amounts received</v>
          </cell>
          <cell r="C56">
            <v>-7936339.5253705056</v>
          </cell>
        </row>
        <row r="57">
          <cell r="B57" t="str">
            <v>Adjustments for onerous underlying contracts</v>
          </cell>
        </row>
        <row r="58">
          <cell r="B58" t="str">
            <v>Effect of changes in interest rates and other financial assumptions</v>
          </cell>
          <cell r="C58">
            <v>-2339.3847178914075</v>
          </cell>
        </row>
        <row r="59">
          <cell r="B59" t="str">
            <v>Effect of changes in the risk of non-performance by reinsurers</v>
          </cell>
          <cell r="C59">
            <v>0</v>
          </cell>
        </row>
        <row r="60">
          <cell r="B60" t="str">
            <v>Closing asset</v>
          </cell>
          <cell r="C60">
            <v>437659.15144994389</v>
          </cell>
        </row>
        <row r="63">
          <cell r="B63" t="str">
            <v>Opening asset</v>
          </cell>
          <cell r="C63">
            <v>0</v>
          </cell>
        </row>
        <row r="64">
          <cell r="B64" t="str">
            <v>Time value of money</v>
          </cell>
          <cell r="C64">
            <v>0</v>
          </cell>
        </row>
        <row r="65">
          <cell r="B65" t="str">
            <v>Premiums paid</v>
          </cell>
        </row>
        <row r="66">
          <cell r="B66" t="str">
            <v>Allocation of reinsurance premums</v>
          </cell>
        </row>
        <row r="67">
          <cell r="B67" t="str">
            <v>Transfer of reinsurance investment components</v>
          </cell>
        </row>
        <row r="68">
          <cell r="B68" t="str">
            <v>Transfer of pre-recognition cash flows</v>
          </cell>
        </row>
        <row r="69">
          <cell r="B69" t="str">
            <v>Changes in amounts recoverable arising from changes in LFRC</v>
          </cell>
          <cell r="C69">
            <v>0</v>
          </cell>
        </row>
        <row r="70">
          <cell r="B70" t="str">
            <v>Amounts recoverable for claims and other expenses incurred</v>
          </cell>
          <cell r="C70">
            <v>0</v>
          </cell>
        </row>
        <row r="71">
          <cell r="B71" t="str">
            <v>Amounts received</v>
          </cell>
        </row>
        <row r="72">
          <cell r="B72" t="str">
            <v>Adjustments for onerous underlying contracts</v>
          </cell>
        </row>
        <row r="73">
          <cell r="B73" t="str">
            <v>Effect of changes in interest rates and other financial assumptions</v>
          </cell>
          <cell r="C73">
            <v>0</v>
          </cell>
        </row>
        <row r="74">
          <cell r="B74" t="str">
            <v>Effect of changes in the risk of non-performance by reinsurers</v>
          </cell>
          <cell r="C74">
            <v>0</v>
          </cell>
        </row>
        <row r="75">
          <cell r="B75" t="str">
            <v>Closing asset</v>
          </cell>
          <cell r="C75">
            <v>0</v>
          </cell>
        </row>
        <row r="78">
          <cell r="B78" t="str">
            <v>Opening asset</v>
          </cell>
          <cell r="C78">
            <v>1218283.5489304648</v>
          </cell>
        </row>
        <row r="79">
          <cell r="B79" t="str">
            <v>Time value of
money</v>
          </cell>
          <cell r="C79">
            <v>13411.466059969527</v>
          </cell>
        </row>
        <row r="80">
          <cell r="B80" t="str">
            <v>Premiums paid</v>
          </cell>
          <cell r="C80">
            <v>11713375.066908343</v>
          </cell>
        </row>
        <row r="81">
          <cell r="B81" t="str">
            <v>Allocation of
reinsurance
premums</v>
          </cell>
          <cell r="C81">
            <v>-11713375.066908343</v>
          </cell>
        </row>
        <row r="82">
          <cell r="B82" t="str">
            <v>Transfer of
reinsurance
investment
components</v>
          </cell>
        </row>
        <row r="83">
          <cell r="B83" t="str">
            <v>Transfer of pre-
recognition
cash flows</v>
          </cell>
        </row>
        <row r="84">
          <cell r="B84" t="str">
            <v>Changes in
amounts
recoverable arising
from changes in
LFRC</v>
          </cell>
          <cell r="C84">
            <v>-1231695.0149904345</v>
          </cell>
        </row>
        <row r="85">
          <cell r="B85" t="str">
            <v>Amounts
recoverable for
claims and other
expenses incurred</v>
          </cell>
          <cell r="C85">
            <v>8376338.0615383415</v>
          </cell>
        </row>
        <row r="86">
          <cell r="B86" t="str">
            <v>Amounts received</v>
          </cell>
          <cell r="C86">
            <v>-7936339.5253705056</v>
          </cell>
        </row>
        <row r="87">
          <cell r="B87" t="str">
            <v>Adjustments for
onerous underlying
contracts</v>
          </cell>
          <cell r="C87">
            <v>0</v>
          </cell>
        </row>
        <row r="88">
          <cell r="B88" t="str">
            <v>Effect of changes in
interest rates and
other financial
assumptions</v>
          </cell>
          <cell r="C88">
            <v>-2339.3847178914075</v>
          </cell>
        </row>
        <row r="89">
          <cell r="B89" t="str">
            <v>Effect of changes in
the risk of
non-performance
by reinsurers</v>
          </cell>
          <cell r="C89">
            <v>0</v>
          </cell>
        </row>
        <row r="90">
          <cell r="B90" t="str">
            <v>Closing asset</v>
          </cell>
          <cell r="C90">
            <v>437659.15144994389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 &gt;"/>
      <sheetName val="User Guide"/>
      <sheetName val="Detailed Scope"/>
      <sheetName val="Process Diagram"/>
      <sheetName val="Datasets"/>
      <sheetName val="Workings"/>
      <sheetName val="Model &gt;"/>
      <sheetName val="Control"/>
      <sheetName val="Setup"/>
      <sheetName val="B120 check"/>
      <sheetName val="I_Disclosures_Master"/>
      <sheetName val="I_Disclosures"/>
      <sheetName val="I_Dashboard_Data"/>
      <sheetName val="I_Dashboard_1"/>
      <sheetName val="I_Dashboard_2"/>
      <sheetName val="I_Dashboard_3"/>
      <sheetName val="R_Disclosures_Master"/>
      <sheetName val="R_Disclosures"/>
      <sheetName val="R_Dashboard_Data"/>
      <sheetName val="R_Dashboard_1"/>
      <sheetName val="R_Dashboard_2"/>
      <sheetName val="R_Dashboard_3"/>
      <sheetName val="Financials"/>
      <sheetName val="Data Checks"/>
      <sheetName val="CSM Release"/>
      <sheetName val="PRCF Release"/>
      <sheetName val="Subledger"/>
      <sheetName val="Trial Balance"/>
      <sheetName val="AccountCodes"/>
      <sheetName val="TransactionTypes"/>
      <sheetName val="CurrencyCodes"/>
      <sheetName val="FXImpactFrom"/>
      <sheetName val="YieldCurves"/>
      <sheetName val="ExchangeRates"/>
      <sheetName val="I_Groups"/>
      <sheetName val="I_NEW_GEN"/>
      <sheetName val="I_NEW_CFs"/>
      <sheetName val="I_IN_Disc"/>
      <sheetName val="I_IN_Calc"/>
      <sheetName val="I_IN_Pre_FX"/>
      <sheetName val="I_IN_ToSL"/>
      <sheetName val="I_IF_GEN"/>
      <sheetName val="I_IF_FCFs"/>
      <sheetName val="I_IF_Patterns"/>
      <sheetName val="I_SUB_Disc1"/>
      <sheetName val="I_SUB_Disc2"/>
      <sheetName val="I_SUB_Calc"/>
      <sheetName val="I_FX"/>
      <sheetName val="I_SUB_ToSL"/>
      <sheetName val="I_SUB_ToCSM"/>
      <sheetName val="I_SUB_ToPRCF"/>
      <sheetName val="I_SUB_ToT0TB"/>
      <sheetName val="I_SUB_ToT1TB"/>
      <sheetName val="R_Groups"/>
      <sheetName val="R_I_Mapping"/>
      <sheetName val="R_NEW_GEN"/>
      <sheetName val="R_NEW_CFs"/>
      <sheetName val="R_IN_Disc"/>
      <sheetName val="R_IN_Calc"/>
      <sheetName val="R_IN_Pre_FX"/>
      <sheetName val="R_IN_ToSL"/>
      <sheetName val="R_IF_GEN"/>
      <sheetName val="R_IF_FCFs"/>
      <sheetName val="R_IF_Patterns"/>
      <sheetName val="R_SUB_Disc1"/>
      <sheetName val="R_SUB_Disc2"/>
      <sheetName val="R_SUB_CSMAdj"/>
      <sheetName val="R_SUB_Calc"/>
      <sheetName val="R_FX"/>
      <sheetName val="R_SUB_ToSL"/>
      <sheetName val="R_SUB_ToCSM"/>
      <sheetName val="R_SUB_ToT0TB"/>
      <sheetName val="R_SUB_ToT1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F4" t="str">
            <v>ZAR</v>
          </cell>
        </row>
        <row r="14">
          <cell r="F14" t="str">
            <v>Yes</v>
          </cell>
        </row>
        <row r="15">
          <cell r="F15" t="str">
            <v>Yes</v>
          </cell>
        </row>
        <row r="16">
          <cell r="F16" t="str">
            <v>Yes</v>
          </cell>
        </row>
      </sheetData>
      <sheetData sheetId="9" refreshError="1"/>
      <sheetData sheetId="10" refreshError="1"/>
      <sheetData sheetId="11" refreshError="1">
        <row r="1">
          <cell r="C1" t="str">
            <v>[segment 1]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C1" t="str">
            <v>Total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2">
          <cell r="A2" t="str">
            <v>Locked-in</v>
          </cell>
        </row>
        <row r="3">
          <cell r="A3" t="str">
            <v>Opening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383A-A5F5-4B4C-884E-132807949B78}">
  <sheetPr codeName="Sheet36">
    <tabColor rgb="FFFFE600"/>
    <outlinePr summaryBelow="0"/>
  </sheetPr>
  <dimension ref="B1:R34"/>
  <sheetViews>
    <sheetView tabSelected="1" workbookViewId="0">
      <selection activeCell="D15" sqref="D15"/>
    </sheetView>
  </sheetViews>
  <sheetFormatPr defaultColWidth="8.85546875" defaultRowHeight="15" outlineLevelRow="1"/>
  <cols>
    <col min="1" max="1" width="2.42578125" customWidth="1"/>
    <col min="2" max="2" width="67.42578125" bestFit="1" customWidth="1" collapsed="1"/>
    <col min="3" max="6" width="16.42578125" customWidth="1"/>
    <col min="7" max="7" width="16.42578125" style="82" customWidth="1"/>
    <col min="8" max="8" width="16.42578125" customWidth="1" collapsed="1"/>
    <col min="9" max="16" width="16.42578125" customWidth="1"/>
  </cols>
  <sheetData>
    <row r="1" spans="2:18" s="82" customFormat="1">
      <c r="B1" s="83" t="s">
        <v>2</v>
      </c>
      <c r="C1" s="83"/>
      <c r="D1"/>
      <c r="E1"/>
      <c r="F1"/>
      <c r="H1"/>
      <c r="I1"/>
      <c r="J1"/>
      <c r="K1"/>
      <c r="L1"/>
      <c r="M1"/>
      <c r="N1"/>
      <c r="O1"/>
      <c r="P1"/>
      <c r="Q1"/>
      <c r="R1"/>
    </row>
    <row r="2" spans="2:18" s="82" customFormat="1" outlineLevel="1">
      <c r="B2" s="139"/>
      <c r="C2" s="114">
        <f>ReportingDate_Current</f>
        <v>45107</v>
      </c>
      <c r="D2" s="140">
        <f>ReportingDate_Previous</f>
        <v>44742</v>
      </c>
      <c r="E2"/>
      <c r="F2"/>
      <c r="H2"/>
      <c r="I2"/>
      <c r="J2"/>
      <c r="K2"/>
      <c r="L2"/>
      <c r="M2"/>
      <c r="N2"/>
      <c r="O2"/>
      <c r="P2"/>
      <c r="Q2"/>
      <c r="R2"/>
    </row>
    <row r="3" spans="2:18" s="82" customFormat="1" outlineLevel="1">
      <c r="B3" s="141" t="s">
        <v>100</v>
      </c>
      <c r="C3" s="142"/>
      <c r="D3" s="143"/>
      <c r="E3"/>
      <c r="F3"/>
      <c r="H3"/>
      <c r="I3"/>
      <c r="J3"/>
      <c r="K3"/>
      <c r="L3"/>
      <c r="M3"/>
      <c r="N3"/>
      <c r="O3"/>
      <c r="P3"/>
      <c r="Q3"/>
      <c r="R3"/>
    </row>
    <row r="4" spans="2:18" s="82" customFormat="1" outlineLevel="1">
      <c r="B4" s="92" t="s">
        <v>101</v>
      </c>
      <c r="C4" s="102">
        <f>-[1]I_Disclosures!$H$31</f>
        <v>-2936.5</v>
      </c>
      <c r="D4" s="102">
        <f>-[1]I_Disclosures!$H$6</f>
        <v>0</v>
      </c>
      <c r="E4"/>
      <c r="F4"/>
      <c r="H4"/>
      <c r="I4"/>
      <c r="J4"/>
      <c r="K4"/>
      <c r="L4"/>
      <c r="M4"/>
      <c r="N4"/>
      <c r="O4"/>
      <c r="P4"/>
      <c r="Q4"/>
      <c r="R4"/>
    </row>
    <row r="5" spans="2:18" s="82" customFormat="1" outlineLevel="1">
      <c r="B5" s="92" t="s">
        <v>102</v>
      </c>
      <c r="C5" s="102">
        <f>[1]R_Disclosures!$H$28</f>
        <v>437659.15144994436</v>
      </c>
      <c r="D5" s="102">
        <f>[1]R_Disclosures!$H$6</f>
        <v>1218283.5489304648</v>
      </c>
      <c r="E5"/>
      <c r="F5"/>
      <c r="H5"/>
      <c r="I5"/>
      <c r="J5"/>
      <c r="K5"/>
      <c r="L5"/>
      <c r="M5"/>
      <c r="N5"/>
      <c r="O5"/>
      <c r="P5"/>
      <c r="Q5"/>
      <c r="R5"/>
    </row>
    <row r="6" spans="2:18" s="82" customFormat="1" outlineLevel="1">
      <c r="B6" s="112" t="s">
        <v>103</v>
      </c>
      <c r="C6" s="144"/>
      <c r="D6" s="145"/>
      <c r="E6"/>
      <c r="F6"/>
      <c r="H6"/>
      <c r="I6"/>
      <c r="J6"/>
      <c r="K6"/>
      <c r="L6"/>
      <c r="M6"/>
      <c r="N6"/>
      <c r="O6"/>
      <c r="P6"/>
      <c r="Q6"/>
      <c r="R6"/>
    </row>
    <row r="7" spans="2:18" s="82" customFormat="1" ht="15.75" outlineLevel="1" thickBot="1">
      <c r="B7" s="146" t="s">
        <v>104</v>
      </c>
      <c r="C7" s="110">
        <f>SUM(C3:C6)</f>
        <v>434722.65144994436</v>
      </c>
      <c r="D7" s="111">
        <f>SUM(D3:D6)</f>
        <v>1218283.5489304648</v>
      </c>
      <c r="E7"/>
      <c r="F7"/>
      <c r="H7"/>
      <c r="I7"/>
      <c r="J7"/>
      <c r="K7"/>
      <c r="L7"/>
      <c r="M7"/>
      <c r="N7"/>
      <c r="O7"/>
      <c r="P7"/>
      <c r="Q7"/>
      <c r="R7"/>
    </row>
    <row r="8" spans="2:18" s="82" customFormat="1" outlineLevel="1">
      <c r="B8" s="92" t="s">
        <v>105</v>
      </c>
      <c r="C8" s="102">
        <f>[1]I_Disclosures!$H$32</f>
        <v>613703.84482310235</v>
      </c>
      <c r="D8" s="103">
        <f>[1]I_Disclosures!$H$7</f>
        <v>1708030.5556031927</v>
      </c>
      <c r="E8" s="147"/>
      <c r="F8"/>
      <c r="H8"/>
      <c r="I8"/>
      <c r="J8"/>
      <c r="K8"/>
      <c r="L8"/>
      <c r="M8"/>
      <c r="N8"/>
      <c r="O8"/>
      <c r="P8"/>
      <c r="Q8"/>
      <c r="R8"/>
    </row>
    <row r="9" spans="2:18" s="82" customFormat="1" outlineLevel="1">
      <c r="B9" s="92" t="s">
        <v>106</v>
      </c>
      <c r="C9" s="102">
        <f>-[1]R_Disclosures!$H$29</f>
        <v>0</v>
      </c>
      <c r="D9" s="103">
        <f>-[1]R_Disclosures!$H$7</f>
        <v>0</v>
      </c>
      <c r="E9" s="147"/>
      <c r="F9"/>
      <c r="H9"/>
      <c r="I9"/>
      <c r="J9"/>
      <c r="K9"/>
      <c r="L9"/>
      <c r="M9"/>
      <c r="N9"/>
      <c r="O9"/>
      <c r="P9"/>
      <c r="Q9"/>
      <c r="R9"/>
    </row>
    <row r="10" spans="2:18" s="82" customFormat="1" outlineLevel="1">
      <c r="B10" s="112" t="s">
        <v>107</v>
      </c>
      <c r="C10" s="144"/>
      <c r="D10" s="145"/>
      <c r="E10"/>
      <c r="F10"/>
      <c r="H10"/>
      <c r="I10"/>
      <c r="J10"/>
      <c r="K10"/>
      <c r="L10"/>
      <c r="M10"/>
      <c r="N10"/>
      <c r="O10"/>
      <c r="P10"/>
      <c r="Q10"/>
      <c r="R10"/>
    </row>
    <row r="11" spans="2:18" s="82" customFormat="1" outlineLevel="1">
      <c r="B11" s="112" t="s">
        <v>108</v>
      </c>
      <c r="C11" s="144"/>
      <c r="D11" s="145"/>
      <c r="E11"/>
      <c r="F11"/>
      <c r="H11"/>
      <c r="I11"/>
      <c r="J11"/>
      <c r="K11"/>
      <c r="L11"/>
      <c r="M11"/>
      <c r="N11"/>
      <c r="O11"/>
      <c r="P11"/>
      <c r="Q11"/>
      <c r="R11"/>
    </row>
    <row r="12" spans="2:18" s="82" customFormat="1" ht="15.75" outlineLevel="1" thickBot="1">
      <c r="B12" s="146" t="s">
        <v>109</v>
      </c>
      <c r="C12" s="110">
        <f>SUM(C8:C11)</f>
        <v>613703.84482310235</v>
      </c>
      <c r="D12" s="111">
        <f>SUM(D8:D11)</f>
        <v>1708030.5556031927</v>
      </c>
      <c r="E12"/>
      <c r="F12"/>
      <c r="H12"/>
      <c r="I12"/>
      <c r="J12"/>
      <c r="K12"/>
      <c r="L12"/>
      <c r="M12"/>
      <c r="N12"/>
      <c r="O12"/>
      <c r="P12"/>
      <c r="Q12"/>
      <c r="R12"/>
    </row>
    <row r="13" spans="2:18" s="82" customFormat="1" outlineLevel="1">
      <c r="B13"/>
      <c r="C13" s="147"/>
      <c r="D13" s="147"/>
      <c r="E13"/>
      <c r="F13"/>
      <c r="H13"/>
      <c r="I13"/>
      <c r="J13"/>
      <c r="K13"/>
      <c r="L13"/>
      <c r="M13"/>
      <c r="N13"/>
      <c r="O13"/>
      <c r="P13"/>
      <c r="Q13"/>
      <c r="R13"/>
    </row>
    <row r="15" spans="2:18">
      <c r="B15" s="83" t="s">
        <v>21</v>
      </c>
      <c r="C15" s="83"/>
      <c r="D15" s="147"/>
    </row>
    <row r="16" spans="2:18" outlineLevel="1">
      <c r="B16" s="139"/>
      <c r="C16" s="114">
        <f>ReportingDate_Current</f>
        <v>45107</v>
      </c>
    </row>
    <row r="17" spans="2:5" outlineLevel="1">
      <c r="B17" s="148" t="s">
        <v>41</v>
      </c>
      <c r="C17" s="149">
        <f>-[1]I_Disclosures!$H$9</f>
        <v>23492357.252800003</v>
      </c>
    </row>
    <row r="18" spans="2:5" outlineLevel="1">
      <c r="B18" s="108" t="s">
        <v>24</v>
      </c>
      <c r="C18" s="102">
        <f>-SUM([1]I_Disclosures!$H$11:$H$16)</f>
        <v>-20071343.261876114</v>
      </c>
      <c r="E18" s="92"/>
    </row>
    <row r="19" spans="2:5" outlineLevel="1">
      <c r="B19" s="92" t="s">
        <v>110</v>
      </c>
      <c r="C19" s="93">
        <f>SUM(C17:C18)</f>
        <v>3421013.990923889</v>
      </c>
      <c r="E19" s="92"/>
    </row>
    <row r="20" spans="2:5" outlineLevel="1">
      <c r="B20" s="150" t="s">
        <v>86</v>
      </c>
      <c r="C20" s="102">
        <f>[1]R_Disclosures!$H$9</f>
        <v>-11713375.066908343</v>
      </c>
      <c r="E20" s="92"/>
    </row>
    <row r="21" spans="2:5" outlineLevel="1">
      <c r="B21" s="150" t="s">
        <v>77</v>
      </c>
      <c r="C21" s="102">
        <f>SUM([1]R_Disclosures!$H$11:$H$13)</f>
        <v>7144643.0465479065</v>
      </c>
      <c r="E21" s="92"/>
    </row>
    <row r="22" spans="2:5" outlineLevel="1">
      <c r="B22" s="151" t="s">
        <v>111</v>
      </c>
      <c r="C22" s="152">
        <f>SUM(C20:C21)</f>
        <v>-4568732.0203604363</v>
      </c>
    </row>
    <row r="23" spans="2:5" outlineLevel="1">
      <c r="B23" s="105" t="s">
        <v>22</v>
      </c>
      <c r="C23" s="106">
        <f>SUM(C19,C22)</f>
        <v>-1147718.0294365473</v>
      </c>
    </row>
    <row r="24" spans="2:5" outlineLevel="1">
      <c r="B24" s="108" t="s">
        <v>57</v>
      </c>
      <c r="C24" s="102">
        <f>[1]I_Disclosures!$C$42</f>
        <v>-14783.295399087096</v>
      </c>
    </row>
    <row r="25" spans="2:5" outlineLevel="1">
      <c r="B25" s="108" t="s">
        <v>96</v>
      </c>
      <c r="C25" s="102">
        <f>[1]R_Disclosures!$C$40</f>
        <v>11072.08134207812</v>
      </c>
    </row>
    <row r="26" spans="2:5" outlineLevel="1">
      <c r="B26" s="105" t="s">
        <v>112</v>
      </c>
      <c r="C26" s="106">
        <f>SUM(C24:C25)</f>
        <v>-3711.2140570089759</v>
      </c>
    </row>
    <row r="27" spans="2:5" ht="15.75" outlineLevel="1" thickBot="1">
      <c r="B27" s="146" t="s">
        <v>113</v>
      </c>
      <c r="C27" s="110">
        <f>SUM(C23,C26)</f>
        <v>-1151429.2434935563</v>
      </c>
    </row>
    <row r="28" spans="2:5" outlineLevel="1">
      <c r="B28" s="153"/>
      <c r="C28" s="147"/>
    </row>
    <row r="29" spans="2:5" outlineLevel="1">
      <c r="B29" s="92" t="s">
        <v>114</v>
      </c>
      <c r="C29" s="147"/>
    </row>
    <row r="30" spans="2:5" outlineLevel="1">
      <c r="B30" s="108" t="s">
        <v>57</v>
      </c>
      <c r="C30" s="102">
        <f>[1]I_Disclosures!$C$43</f>
        <v>0</v>
      </c>
    </row>
    <row r="31" spans="2:5" outlineLevel="1">
      <c r="B31" s="108" t="s">
        <v>96</v>
      </c>
      <c r="C31" s="102">
        <f>[1]R_Disclosures!$C$41</f>
        <v>0</v>
      </c>
    </row>
    <row r="32" spans="2:5" outlineLevel="1">
      <c r="B32" s="105" t="s">
        <v>112</v>
      </c>
      <c r="C32" s="106">
        <f>SUM(C30:C31)</f>
        <v>0</v>
      </c>
    </row>
    <row r="33" spans="2:3" outlineLevel="1">
      <c r="B33" s="105" t="s">
        <v>115</v>
      </c>
      <c r="C33" s="106">
        <f>C32</f>
        <v>0</v>
      </c>
    </row>
    <row r="34" spans="2:3" outlineLevel="1"/>
  </sheetData>
  <sheetProtection algorithmName="SHA-512" hashValue="sKpI+ftYWUyXcY8O3t6QeWyMxU/VIloy7x04J7fKxvOx2DLZ9W/byyk3hQ5kdHNy78xBakKOixEPssPxYIltiA==" saltValue="sfa3PPowQoCW9HlltVo5D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5B7A-C687-4E1F-9227-27981ECFD6A6}">
  <sheetPr codeName="Sheet80">
    <tabColor rgb="FFFFE600"/>
    <outlinePr summaryBelow="0"/>
  </sheetPr>
  <dimension ref="B1:H41"/>
  <sheetViews>
    <sheetView workbookViewId="0">
      <selection activeCell="D9" sqref="D9"/>
    </sheetView>
  </sheetViews>
  <sheetFormatPr defaultColWidth="8.85546875" defaultRowHeight="15" outlineLevelRow="1"/>
  <cols>
    <col min="1" max="1" width="2.42578125" customWidth="1"/>
    <col min="2" max="2" width="67.42578125" bestFit="1" customWidth="1" collapsed="1"/>
    <col min="3" max="5" width="16.42578125" style="112" customWidth="1"/>
    <col min="6" max="10" width="16.42578125" customWidth="1"/>
  </cols>
  <sheetData>
    <row r="1" spans="2:8">
      <c r="B1" s="80" t="s">
        <v>80</v>
      </c>
      <c r="C1" s="81" t="s">
        <v>37</v>
      </c>
      <c r="D1" s="82"/>
      <c r="E1" s="82"/>
    </row>
    <row r="3" spans="2:8" s="112" customFormat="1">
      <c r="B3" s="83" t="s">
        <v>81</v>
      </c>
      <c r="D3" s="82"/>
      <c r="E3" s="82"/>
      <c r="F3"/>
      <c r="G3"/>
      <c r="H3" s="108"/>
    </row>
    <row r="4" spans="2:8" ht="14.45" customHeight="1" outlineLevel="1">
      <c r="B4" s="84"/>
      <c r="C4" s="85" t="s">
        <v>82</v>
      </c>
      <c r="D4" s="85" t="s">
        <v>67</v>
      </c>
      <c r="E4" s="136"/>
      <c r="F4" s="85" t="s">
        <v>68</v>
      </c>
      <c r="G4" s="136"/>
      <c r="H4" s="85" t="s">
        <v>83</v>
      </c>
    </row>
    <row r="5" spans="2:8" ht="33.75" outlineLevel="1">
      <c r="C5" s="137"/>
      <c r="D5" s="88" t="s">
        <v>84</v>
      </c>
      <c r="E5" s="88" t="s">
        <v>85</v>
      </c>
      <c r="F5" s="88" t="s">
        <v>8</v>
      </c>
      <c r="G5" s="88" t="s">
        <v>9</v>
      </c>
      <c r="H5" s="137"/>
    </row>
    <row r="6" spans="2:8" outlineLevel="1">
      <c r="B6" s="89" t="str">
        <f>"Reinsurance contract assets as at "&amp;YEAR(ReportingDate_Previous)&amp;"/"&amp;MONTH(ReportingDate_Previous)&amp;"/"&amp;DAY(ReportingDate_Previous)</f>
        <v>Reinsurance contract assets as at 2022/6/30</v>
      </c>
      <c r="C6" s="90">
        <f>SUM([1]R_Disclosures_Master!H6:H6)</f>
        <v>0</v>
      </c>
      <c r="D6" s="90">
        <f>SUM([1]R_Disclosures_Master!I6:L6)</f>
        <v>0</v>
      </c>
      <c r="E6" s="90">
        <f>SUM([1]R_Disclosures_Master!M6:M6)</f>
        <v>0</v>
      </c>
      <c r="F6" s="90">
        <f>SUM([1]R_Disclosures_Master!N6:P6)</f>
        <v>1218283.5489304648</v>
      </c>
      <c r="G6" s="90">
        <f>SUM([1]R_Disclosures_Master!Q6:R6)</f>
        <v>0</v>
      </c>
      <c r="H6" s="91">
        <f>SUM(C6:G6)</f>
        <v>1218283.5489304648</v>
      </c>
    </row>
    <row r="7" spans="2:8" outlineLevel="1">
      <c r="B7" s="92" t="str">
        <f>"Reinsurance contract liabilities as at "&amp;YEAR(ReportingDate_Previous)&amp;"/"&amp;MONTH(ReportingDate_Previous)&amp;"/"&amp;DAY(ReportingDate_Previous)</f>
        <v>Reinsurance contract liabilities as at 2022/6/30</v>
      </c>
      <c r="C7" s="93">
        <f>SUM([1]R_Disclosures_Master!H7:H7)</f>
        <v>0</v>
      </c>
      <c r="D7" s="93">
        <f>SUM([1]R_Disclosures_Master!I7:L7)</f>
        <v>0</v>
      </c>
      <c r="E7" s="93">
        <f>SUM([1]R_Disclosures_Master!M7:M7)</f>
        <v>0</v>
      </c>
      <c r="F7" s="93">
        <f>SUM([1]R_Disclosures_Master!N7:P7)</f>
        <v>0</v>
      </c>
      <c r="G7" s="94">
        <f>SUM([1]R_Disclosures_Master!Q7:R7)</f>
        <v>0</v>
      </c>
      <c r="H7" s="94">
        <f t="shared" ref="H7:H9" si="0">SUM(C7:G7)</f>
        <v>0</v>
      </c>
    </row>
    <row r="8" spans="2:8" outlineLevel="1">
      <c r="B8" s="95" t="str">
        <f>"Net reinsurance contract assets / (liabilities) as at "&amp;YEAR(ReportingDate_Previous)&amp;"/"&amp;MONTH(ReportingDate_Previous)&amp;"/"&amp;DAY(ReportingDate_Previous)</f>
        <v>Net reinsurance contract assets / (liabilities) as at 2022/6/30</v>
      </c>
      <c r="C8" s="96">
        <f t="shared" ref="C8:E8" si="1">SUM(C6:C7)</f>
        <v>0</v>
      </c>
      <c r="D8" s="96">
        <f t="shared" si="1"/>
        <v>0</v>
      </c>
      <c r="E8" s="96">
        <f t="shared" si="1"/>
        <v>0</v>
      </c>
      <c r="F8" s="96">
        <f>SUM(F6:F7)</f>
        <v>1218283.5489304648</v>
      </c>
      <c r="G8" s="96">
        <f>SUM(G6:G7)</f>
        <v>0</v>
      </c>
      <c r="H8" s="97">
        <f t="shared" si="0"/>
        <v>1218283.5489304648</v>
      </c>
    </row>
    <row r="9" spans="2:8" outlineLevel="1">
      <c r="B9" s="92" t="s">
        <v>86</v>
      </c>
      <c r="C9" s="93">
        <f>[1]R_Disclosures_Master!H20</f>
        <v>0</v>
      </c>
      <c r="D9" s="93">
        <f>SUM([1]R_Disclosures_Master!H9:K9)</f>
        <v>-11713375.066908343</v>
      </c>
      <c r="E9" s="101"/>
      <c r="F9" s="99"/>
      <c r="G9" s="99"/>
      <c r="H9" s="94">
        <f t="shared" si="0"/>
        <v>-11713375.066908343</v>
      </c>
    </row>
    <row r="10" spans="2:8" outlineLevel="1">
      <c r="B10" s="92" t="s">
        <v>77</v>
      </c>
      <c r="C10" s="101"/>
      <c r="D10" s="101"/>
      <c r="E10" s="101"/>
      <c r="F10" s="101"/>
      <c r="G10" s="101"/>
      <c r="H10" s="101"/>
    </row>
    <row r="11" spans="2:8" outlineLevel="1">
      <c r="B11" s="138" t="s">
        <v>87</v>
      </c>
      <c r="C11" s="101"/>
      <c r="D11" s="101"/>
      <c r="E11" s="101"/>
      <c r="F11" s="102">
        <f>SUM([1]R_Disclosures_Master!O11:P11)</f>
        <v>8376338.0615383415</v>
      </c>
      <c r="G11" s="102">
        <f>SUM([1]R_Disclosures_Master!Q11:R11)</f>
        <v>0</v>
      </c>
      <c r="H11" s="103">
        <f t="shared" ref="H11:H30" si="2">SUM(C11:G11)</f>
        <v>8376338.0615383415</v>
      </c>
    </row>
    <row r="12" spans="2:8" outlineLevel="1">
      <c r="B12" s="138" t="s">
        <v>88</v>
      </c>
      <c r="C12" s="101"/>
      <c r="D12" s="101"/>
      <c r="E12" s="102">
        <f>[1]R_Disclosures_Master!M12</f>
        <v>0</v>
      </c>
      <c r="F12" s="101"/>
      <c r="G12" s="104"/>
      <c r="H12" s="103">
        <f t="shared" si="2"/>
        <v>0</v>
      </c>
    </row>
    <row r="13" spans="2:8" outlineLevel="1">
      <c r="B13" s="138" t="s">
        <v>89</v>
      </c>
      <c r="C13" s="101"/>
      <c r="D13" s="101"/>
      <c r="E13" s="101"/>
      <c r="F13" s="102">
        <f>SUM([1]R_Disclosures_Master!O13:P13)</f>
        <v>-1231695.0149904345</v>
      </c>
      <c r="G13" s="102">
        <f>SUM([1]R_Disclosures_Master!Q13:R13)</f>
        <v>0</v>
      </c>
      <c r="H13" s="103">
        <f t="shared" si="2"/>
        <v>-1231695.0149904345</v>
      </c>
    </row>
    <row r="14" spans="2:8" outlineLevel="1">
      <c r="B14" s="92" t="s">
        <v>48</v>
      </c>
      <c r="C14" s="93">
        <f>[1]R_Disclosures_Master!H25</f>
        <v>0</v>
      </c>
      <c r="D14" s="93">
        <f>[1]R_Disclosures_Master!K25</f>
        <v>0</v>
      </c>
      <c r="E14" s="101"/>
      <c r="F14" s="101"/>
      <c r="G14" s="104"/>
      <c r="H14" s="94">
        <f t="shared" si="2"/>
        <v>0</v>
      </c>
    </row>
    <row r="15" spans="2:8" outlineLevel="1">
      <c r="B15" s="92" t="s">
        <v>90</v>
      </c>
      <c r="C15" s="101"/>
      <c r="D15" s="93">
        <f>[1]R_Disclosures_Master!I24</f>
        <v>0</v>
      </c>
      <c r="E15" s="101"/>
      <c r="F15" s="93">
        <f>[1]R_Disclosures_Master!N24</f>
        <v>0</v>
      </c>
      <c r="G15" s="104"/>
      <c r="H15" s="94">
        <f t="shared" si="2"/>
        <v>0</v>
      </c>
    </row>
    <row r="16" spans="2:8" outlineLevel="1">
      <c r="B16" s="105" t="s">
        <v>91</v>
      </c>
      <c r="C16" s="106">
        <f>SUM(C9:C15)</f>
        <v>0</v>
      </c>
      <c r="D16" s="106">
        <f>SUM(D9:D15)</f>
        <v>-11713375.066908343</v>
      </c>
      <c r="E16" s="106">
        <f>SUM(E9:E15)</f>
        <v>0</v>
      </c>
      <c r="F16" s="106">
        <f>SUM(F9:F15)</f>
        <v>7144643.0465479065</v>
      </c>
      <c r="G16" s="106">
        <f>SUM(G9:G15)</f>
        <v>0</v>
      </c>
      <c r="H16" s="107">
        <f t="shared" si="2"/>
        <v>-4568732.0203604363</v>
      </c>
    </row>
    <row r="17" spans="2:8" outlineLevel="1">
      <c r="B17" s="108" t="s">
        <v>50</v>
      </c>
      <c r="C17" s="101"/>
      <c r="D17" s="102">
        <f>SUM([1]R_Disclosures_Master!I15:L15)</f>
        <v>0</v>
      </c>
      <c r="E17" s="102">
        <f>SUM([1]R_Disclosures_Master!M15:M15)</f>
        <v>0</v>
      </c>
      <c r="F17" s="102">
        <f>SUM([1]R_Disclosures_Master!N15:P15)</f>
        <v>13411.466059969527</v>
      </c>
      <c r="G17" s="102">
        <f>SUM([1]R_Disclosures_Master!Q15:R15)</f>
        <v>0</v>
      </c>
      <c r="H17" s="103">
        <f t="shared" si="2"/>
        <v>13411.466059969527</v>
      </c>
    </row>
    <row r="18" spans="2:8" outlineLevel="1">
      <c r="B18" s="108" t="s">
        <v>29</v>
      </c>
      <c r="C18" s="101"/>
      <c r="D18" s="102">
        <f>SUM([1]R_Disclosures_Master!I17:L18)</f>
        <v>0</v>
      </c>
      <c r="E18" s="102">
        <f>SUM([1]R_Disclosures_Master!M17:M18)</f>
        <v>0</v>
      </c>
      <c r="F18" s="102">
        <f>SUM([1]R_Disclosures_Master!N17:P18)</f>
        <v>-2339.3847178914075</v>
      </c>
      <c r="G18" s="102">
        <f>SUM([1]R_Disclosures_Master!Q17:R18)</f>
        <v>0</v>
      </c>
      <c r="H18" s="103">
        <f t="shared" si="2"/>
        <v>-2339.3847178914075</v>
      </c>
    </row>
    <row r="19" spans="2:8" outlineLevel="1">
      <c r="B19" s="108" t="s">
        <v>92</v>
      </c>
      <c r="C19" s="101"/>
      <c r="D19" s="102">
        <f>SUM([1]R_Disclosures_Master!I19:L19)</f>
        <v>0</v>
      </c>
      <c r="E19" s="102">
        <f>SUM([1]R_Disclosures_Master!M19:M19)</f>
        <v>0</v>
      </c>
      <c r="F19" s="102">
        <f>SUM([1]R_Disclosures_Master!N19:P19)</f>
        <v>0</v>
      </c>
      <c r="G19" s="102">
        <f>SUM([1]R_Disclosures_Master!Q19:R19)</f>
        <v>0</v>
      </c>
      <c r="H19" s="103">
        <f t="shared" si="2"/>
        <v>0</v>
      </c>
    </row>
    <row r="20" spans="2:8" outlineLevel="1">
      <c r="B20" s="108" t="s">
        <v>30</v>
      </c>
      <c r="C20" s="102">
        <f>SUM([1]R_Disclosures_Master!H21:H22)</f>
        <v>0</v>
      </c>
      <c r="D20" s="102">
        <f>SUM([1]R_Disclosures_Master!I21:L22)</f>
        <v>0</v>
      </c>
      <c r="E20" s="102">
        <f>SUM([1]R_Disclosures_Master!M21:M22)</f>
        <v>0</v>
      </c>
      <c r="F20" s="102">
        <f>SUM([1]R_Disclosures_Master!N21:P22)</f>
        <v>0</v>
      </c>
      <c r="G20" s="102">
        <f>SUM([1]R_Disclosures_Master!Q21:R22)</f>
        <v>0</v>
      </c>
      <c r="H20" s="103">
        <f t="shared" si="2"/>
        <v>0</v>
      </c>
    </row>
    <row r="21" spans="2:8" outlineLevel="1">
      <c r="B21" s="105" t="s">
        <v>93</v>
      </c>
      <c r="C21" s="106">
        <f>SUM(C17,C19,C18,C20)</f>
        <v>0</v>
      </c>
      <c r="D21" s="106">
        <f>SUM(D17,D19,D18,D20)</f>
        <v>0</v>
      </c>
      <c r="E21" s="106">
        <f>SUM(E17,E19,E18,E20)</f>
        <v>0</v>
      </c>
      <c r="F21" s="106">
        <f>SUM(F17,F19,F18,F20)</f>
        <v>11072.08134207812</v>
      </c>
      <c r="G21" s="106">
        <f>SUM(G17,G19,G18,G20)</f>
        <v>0</v>
      </c>
      <c r="H21" s="107">
        <f t="shared" si="2"/>
        <v>11072.08134207812</v>
      </c>
    </row>
    <row r="22" spans="2:8" outlineLevel="1">
      <c r="B22" s="105" t="s">
        <v>52</v>
      </c>
      <c r="C22" s="106">
        <f>SUM(C16,C21)</f>
        <v>0</v>
      </c>
      <c r="D22" s="106">
        <f>SUM(D16,D21)</f>
        <v>-11713375.066908343</v>
      </c>
      <c r="E22" s="106">
        <f>SUM(E16,E21)</f>
        <v>0</v>
      </c>
      <c r="F22" s="106">
        <f>SUM(F16,F21)</f>
        <v>7155715.1278899843</v>
      </c>
      <c r="G22" s="106">
        <f>SUM(G16,G21)</f>
        <v>0</v>
      </c>
      <c r="H22" s="107">
        <f t="shared" si="2"/>
        <v>-4557659.9390183585</v>
      </c>
    </row>
    <row r="23" spans="2:8" outlineLevel="1">
      <c r="B23" s="92" t="s">
        <v>33</v>
      </c>
      <c r="D23" s="93"/>
      <c r="F23" s="93"/>
      <c r="G23" s="94"/>
      <c r="H23" s="94"/>
    </row>
    <row r="24" spans="2:8" outlineLevel="1">
      <c r="B24" s="108" t="s">
        <v>94</v>
      </c>
      <c r="C24" s="102">
        <f>SUM([1]R_Disclosures_Master!H29:H29)</f>
        <v>0</v>
      </c>
      <c r="D24" s="102">
        <f>SUM([1]R_Disclosures_Master!I29:L29)</f>
        <v>11713375.066908343</v>
      </c>
      <c r="E24" s="101"/>
      <c r="F24" s="101"/>
      <c r="G24" s="104"/>
      <c r="H24" s="103">
        <f t="shared" si="2"/>
        <v>11713375.066908343</v>
      </c>
    </row>
    <row r="25" spans="2:8" outlineLevel="1">
      <c r="B25" s="108" t="s">
        <v>95</v>
      </c>
      <c r="C25" s="101"/>
      <c r="D25" s="101"/>
      <c r="E25" s="101"/>
      <c r="F25" s="102">
        <f>SUM([1]R_Disclosures_Master!N30:P31)</f>
        <v>-7936339.5253705056</v>
      </c>
      <c r="G25" s="104"/>
      <c r="H25" s="103">
        <f t="shared" si="2"/>
        <v>-7936339.5253705056</v>
      </c>
    </row>
    <row r="26" spans="2:8" outlineLevel="1">
      <c r="B26" s="105" t="s">
        <v>56</v>
      </c>
      <c r="C26" s="106">
        <f t="shared" ref="C26:E26" si="3">SUM(C24:C25)</f>
        <v>0</v>
      </c>
      <c r="D26" s="106">
        <f t="shared" si="3"/>
        <v>11713375.066908343</v>
      </c>
      <c r="E26" s="106">
        <f t="shared" si="3"/>
        <v>0</v>
      </c>
      <c r="F26" s="106">
        <f>SUM(F24:F25)</f>
        <v>-7936339.5253705056</v>
      </c>
      <c r="G26" s="106">
        <f>SUM(G24:G25)</f>
        <v>0</v>
      </c>
      <c r="H26" s="107">
        <f t="shared" si="2"/>
        <v>3777035.5415378371</v>
      </c>
    </row>
    <row r="27" spans="2:8" ht="15.75" outlineLevel="1" thickBot="1">
      <c r="B27" s="109" t="str">
        <f>"Net reinsurance contract assets / (liabilities) as at "&amp;YEAR(ReportingDate_Current)&amp;"/"&amp;MONTH(ReportingDate_Current)&amp;"/"&amp;DAY(ReportingDate_Current)</f>
        <v>Net reinsurance contract assets / (liabilities) as at 2023/6/30</v>
      </c>
      <c r="C27" s="110">
        <f>SUM(C8,C22,C26)</f>
        <v>0</v>
      </c>
      <c r="D27" s="110">
        <f>SUM(D8,D22,D26)</f>
        <v>0</v>
      </c>
      <c r="E27" s="110">
        <f>SUM(E8,E22,E26)</f>
        <v>0</v>
      </c>
      <c r="F27" s="110">
        <f>SUM(F8,F22,F26)</f>
        <v>437659.15144994389</v>
      </c>
      <c r="G27" s="110">
        <f>SUM(G8,G22,G26)</f>
        <v>0</v>
      </c>
      <c r="H27" s="111">
        <f t="shared" si="2"/>
        <v>437659.15144994389</v>
      </c>
    </row>
    <row r="28" spans="2:8" outlineLevel="1">
      <c r="B28" s="92" t="str">
        <f>"Reinsurance contract assets as at "&amp;YEAR(ReportingDate_Current)&amp;"/"&amp;MONTH(ReportingDate_Current)&amp;"/"&amp;DAY(ReportingDate_Current)</f>
        <v>Reinsurance contract assets as at 2023/6/30</v>
      </c>
      <c r="C28" s="90">
        <f>SUM([1]R_Disclosures_Master!H34:H34)</f>
        <v>0</v>
      </c>
      <c r="D28" s="90">
        <f>SUM([1]R_Disclosures_Master!I34:L34)</f>
        <v>0</v>
      </c>
      <c r="E28" s="90">
        <f>SUM([1]R_Disclosures_Master!M34:M34)</f>
        <v>0</v>
      </c>
      <c r="F28" s="90">
        <f>SUM([1]R_Disclosures_Master!N34:P34)</f>
        <v>437659.15144994436</v>
      </c>
      <c r="G28" s="90">
        <f>SUM([1]R_Disclosures_Master!Q34:R34)</f>
        <v>0</v>
      </c>
      <c r="H28" s="91">
        <f t="shared" si="2"/>
        <v>437659.15144994436</v>
      </c>
    </row>
    <row r="29" spans="2:8" outlineLevel="1">
      <c r="B29" s="92" t="str">
        <f>"Reinsurance contract liabilities as at "&amp;YEAR(ReportingDate_Current)&amp;"/"&amp;MONTH(ReportingDate_Current)&amp;"/"&amp;DAY(ReportingDate_Current)</f>
        <v>Reinsurance contract liabilities as at 2023/6/30</v>
      </c>
      <c r="C29" s="93">
        <f>SUM([1]R_Disclosures_Master!H35:H35)</f>
        <v>0</v>
      </c>
      <c r="D29" s="93">
        <f>SUM([1]R_Disclosures_Master!I35:L35)</f>
        <v>0</v>
      </c>
      <c r="E29" s="93">
        <f>SUM([1]R_Disclosures_Master!M35:M35)</f>
        <v>0</v>
      </c>
      <c r="F29" s="93">
        <f>SUM([1]R_Disclosures_Master!N35:P35)</f>
        <v>0</v>
      </c>
      <c r="G29" s="93">
        <f>SUM([1]R_Disclosures_Master!Q35:R35)</f>
        <v>0</v>
      </c>
      <c r="H29" s="94">
        <f t="shared" si="2"/>
        <v>0</v>
      </c>
    </row>
    <row r="30" spans="2:8" ht="15.75" outlineLevel="1" thickBot="1">
      <c r="B30" s="109" t="str">
        <f>"Net reinsurance contract assets/(liabilities) as at "&amp;YEAR(ReportingDate_Current)&amp;"/"&amp;MONTH(ReportingDate_Current)&amp;"/"&amp;DAY(ReportingDate_Current)</f>
        <v>Net reinsurance contract assets/(liabilities) as at 2023/6/30</v>
      </c>
      <c r="C30" s="110">
        <f t="shared" ref="C30" si="4">SUM(C28:C29)</f>
        <v>0</v>
      </c>
      <c r="D30" s="110">
        <f t="shared" ref="D30:E30" si="5">SUM(D28:D29)</f>
        <v>0</v>
      </c>
      <c r="E30" s="110">
        <f t="shared" si="5"/>
        <v>0</v>
      </c>
      <c r="F30" s="110">
        <f>SUM(F28:F29)</f>
        <v>437659.15144994436</v>
      </c>
      <c r="G30" s="110">
        <f>SUM(G28:G29)</f>
        <v>0</v>
      </c>
      <c r="H30" s="111">
        <f t="shared" si="2"/>
        <v>437659.15144994436</v>
      </c>
    </row>
    <row r="32" spans="2:8">
      <c r="B32" s="83" t="s">
        <v>96</v>
      </c>
      <c r="C32"/>
    </row>
    <row r="33" spans="2:3" outlineLevel="1">
      <c r="C33" s="114">
        <f>ReportingDate_Current</f>
        <v>45107</v>
      </c>
    </row>
    <row r="34" spans="2:3" outlineLevel="1">
      <c r="B34" s="89" t="s">
        <v>97</v>
      </c>
      <c r="C34" s="91"/>
    </row>
    <row r="35" spans="2:3" outlineLevel="1">
      <c r="B35" s="108" t="s">
        <v>50</v>
      </c>
      <c r="C35" s="94">
        <f>SUM([1]R_Disclosures_Master!I15:R15)</f>
        <v>13411.466059969527</v>
      </c>
    </row>
    <row r="36" spans="2:3" outlineLevel="1">
      <c r="B36" s="108" t="s">
        <v>29</v>
      </c>
      <c r="C36" s="94">
        <f>SUM([1]R_Disclosures_Master!I17:R18)</f>
        <v>-2339.3847178914075</v>
      </c>
    </row>
    <row r="37" spans="2:3" outlineLevel="1">
      <c r="B37" s="108" t="s">
        <v>98</v>
      </c>
      <c r="C37" s="94">
        <f>SUM([1]R_Disclosures_Master!I19:R19)</f>
        <v>0</v>
      </c>
    </row>
    <row r="38" spans="2:3" outlineLevel="1">
      <c r="B38" s="108" t="s">
        <v>30</v>
      </c>
      <c r="C38" s="94">
        <f>SUM([1]R_Disclosures_Master!H21:R22)</f>
        <v>0</v>
      </c>
    </row>
    <row r="39" spans="2:3" outlineLevel="1">
      <c r="B39" s="95" t="s">
        <v>99</v>
      </c>
      <c r="C39" s="97">
        <f>SUM(C35:C38)</f>
        <v>11072.08134207812</v>
      </c>
    </row>
    <row r="40" spans="2:3" outlineLevel="1">
      <c r="B40" s="92" t="s">
        <v>60</v>
      </c>
      <c r="C40" s="94">
        <f>SUM([1]R_Disclosures_Master!I15:R15,[1]R_Disclosures_Master!I17:R17,[1]R_Disclosures_Master!I19:R19,[1]R_Disclosures_Master!H21:R21)</f>
        <v>11072.08134207812</v>
      </c>
    </row>
    <row r="41" spans="2:3" outlineLevel="1">
      <c r="B41" s="115" t="s">
        <v>61</v>
      </c>
      <c r="C41" s="116">
        <f>SUM([1]R_Disclosures_Master!I18:R18,[1]R_Disclosures_Master!H22:R22)</f>
        <v>0</v>
      </c>
    </row>
  </sheetData>
  <protectedRanges>
    <protectedRange sqref="C1" name="ReportingSegments"/>
  </protectedRanges>
  <mergeCells count="4">
    <mergeCell ref="C4:C5"/>
    <mergeCell ref="D4:E4"/>
    <mergeCell ref="F4:G4"/>
    <mergeCell ref="H4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1C0E-7370-431C-A06B-D2627717A48F}">
  <sheetPr codeName="Sheet77">
    <tabColor rgb="FFFFE600"/>
    <outlinePr summaryBelow="0" summaryRight="0"/>
  </sheetPr>
  <dimension ref="A1:S40"/>
  <sheetViews>
    <sheetView zoomScale="70" zoomScaleNormal="70" workbookViewId="0">
      <selection activeCell="I5" sqref="I5"/>
    </sheetView>
  </sheetViews>
  <sheetFormatPr defaultColWidth="8.42578125" defaultRowHeight="12" outlineLevelRow="1" outlineLevelCol="1"/>
  <cols>
    <col min="1" max="1" width="4.42578125" style="4" bestFit="1" customWidth="1"/>
    <col min="2" max="2" width="4.42578125" style="4" customWidth="1"/>
    <col min="3" max="3" width="6.42578125" style="4" bestFit="1" customWidth="1"/>
    <col min="4" max="5" width="8.42578125" style="4"/>
    <col min="6" max="6" width="50.42578125" style="4" customWidth="1"/>
    <col min="7" max="7" width="20.42578125" style="79" customWidth="1" outlineLevel="1"/>
    <col min="8" max="19" width="20.42578125" style="4" customWidth="1"/>
    <col min="20" max="16384" width="8.42578125" style="4"/>
  </cols>
  <sheetData>
    <row r="1" spans="1:19">
      <c r="A1" s="1" t="s">
        <v>0</v>
      </c>
      <c r="B1" s="1"/>
      <c r="C1" s="1"/>
      <c r="D1" s="1"/>
      <c r="E1" s="1"/>
      <c r="F1" s="1"/>
      <c r="G1" s="2" t="s">
        <v>1</v>
      </c>
      <c r="H1" s="3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1"/>
      <c r="B2" s="1"/>
      <c r="C2" s="1"/>
      <c r="D2" s="1"/>
      <c r="E2" s="1"/>
      <c r="F2" s="1"/>
      <c r="G2" s="5"/>
      <c r="H2" s="6" t="s">
        <v>3</v>
      </c>
      <c r="I2" s="7"/>
      <c r="J2" s="7"/>
      <c r="K2" s="7"/>
      <c r="L2" s="7"/>
      <c r="M2" s="7"/>
      <c r="N2" s="8" t="s">
        <v>4</v>
      </c>
      <c r="O2" s="8"/>
      <c r="P2" s="8"/>
      <c r="Q2" s="8"/>
      <c r="R2" s="8"/>
      <c r="S2" s="9" t="s">
        <v>5</v>
      </c>
    </row>
    <row r="3" spans="1:19" ht="14.45" customHeight="1">
      <c r="A3" s="1"/>
      <c r="B3" s="1"/>
      <c r="C3" s="1"/>
      <c r="D3" s="1"/>
      <c r="E3" s="1"/>
      <c r="F3" s="1"/>
      <c r="G3" s="5"/>
      <c r="H3" s="6" t="s">
        <v>6</v>
      </c>
      <c r="I3" s="7"/>
      <c r="J3" s="7"/>
      <c r="K3" s="7"/>
      <c r="L3" s="10"/>
      <c r="M3" s="9" t="s">
        <v>7</v>
      </c>
      <c r="N3" s="6" t="s">
        <v>8</v>
      </c>
      <c r="O3" s="7"/>
      <c r="P3" s="10"/>
      <c r="Q3" s="6" t="s">
        <v>9</v>
      </c>
      <c r="R3" s="10"/>
      <c r="S3" s="11"/>
    </row>
    <row r="4" spans="1:19" ht="24">
      <c r="A4" s="1"/>
      <c r="B4" s="1"/>
      <c r="C4" s="1"/>
      <c r="D4" s="1"/>
      <c r="E4" s="1"/>
      <c r="F4" s="1"/>
      <c r="G4" s="12"/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4"/>
      <c r="N4" s="13" t="s">
        <v>15</v>
      </c>
      <c r="O4" s="13" t="s">
        <v>16</v>
      </c>
      <c r="P4" s="13" t="s">
        <v>17</v>
      </c>
      <c r="Q4" s="13" t="s">
        <v>16</v>
      </c>
      <c r="R4" s="13" t="s">
        <v>17</v>
      </c>
      <c r="S4" s="14"/>
    </row>
    <row r="5" spans="1:19" s="19" customFormat="1" outlineLevel="1">
      <c r="A5" s="15"/>
      <c r="B5" s="16"/>
      <c r="C5" s="16"/>
      <c r="D5" s="16" t="s">
        <v>1</v>
      </c>
      <c r="E5" s="16"/>
      <c r="F5" s="16"/>
      <c r="G5" s="17"/>
      <c r="H5" s="18" t="str">
        <f>[1]MetaData!$J$10</f>
        <v>1213000</v>
      </c>
      <c r="I5" s="18" t="str">
        <f>[1]MetaData!$J$5</f>
        <v>1211100</v>
      </c>
      <c r="J5" s="18" t="str">
        <f>[1]MetaData!$J$6</f>
        <v>1211200</v>
      </c>
      <c r="K5" s="18" t="str">
        <f>[1]MetaData!$J$7</f>
        <v>1211300</v>
      </c>
      <c r="L5" s="18" t="str">
        <f>[1]MetaData!$J$8</f>
        <v>1211400</v>
      </c>
      <c r="M5" s="18" t="str">
        <f>[1]MetaData!$J$9</f>
        <v>1212000</v>
      </c>
      <c r="N5" s="18" t="str">
        <f>[1]MetaData!$J$13</f>
        <v>1222110</v>
      </c>
      <c r="O5" s="18" t="str">
        <f>[1]MetaData!$J$11</f>
        <v>1221110</v>
      </c>
      <c r="P5" s="18" t="str">
        <f>[1]MetaData!$J$12</f>
        <v>1221120</v>
      </c>
      <c r="Q5" s="18" t="str">
        <f>[1]MetaData!$J$14</f>
        <v>1223110</v>
      </c>
      <c r="R5" s="18" t="str">
        <f>[1]MetaData!$J$15</f>
        <v>1223120</v>
      </c>
      <c r="S5" s="18">
        <f>[1]MetaData!$J$4</f>
        <v>1100000</v>
      </c>
    </row>
    <row r="6" spans="1:19" s="24" customFormat="1">
      <c r="A6" s="20"/>
      <c r="B6" s="21"/>
      <c r="C6" s="21"/>
      <c r="D6" s="21" t="s">
        <v>18</v>
      </c>
      <c r="E6" s="21"/>
      <c r="F6" s="21"/>
      <c r="G6" s="22"/>
      <c r="H6" s="23">
        <f>-SUMIFS([1]!Outputs_TB[Amount],[1]!Outputs_TB[Date],ReportingDate_Previous,[1]!Outputs_TB[Asset / Liability],"Asset",[1]!Outputs_TB[Reporting Segment],IF(ReportingSegment_I&lt;&gt;"Total",ReportingSegment_I,"&lt;&gt;###"),[1]!Outputs_TB[Account Code],H$5)</f>
        <v>0</v>
      </c>
      <c r="I6" s="23">
        <f>-SUMIFS([1]!Outputs_TB[Amount],[1]!Outputs_TB[Date],ReportingDate_Previous,[1]!Outputs_TB[Asset / Liability],"Asset",[1]!Outputs_TB[Reporting Segment],IF(ReportingSegment_I&lt;&gt;"Total",ReportingSegment_I,"&lt;&gt;###"),[1]!Outputs_TB[Account Code],I$5)</f>
        <v>0</v>
      </c>
      <c r="J6" s="23">
        <f>-SUMIFS([1]!Outputs_TB[Amount],[1]!Outputs_TB[Date],ReportingDate_Previous,[1]!Outputs_TB[Asset / Liability],"Asset",[1]!Outputs_TB[Reporting Segment],IF(ReportingSegment_I&lt;&gt;"Total",ReportingSegment_I,"&lt;&gt;###"),[1]!Outputs_TB[Account Code],J$5)</f>
        <v>0</v>
      </c>
      <c r="K6" s="23">
        <f>-SUMIFS([1]!Outputs_TB[Amount],[1]!Outputs_TB[Date],ReportingDate_Previous,[1]!Outputs_TB[Asset / Liability],"Asset",[1]!Outputs_TB[Reporting Segment],IF(ReportingSegment_I&lt;&gt;"Total",ReportingSegment_I,"&lt;&gt;###"),[1]!Outputs_TB[Account Code],K$5)</f>
        <v>0</v>
      </c>
      <c r="L6" s="23">
        <f>-SUMIFS([1]!Outputs_TB[Amount],[1]!Outputs_TB[Date],ReportingDate_Previous,[1]!Outputs_TB[Asset / Liability],"Asset",[1]!Outputs_TB[Reporting Segment],IF(ReportingSegment_I&lt;&gt;"Total",ReportingSegment_I,"&lt;&gt;###"),[1]!Outputs_TB[Account Code],L$5)</f>
        <v>0</v>
      </c>
      <c r="M6" s="23">
        <f>-SUMIFS([1]!Outputs_TB[Amount],[1]!Outputs_TB[Date],ReportingDate_Previous,[1]!Outputs_TB[Asset / Liability],"Asset",[1]!Outputs_TB[Reporting Segment],IF(ReportingSegment_I&lt;&gt;"Total",ReportingSegment_I,"&lt;&gt;###"),[1]!Outputs_TB[Account Code],M$5)</f>
        <v>0</v>
      </c>
      <c r="N6" s="23">
        <f>-SUMIFS([1]!Outputs_TB[Amount],[1]!Outputs_TB[Date],ReportingDate_Previous,[1]!Outputs_TB[Asset / Liability],"Asset",[1]!Outputs_TB[Reporting Segment],IF(ReportingSegment_I&lt;&gt;"Total",ReportingSegment_I,"&lt;&gt;###"),[1]!Outputs_TB[Account Code],N$5)</f>
        <v>0</v>
      </c>
      <c r="O6" s="23">
        <f>-SUMIFS([1]!Outputs_TB[Amount],[1]!Outputs_TB[Date],ReportingDate_Previous,[1]!Outputs_TB[Asset / Liability],"Asset",[1]!Outputs_TB[Reporting Segment],IF(ReportingSegment_I&lt;&gt;"Total",ReportingSegment_I,"&lt;&gt;###"),[1]!Outputs_TB[Account Code],O$5)</f>
        <v>0</v>
      </c>
      <c r="P6" s="23">
        <f>-SUMIFS([1]!Outputs_TB[Amount],[1]!Outputs_TB[Date],ReportingDate_Previous,[1]!Outputs_TB[Asset / Liability],"Asset",[1]!Outputs_TB[Reporting Segment],IF(ReportingSegment_I&lt;&gt;"Total",ReportingSegment_I,"&lt;&gt;###"),[1]!Outputs_TB[Account Code],P$5)</f>
        <v>0</v>
      </c>
      <c r="Q6" s="23">
        <f>-SUMIFS([1]!Outputs_TB[Amount],[1]!Outputs_TB[Date],ReportingDate_Previous,[1]!Outputs_TB[Asset / Liability],"Asset",[1]!Outputs_TB[Reporting Segment],IF(ReportingSegment_I&lt;&gt;"Total",ReportingSegment_I,"&lt;&gt;###"),[1]!Outputs_TB[Account Code],Q$5)</f>
        <v>0</v>
      </c>
      <c r="R6" s="23">
        <f>-SUMIFS([1]!Outputs_TB[Amount],[1]!Outputs_TB[Date],ReportingDate_Previous,[1]!Outputs_TB[Asset / Liability],"Asset",[1]!Outputs_TB[Reporting Segment],IF(ReportingSegment_I&lt;&gt;"Total",ReportingSegment_I,"&lt;&gt;###"),[1]!Outputs_TB[Account Code],R$5)</f>
        <v>0</v>
      </c>
      <c r="S6" s="23"/>
    </row>
    <row r="7" spans="1:19" s="24" customFormat="1">
      <c r="A7" s="20"/>
      <c r="B7" s="21"/>
      <c r="C7" s="21"/>
      <c r="D7" s="21" t="s">
        <v>19</v>
      </c>
      <c r="E7" s="21"/>
      <c r="F7" s="21"/>
      <c r="G7" s="22"/>
      <c r="H7" s="23">
        <f>SUMIFS([1]!Outputs_TB[Amount],[1]!Outputs_TB[Date],ReportingDate_Previous,[1]!Outputs_TB[Asset / Liability],"Liability",[1]!Outputs_TB[Reporting Segment],IF(ReportingSegment_I&lt;&gt;"Total",ReportingSegment_I,"&lt;&gt;###"),[1]!Outputs_TB[Account Code],H$5)</f>
        <v>0</v>
      </c>
      <c r="I7" s="23">
        <f>SUMIFS([1]!Outputs_TB[Amount],[1]!Outputs_TB[Date],ReportingDate_Previous,[1]!Outputs_TB[Asset / Liability],"Liability",[1]!Outputs_TB[Reporting Segment],IF(ReportingSegment_I&lt;&gt;"Total",ReportingSegment_I,"&lt;&gt;###"),[1]!Outputs_TB[Account Code],I$5)</f>
        <v>0</v>
      </c>
      <c r="J7" s="23">
        <f>SUMIFS([1]!Outputs_TB[Amount],[1]!Outputs_TB[Date],ReportingDate_Previous,[1]!Outputs_TB[Asset / Liability],"Liability",[1]!Outputs_TB[Reporting Segment],IF(ReportingSegment_I&lt;&gt;"Total",ReportingSegment_I,"&lt;&gt;###"),[1]!Outputs_TB[Account Code],J$5)</f>
        <v>0</v>
      </c>
      <c r="K7" s="23">
        <f>SUMIFS([1]!Outputs_TB[Amount],[1]!Outputs_TB[Date],ReportingDate_Previous,[1]!Outputs_TB[Asset / Liability],"Liability",[1]!Outputs_TB[Reporting Segment],IF(ReportingSegment_I&lt;&gt;"Total",ReportingSegment_I,"&lt;&gt;###"),[1]!Outputs_TB[Account Code],K$5)</f>
        <v>0</v>
      </c>
      <c r="L7" s="23">
        <f>SUMIFS([1]!Outputs_TB[Amount],[1]!Outputs_TB[Date],ReportingDate_Previous,[1]!Outputs_TB[Asset / Liability],"Liability",[1]!Outputs_TB[Reporting Segment],IF(ReportingSegment_I&lt;&gt;"Total",ReportingSegment_I,"&lt;&gt;###"),[1]!Outputs_TB[Account Code],L$5)</f>
        <v>0</v>
      </c>
      <c r="M7" s="23">
        <f>SUMIFS([1]!Outputs_TB[Amount],[1]!Outputs_TB[Date],ReportingDate_Previous,[1]!Outputs_TB[Asset / Liability],"Liability",[1]!Outputs_TB[Reporting Segment],IF(ReportingSegment_I&lt;&gt;"Total",ReportingSegment_I,"&lt;&gt;###"),[1]!Outputs_TB[Account Code],M$5)</f>
        <v>0</v>
      </c>
      <c r="N7" s="23">
        <f>SUMIFS([1]!Outputs_TB[Amount],[1]!Outputs_TB[Date],ReportingDate_Previous,[1]!Outputs_TB[Asset / Liability],"Liability",[1]!Outputs_TB[Reporting Segment],IF(ReportingSegment_I&lt;&gt;"Total",ReportingSegment_I,"&lt;&gt;###"),[1]!Outputs_TB[Account Code],N$5)</f>
        <v>0</v>
      </c>
      <c r="O7" s="23">
        <f>SUMIFS([1]!Outputs_TB[Amount],[1]!Outputs_TB[Date],ReportingDate_Previous,[1]!Outputs_TB[Asset / Liability],"Liability",[1]!Outputs_TB[Reporting Segment],IF(ReportingSegment_I&lt;&gt;"Total",ReportingSegment_I,"&lt;&gt;###"),[1]!Outputs_TB[Account Code],O$5)</f>
        <v>1626695.7672411359</v>
      </c>
      <c r="P7" s="23">
        <f>SUMIFS([1]!Outputs_TB[Amount],[1]!Outputs_TB[Date],ReportingDate_Previous,[1]!Outputs_TB[Asset / Liability],"Liability",[1]!Outputs_TB[Reporting Segment],IF(ReportingSegment_I&lt;&gt;"Total",ReportingSegment_I,"&lt;&gt;###"),[1]!Outputs_TB[Account Code],P$5)</f>
        <v>0</v>
      </c>
      <c r="Q7" s="23">
        <f>SUMIFS([1]!Outputs_TB[Amount],[1]!Outputs_TB[Date],ReportingDate_Previous,[1]!Outputs_TB[Asset / Liability],"Liability",[1]!Outputs_TB[Reporting Segment],IF(ReportingSegment_I&lt;&gt;"Total",ReportingSegment_I,"&lt;&gt;###"),[1]!Outputs_TB[Account Code],Q$5)</f>
        <v>81334.788362056803</v>
      </c>
      <c r="R7" s="23">
        <f>SUMIFS([1]!Outputs_TB[Amount],[1]!Outputs_TB[Date],ReportingDate_Previous,[1]!Outputs_TB[Asset / Liability],"Liability",[1]!Outputs_TB[Reporting Segment],IF(ReportingSegment_I&lt;&gt;"Total",ReportingSegment_I,"&lt;&gt;###"),[1]!Outputs_TB[Account Code],R$5)</f>
        <v>0</v>
      </c>
      <c r="S7" s="23"/>
    </row>
    <row r="8" spans="1:19">
      <c r="A8" s="20"/>
      <c r="B8" s="21"/>
      <c r="C8" s="21"/>
      <c r="D8" s="25" t="s">
        <v>20</v>
      </c>
      <c r="E8" s="26"/>
      <c r="F8" s="27"/>
      <c r="G8" s="28"/>
      <c r="H8" s="29">
        <f>SUM(H6:H7)</f>
        <v>0</v>
      </c>
      <c r="I8" s="29">
        <f t="shared" ref="I8:R8" si="0">SUM(I6:I7)</f>
        <v>0</v>
      </c>
      <c r="J8" s="29">
        <f t="shared" si="0"/>
        <v>0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1626695.7672411359</v>
      </c>
      <c r="P8" s="29">
        <f t="shared" si="0"/>
        <v>0</v>
      </c>
      <c r="Q8" s="29">
        <f t="shared" si="0"/>
        <v>81334.788362056803</v>
      </c>
      <c r="R8" s="29">
        <f t="shared" si="0"/>
        <v>0</v>
      </c>
      <c r="S8" s="23"/>
    </row>
    <row r="9" spans="1:19" ht="12.6" customHeight="1">
      <c r="A9" s="30" t="s">
        <v>21</v>
      </c>
      <c r="B9" s="31" t="s">
        <v>22</v>
      </c>
      <c r="C9" s="32" t="s">
        <v>23</v>
      </c>
      <c r="D9" s="33" t="str">
        <f>INDEX([1]!MetaData_AccountCodes[Workbook Ref],MATCH(I_Disclosures_Master!$G9,[1]!MetaData_AccountCodes[Account Code],0))</f>
        <v>Insurance Revenue</v>
      </c>
      <c r="E9" s="33"/>
      <c r="F9" s="33"/>
      <c r="G9" s="34" t="str">
        <f>[1]MetaData!$J$27</f>
        <v>2110000</v>
      </c>
      <c r="H9" s="35"/>
      <c r="I9" s="36">
        <f>SUMIFS([1]!Outputs_SL[Amount],[1]!Outputs_SL[Date],"&lt;="&amp;ReportingDate_Current,[1]!Outputs_SL[Date],"&gt;"&amp;ReportingDate_Previous,[1]!Outputs_SL[CR Account Code],I$5,[1]!Outputs_SL[DR Account Code],$G9,[1]!Outputs_SL[Reporting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Code],$G9,[1]!Outputs_SL[Reporting Segment],IF(ReportingSegment_I&lt;&gt;"Total",ReportingSegment_I,"&lt;&gt;###"))</f>
        <v>-23492357.252800003</v>
      </c>
      <c r="J9" s="35"/>
      <c r="K9" s="35"/>
      <c r="L9" s="35"/>
      <c r="M9" s="35"/>
      <c r="N9" s="35"/>
      <c r="O9" s="35"/>
      <c r="P9" s="35"/>
      <c r="Q9" s="35"/>
      <c r="R9" s="35"/>
      <c r="S9" s="23"/>
    </row>
    <row r="10" spans="1:19">
      <c r="A10" s="37"/>
      <c r="B10" s="38"/>
      <c r="C10" s="39"/>
      <c r="D10" s="40" t="s">
        <v>24</v>
      </c>
      <c r="E10" s="40"/>
      <c r="F10" s="40"/>
      <c r="G10" s="40"/>
      <c r="H10" s="41"/>
      <c r="I10" s="42"/>
      <c r="J10" s="41"/>
      <c r="K10" s="41"/>
      <c r="L10" s="41"/>
      <c r="M10" s="41"/>
      <c r="N10" s="41"/>
      <c r="O10" s="41"/>
      <c r="P10" s="41"/>
      <c r="Q10" s="41"/>
      <c r="R10" s="41"/>
      <c r="S10" s="23"/>
    </row>
    <row r="11" spans="1:19">
      <c r="A11" s="37"/>
      <c r="B11" s="38"/>
      <c r="C11" s="39"/>
      <c r="D11" s="33"/>
      <c r="E11" s="33" t="str">
        <f>INDEX([1]!MetaData_AccountCodes[Workbook Ref],MATCH(I_Disclosures_Master!$G11,[1]!MetaData_AccountCodes[Account Code],0))</f>
        <v>Incurred claims and other expenses</v>
      </c>
      <c r="F11" s="33"/>
      <c r="G11" s="34" t="str">
        <f>[1]MetaData!$J$28</f>
        <v>2121000</v>
      </c>
      <c r="H11" s="23"/>
      <c r="I11" s="43"/>
      <c r="J11" s="23"/>
      <c r="K11" s="23"/>
      <c r="L11" s="23"/>
      <c r="M11" s="36">
        <f>SUMIFS([1]!Outputs_SL[Amount],[1]!Outputs_SL[Date],"&lt;="&amp;ReportingDate_Current,[1]!Outputs_SL[Date],"&gt;"&amp;ReportingDate_Previous,[1]!Outputs_SL[CR Account Code],M$5,[1]!Outputs_SL[DR Account Code],$G11,[1]!Outputs_SL[Reporting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Code],$G11,[1]!Outputs_SL[Reporting Segment],IF(ReportingSegment_I&lt;&gt;"Total",ReportingSegment_I,"&lt;&gt;###"))</f>
        <v>0</v>
      </c>
      <c r="N11" s="23"/>
      <c r="O11" s="36">
        <f>SUMIFS([1]!Outputs_SL[Amount],[1]!Outputs_SL[Date],"&lt;="&amp;ReportingDate_Current,[1]!Outputs_SL[Date],"&gt;"&amp;ReportingDate_Previous,[1]!Outputs_SL[CR Account Code],O$5,[1]!Outputs_SL[DR Account Code],$G11,[1]!Outputs_SL[Reporting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Code],$G11,[1]!Outputs_SL[Reporting Segment],IF(ReportingSegment_I&lt;&gt;"Total",ReportingSegment_I,"&lt;&gt;###"))</f>
        <v>12041338.239966534</v>
      </c>
      <c r="P11" s="36">
        <f>SUMIFS([1]!Outputs_SL[Amount],[1]!Outputs_SL[Date],"&lt;="&amp;ReportingDate_Current,[1]!Outputs_SL[Date],"&gt;"&amp;ReportingDate_Previous,[1]!Outputs_SL[CR Account Code],P$5,[1]!Outputs_SL[DR Account Code],$G11,[1]!Outputs_SL[Reporting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Code],$G11,[1]!Outputs_SL[Reporting Segment],IF(ReportingSegment_I&lt;&gt;"Total",ReportingSegment_I,"&lt;&gt;###"))</f>
        <v>0</v>
      </c>
      <c r="Q11" s="36">
        <f>SUMIFS([1]!Outputs_SL[Amount],[1]!Outputs_SL[Date],"&lt;="&amp;ReportingDate_Current,[1]!Outputs_SL[Date],"&gt;"&amp;ReportingDate_Previous,[1]!Outputs_SL[CR Account Code],Q$5,[1]!Outputs_SL[DR Account Code],$G11,[1]!Outputs_SL[Reporting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Code],$G11,[1]!Outputs_SL[Reporting Segment],IF(ReportingSegment_I&lt;&gt;"Total",ReportingSegment_I,"&lt;&gt;###"))</f>
        <v>29380.20129832661</v>
      </c>
      <c r="R11" s="36">
        <f>SUMIFS([1]!Outputs_SL[Amount],[1]!Outputs_SL[Date],"&lt;="&amp;ReportingDate_Current,[1]!Outputs_SL[Date],"&gt;"&amp;ReportingDate_Previous,[1]!Outputs_SL[CR Account Code],R$5,[1]!Outputs_SL[DR Account Code],$G11,[1]!Outputs_SL[Reporting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Code],$G11,[1]!Outputs_SL[Reporting Segment],IF(ReportingSegment_I&lt;&gt;"Total",ReportingSegment_I,"&lt;&gt;###"))</f>
        <v>0</v>
      </c>
      <c r="S11" s="23"/>
    </row>
    <row r="12" spans="1:19">
      <c r="A12" s="37"/>
      <c r="B12" s="38"/>
      <c r="C12" s="39"/>
      <c r="D12" s="33"/>
      <c r="E12" s="33" t="str">
        <f>INDEX([1]!MetaData_AccountCodes[Workbook Ref],MATCH(I_Disclosures_Master!$G12,[1]!MetaData_AccountCodes[Account Code],0))</f>
        <v>Amortisation of insurance acquisition cash flows</v>
      </c>
      <c r="F12" s="33"/>
      <c r="G12" s="34" t="str">
        <f>[1]MetaData!$J$29</f>
        <v>2122000</v>
      </c>
      <c r="H12" s="36">
        <f>SUMIFS([1]!Outputs_SL[Amount],[1]!Outputs_SL[Date],"&lt;="&amp;ReportingDate_Current,[1]!Outputs_SL[Date],"&gt;"&amp;ReportingDate_Previous,[1]!Outputs_SL[CR Account Code],H$5,[1]!Outputs_SL[DR Account Code],$G12,[1]!Outputs_SL[Reporting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Code],$G12,[1]!Outputs_SL[Reporting Segment],IF(ReportingSegment_I&lt;&gt;"Total",ReportingSegment_I,"&lt;&gt;###"))</f>
        <v>0</v>
      </c>
      <c r="I12" s="23"/>
      <c r="J12" s="44"/>
      <c r="K12" s="36">
        <f>SUMIFS([1]!Outputs_SL[Amount],[1]!Outputs_SL[Date],"&lt;="&amp;ReportingDate_Current,[1]!Outputs_SL[Date],"&gt;"&amp;ReportingDate_Previous,[1]!Outputs_SL[CR Account Code],K$5,[1]!Outputs_SL[DR Account Code],$G12,[1]!Outputs_SL[Reporting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Code],$G12,[1]!Outputs_SL[Reporting Segment],IF(ReportingSegment_I&lt;&gt;"Total",ReportingSegment_I,"&lt;&gt;###"))</f>
        <v>9723782.5540552903</v>
      </c>
      <c r="L12" s="23"/>
      <c r="M12" s="23"/>
      <c r="N12" s="23"/>
      <c r="O12" s="23"/>
      <c r="P12" s="23"/>
      <c r="Q12" s="23"/>
      <c r="R12" s="23"/>
      <c r="S12" s="23"/>
    </row>
    <row r="13" spans="1:19">
      <c r="A13" s="37"/>
      <c r="B13" s="38"/>
      <c r="C13" s="39"/>
      <c r="D13" s="33"/>
      <c r="E13" s="33" t="str">
        <f>INDEX([1]!MetaData_AccountCodes[Workbook Ref],MATCH(I_Disclosures_Master!$G13,[1]!MetaData_AccountCodes[Account Code],0))</f>
        <v>Impairment of PRCF Asset</v>
      </c>
      <c r="F13" s="33"/>
      <c r="G13" s="34" t="str">
        <f>[1]MetaData!C191</f>
        <v>2123000</v>
      </c>
      <c r="H13" s="36">
        <f>SUMIFS([1]!Outputs_SL[Amount],[1]!Outputs_SL[Date],"&lt;="&amp;ReportingDate_Current,[1]!Outputs_SL[Date],"&gt;"&amp;ReportingDate_Previous,[1]!Outputs_SL[CR Account Code],H$5,[1]!Outputs_SL[DR Account Code],$G13,[1]!Outputs_SL[Reporting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Code],$G13,[1]!Outputs_SL[Reporting Segment],IF(ReportingSegment_I&lt;&gt;"Total",ReportingSegment_I,"&lt;&gt;###"))</f>
        <v>5873</v>
      </c>
      <c r="I13" s="23"/>
      <c r="J13" s="44"/>
      <c r="K13" s="44"/>
      <c r="L13" s="23"/>
      <c r="M13" s="23"/>
      <c r="N13" s="23"/>
      <c r="O13" s="23"/>
      <c r="P13" s="23"/>
      <c r="Q13" s="23"/>
      <c r="R13" s="23"/>
      <c r="S13" s="23"/>
    </row>
    <row r="14" spans="1:19">
      <c r="A14" s="37"/>
      <c r="B14" s="38"/>
      <c r="C14" s="45"/>
      <c r="D14" s="33"/>
      <c r="E14" s="33" t="str">
        <f>INDEX([1]!MetaData_AccountCodes[Workbook Ref],MATCH(I_Disclosures_Master!$G14,[1]!MetaData_AccountCodes[Account Code],0))</f>
        <v>Reversal of Impairment of PRCF Asset</v>
      </c>
      <c r="F14" s="33"/>
      <c r="G14" s="34" t="str">
        <f>[1]MetaData!C192</f>
        <v>2124000</v>
      </c>
      <c r="H14" s="36">
        <f>SUMIFS([1]!Outputs_SL[Amount],[1]!Outputs_SL[Date],"&lt;="&amp;ReportingDate_Current,[1]!Outputs_SL[Date],"&gt;"&amp;ReportingDate_Previous,[1]!Outputs_SL[CR Account Code],H$5,[1]!Outputs_SL[DR Account Code],$G14,[1]!Outputs_SL[Reporting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Code],$G14,[1]!Outputs_SL[Reporting Segment],IF(ReportingSegment_I&lt;&gt;"Total",ReportingSegment_I,"&lt;&gt;###"))</f>
        <v>-2936.5</v>
      </c>
      <c r="I14" s="23"/>
      <c r="J14" s="44"/>
      <c r="K14" s="44"/>
      <c r="L14" s="23"/>
      <c r="M14" s="23"/>
      <c r="N14" s="23"/>
      <c r="O14" s="23"/>
      <c r="P14" s="23"/>
      <c r="Q14" s="23"/>
      <c r="R14" s="23"/>
      <c r="S14" s="23"/>
    </row>
    <row r="15" spans="1:19" s="48" customFormat="1">
      <c r="A15" s="37"/>
      <c r="B15" s="38"/>
      <c r="C15" s="46" t="s">
        <v>25</v>
      </c>
      <c r="D15" s="47"/>
      <c r="E15" s="33" t="str">
        <f>INDEX([1]!MetaData_AccountCodes[Workbook Ref],MATCH(I_Disclosures_Master!$G15,[1]!MetaData_AccountCodes[Account Code],0))</f>
        <v>Losses on onerous contracts and reversals of those losses</v>
      </c>
      <c r="G15" s="34" t="str">
        <f>[1]MetaData!$J$32</f>
        <v>2125000</v>
      </c>
      <c r="I15" s="23"/>
      <c r="J15" s="44"/>
      <c r="L15" s="23"/>
      <c r="M15" s="49">
        <f>SUMIFS([1]!Outputs_SL[Amount],[1]!Outputs_SL[Date],"&lt;="&amp;ReportingDate_Current,[1]!Outputs_SL[Date],"&gt;"&amp;ReportingDate_Previous,[1]!Outputs_SL[CR Account Code],M$5,[1]!Outputs_SL[DR Account Code],$G15,[1]!Outputs_SL[Reporting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Code],$G15,[1]!Outputs_SL[Reporting Segment],IF(ReportingSegment_I&lt;&gt;"Total",ReportingSegment_I,"&lt;&gt;###"))</f>
        <v>0</v>
      </c>
      <c r="N15" s="23"/>
      <c r="O15" s="23"/>
      <c r="P15" s="23"/>
      <c r="Q15" s="23"/>
      <c r="R15" s="23"/>
      <c r="S15" s="50"/>
    </row>
    <row r="16" spans="1:19" s="48" customFormat="1">
      <c r="A16" s="37"/>
      <c r="B16" s="51"/>
      <c r="C16" s="52" t="s">
        <v>26</v>
      </c>
      <c r="D16" s="47"/>
      <c r="E16" s="33" t="str">
        <f>INDEX([1]!MetaData_AccountCodes[Workbook Ref],MATCH(I_Disclosures_Master!$G16,[1]!MetaData_AccountCodes[Account Code],0))</f>
        <v>Changes to liabilities for incurred claims</v>
      </c>
      <c r="F16" s="47"/>
      <c r="G16" s="34" t="str">
        <f>[1]MetaData!$J$33</f>
        <v>2126000</v>
      </c>
      <c r="H16" s="50"/>
      <c r="I16" s="50"/>
      <c r="J16" s="50"/>
      <c r="K16" s="50"/>
      <c r="L16" s="23"/>
      <c r="M16" s="50"/>
      <c r="O16" s="53">
        <f>SUMIFS([1]!Outputs_SL[Amount],[1]!Outputs_SL[Date],"&lt;="&amp;ReportingDate_Current,[1]!Outputs_SL[Date],"&gt;"&amp;ReportingDate_Previous,[1]!Outputs_SL[CR Account Code],O$5,[1]!Outputs_SL[DR Account Code],$G16,[1]!Outputs_SL[Reporting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Code],$G16,[1]!Outputs_SL[Reporting Segment],IF(ReportingSegment_I&lt;&gt;"Total",ReportingSegment_I,"&lt;&gt;###"))</f>
        <v>-1644603.2363942768</v>
      </c>
      <c r="P16" s="53">
        <f>SUMIFS([1]!Outputs_SL[Amount],[1]!Outputs_SL[Date],"&lt;="&amp;ReportingDate_Current,[1]!Outputs_SL[Date],"&gt;"&amp;ReportingDate_Previous,[1]!Outputs_SL[CR Account Code],P$5,[1]!Outputs_SL[DR Account Code],$G16,[1]!Outputs_SL[Reporting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Code],$G16,[1]!Outputs_SL[Reporting Segment],IF(ReportingSegment_I&lt;&gt;"Total",ReportingSegment_I,"&lt;&gt;###"))</f>
        <v>0</v>
      </c>
      <c r="Q16" s="53">
        <f>SUMIFS([1]!Outputs_SL[Amount],[1]!Outputs_SL[Date],"&lt;="&amp;ReportingDate_Current,[1]!Outputs_SL[Date],"&gt;"&amp;ReportingDate_Previous,[1]!Outputs_SL[CR Account Code],Q$5,[1]!Outputs_SL[DR Account Code],$G16,[1]!Outputs_SL[Reporting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Code],$G16,[1]!Outputs_SL[Reporting Segment],IF(ReportingSegment_I&lt;&gt;"Total",ReportingSegment_I,"&lt;&gt;###"))</f>
        <v>-81490.997049759477</v>
      </c>
      <c r="R16" s="53">
        <f>SUMIFS([1]!Outputs_SL[Amount],[1]!Outputs_SL[Date],"&lt;="&amp;ReportingDate_Current,[1]!Outputs_SL[Date],"&gt;"&amp;ReportingDate_Previous,[1]!Outputs_SL[CR Account Code],R$5,[1]!Outputs_SL[DR Account Code],$G16,[1]!Outputs_SL[Reporting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Code],$G16,[1]!Outputs_SL[Reporting Segment],IF(ReportingSegment_I&lt;&gt;"Total",ReportingSegment_I,"&lt;&gt;###"))</f>
        <v>0</v>
      </c>
      <c r="S16" s="50"/>
    </row>
    <row r="17" spans="1:19" ht="12.6" customHeight="1">
      <c r="A17" s="37"/>
      <c r="B17" s="54" t="s">
        <v>27</v>
      </c>
      <c r="C17" s="55"/>
      <c r="D17" s="40" t="s">
        <v>28</v>
      </c>
      <c r="E17" s="40"/>
      <c r="F17" s="40"/>
      <c r="G17" s="40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3"/>
    </row>
    <row r="18" spans="1:19">
      <c r="A18" s="37"/>
      <c r="B18" s="56"/>
      <c r="C18" s="57"/>
      <c r="D18" s="33"/>
      <c r="E18" s="33" t="str">
        <f>INDEX([1]!MetaData_AccountCodes[Workbook Ref],MATCH(I_Disclosures_Master!$G18,[1]!MetaData_AccountCodes[Account Code],0))</f>
        <v>Interest accreted</v>
      </c>
      <c r="F18" s="33"/>
      <c r="G18" s="34" t="str">
        <f>[1]MetaData!$J$38</f>
        <v>2310000</v>
      </c>
      <c r="H18" s="23"/>
      <c r="I18" s="58">
        <f>SUMIFS([1]!Outputs_SL[Amount],[1]!Outputs_SL[Date],"&lt;="&amp;ReportingDate_Current,[1]!Outputs_SL[Date],"&gt;"&amp;ReportingDate_Previous,[1]!Outputs_SL[CR Account Code],I$5,[1]!Outputs_SL[DR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Code],$G18,[1]!Outputs_SL[Reporting Segment],IF(ReportingSegment_I&lt;&gt;"Total",ReportingSegment_I,"&lt;&gt;###"))</f>
        <v>0</v>
      </c>
      <c r="J18" s="58">
        <f>SUMIFS([1]!Outputs_SL[Amount],[1]!Outputs_SL[Date],"&lt;="&amp;ReportingDate_Current,[1]!Outputs_SL[Date],"&gt;"&amp;ReportingDate_Previous,[1]!Outputs_SL[CR Account Code],J$5,[1]!Outputs_SL[DR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Code],$G18,[1]!Outputs_SL[Reporting Segment],IF(ReportingSegment_I&lt;&gt;"Total",ReportingSegment_I,"&lt;&gt;###"))</f>
        <v>0</v>
      </c>
      <c r="K18" s="58">
        <f>SUMIFS([1]!Outputs_SL[Amount],[1]!Outputs_SL[Date],"&lt;="&amp;ReportingDate_Current,[1]!Outputs_SL[Date],"&gt;"&amp;ReportingDate_Previous,[1]!Outputs_SL[CR Account Code],K$5,[1]!Outputs_SL[DR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Code],$G18,[1]!Outputs_SL[Reporting Segment],IF(ReportingSegment_I&lt;&gt;"Total",ReportingSegment_I,"&lt;&gt;###"))</f>
        <v>0</v>
      </c>
      <c r="L18" s="58">
        <f>SUMIFS([1]!Outputs_SL[Amount],[1]!Outputs_SL[Date],"&lt;="&amp;ReportingDate_Current,[1]!Outputs_SL[Date],"&gt;"&amp;ReportingDate_Previous,[1]!Outputs_SL[CR Account Code],L$5,[1]!Outputs_SL[DR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Code],$G18,[1]!Outputs_SL[Reporting Segment],IF(ReportingSegment_I&lt;&gt;"Total",ReportingSegment_I,"&lt;&gt;###"))</f>
        <v>0</v>
      </c>
      <c r="M18" s="58">
        <f>SUMIFS([1]!Outputs_SL[Amount],[1]!Outputs_SL[Date],"&lt;="&amp;ReportingDate_Current,[1]!Outputs_SL[Date],"&gt;"&amp;ReportingDate_Previous,[1]!Outputs_SL[CR Account Code],M$5,[1]!Outputs_SL[DR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Code],$G18,[1]!Outputs_SL[Reporting Segment],IF(ReportingSegment_I&lt;&gt;"Total",ReportingSegment_I,"&lt;&gt;###"))</f>
        <v>0</v>
      </c>
      <c r="N18" s="23"/>
      <c r="O18" s="58">
        <f>SUMIFS([1]!Outputs_SL[Amount],[1]!Outputs_SL[Date],"&lt;="&amp;ReportingDate_Current,[1]!Outputs_SL[Date],"&gt;"&amp;ReportingDate_Previous,[1]!Outputs_SL[CR Account Code],O$5,[1]!Outputs_SL[DR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Code],$G18,[1]!Outputs_SL[Reporting Segment],IF(ReportingSegment_I&lt;&gt;"Total",ReportingSegment_I,"&lt;&gt;###"))</f>
        <v>17907.469153140781</v>
      </c>
      <c r="P18" s="58">
        <f>SUMIFS([1]!Outputs_SL[Amount],[1]!Outputs_SL[Date],"&lt;="&amp;ReportingDate_Current,[1]!Outputs_SL[Date],"&gt;"&amp;ReportingDate_Previous,[1]!Outputs_SL[CR Account Code],P$5,[1]!Outputs_SL[DR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Code],$G18,[1]!Outputs_SL[Reporting Segment],IF(ReportingSegment_I&lt;&gt;"Total",ReportingSegment_I,"&lt;&gt;###"))</f>
        <v>0</v>
      </c>
      <c r="Q18" s="58">
        <f>SUMIFS([1]!Outputs_SL[Amount],[1]!Outputs_SL[Date],"&lt;="&amp;ReportingDate_Current,[1]!Outputs_SL[Date],"&gt;"&amp;ReportingDate_Previous,[1]!Outputs_SL[CR Account Code],Q$5,[1]!Outputs_SL[DR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Code],$G18,[1]!Outputs_SL[Reporting Segment],IF(ReportingSegment_I&lt;&gt;"Total",ReportingSegment_I,"&lt;&gt;###"))</f>
        <v>0</v>
      </c>
      <c r="R18" s="58">
        <f>SUMIFS([1]!Outputs_SL[Amount],[1]!Outputs_SL[Date],"&lt;="&amp;ReportingDate_Current,[1]!Outputs_SL[Date],"&gt;"&amp;ReportingDate_Previous,[1]!Outputs_SL[CR Account Code],R$5,[1]!Outputs_SL[DR Account Code],$G18,[1]!Outputs_SL[Reporting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Code],$G18,[1]!Outputs_SL[Reporting Segment],IF(ReportingSegment_I&lt;&gt;"Total",ReportingSegment_I,"&lt;&gt;###"))</f>
        <v>0</v>
      </c>
      <c r="S18" s="23"/>
    </row>
    <row r="19" spans="1:19">
      <c r="A19" s="37"/>
      <c r="B19" s="56"/>
      <c r="C19" s="57"/>
      <c r="D19" s="33"/>
      <c r="E19" s="40" t="s">
        <v>29</v>
      </c>
      <c r="F19" s="40"/>
      <c r="G19" s="59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23"/>
    </row>
    <row r="20" spans="1:19">
      <c r="A20" s="37"/>
      <c r="B20" s="56"/>
      <c r="C20" s="57"/>
      <c r="D20" s="33"/>
      <c r="E20" s="33"/>
      <c r="F20" s="33" t="str">
        <f>INDEX([1]!MetaData_AccountCodes[Workbook Ref],MATCH(I_Disclosures_Master!$G20,[1]!MetaData_AccountCodes[Account Code],0))</f>
        <v>Profit / loss</v>
      </c>
      <c r="G20" s="34" t="str">
        <f>[1]MetaData!$J$39</f>
        <v>2321000</v>
      </c>
      <c r="H20" s="23"/>
      <c r="I20" s="58">
        <f>SUMIFS([1]!Outputs_SL[Amount],[1]!Outputs_SL[Date],"&lt;="&amp;ReportingDate_Current,[1]!Outputs_SL[Date],"&gt;"&amp;ReportingDate_Previous,[1]!Outputs_SL[CR Account Code],I$5,[1]!Outputs_SL[DR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Code],$G20,[1]!Outputs_SL[Reporting Segment],IF(ReportingSegment_I&lt;&gt;"Total",ReportingSegment_I,"&lt;&gt;###"))</f>
        <v>0</v>
      </c>
      <c r="J20" s="58">
        <f>SUMIFS([1]!Outputs_SL[Amount],[1]!Outputs_SL[Date],"&lt;="&amp;ReportingDate_Current,[1]!Outputs_SL[Date],"&gt;"&amp;ReportingDate_Previous,[1]!Outputs_SL[CR Account Code],J$5,[1]!Outputs_SL[DR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Code],$G20,[1]!Outputs_SL[Reporting Segment],IF(ReportingSegment_I&lt;&gt;"Total",ReportingSegment_I,"&lt;&gt;###"))</f>
        <v>0</v>
      </c>
      <c r="K20" s="58">
        <f>SUMIFS([1]!Outputs_SL[Amount],[1]!Outputs_SL[Date],"&lt;="&amp;ReportingDate_Current,[1]!Outputs_SL[Date],"&gt;"&amp;ReportingDate_Previous,[1]!Outputs_SL[CR Account Code],K$5,[1]!Outputs_SL[DR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Code],$G20,[1]!Outputs_SL[Reporting Segment],IF(ReportingSegment_I&lt;&gt;"Total",ReportingSegment_I,"&lt;&gt;###"))</f>
        <v>0</v>
      </c>
      <c r="L20" s="58">
        <f>SUMIFS([1]!Outputs_SL[Amount],[1]!Outputs_SL[Date],"&lt;="&amp;ReportingDate_Current,[1]!Outputs_SL[Date],"&gt;"&amp;ReportingDate_Previous,[1]!Outputs_SL[CR Account Code],L$5,[1]!Outputs_SL[DR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Code],$G20,[1]!Outputs_SL[Reporting Segment],IF(ReportingSegment_I&lt;&gt;"Total",ReportingSegment_I,"&lt;&gt;###"))</f>
        <v>0</v>
      </c>
      <c r="M20" s="58">
        <f>SUMIFS([1]!Outputs_SL[Amount],[1]!Outputs_SL[Date],"&lt;="&amp;ReportingDate_Current,[1]!Outputs_SL[Date],"&gt;"&amp;ReportingDate_Previous,[1]!Outputs_SL[CR Account Code],M$5,[1]!Outputs_SL[DR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Code],$G20,[1]!Outputs_SL[Reporting Segment],IF(ReportingSegment_I&lt;&gt;"Total",ReportingSegment_I,"&lt;&gt;###"))</f>
        <v>0</v>
      </c>
      <c r="N20" s="23"/>
      <c r="O20" s="58">
        <f>SUMIFS([1]!Outputs_SL[Amount],[1]!Outputs_SL[Date],"&lt;="&amp;ReportingDate_Current,[1]!Outputs_SL[Date],"&gt;"&amp;ReportingDate_Previous,[1]!Outputs_SL[CR Account Code],O$5,[1]!Outputs_SL[DR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Code],$G20,[1]!Outputs_SL[Reporting Segment],IF(ReportingSegment_I&lt;&gt;"Total",ReportingSegment_I,"&lt;&gt;###"))</f>
        <v>-3124.1737540536851</v>
      </c>
      <c r="P20" s="58">
        <f>SUMIFS([1]!Outputs_SL[Amount],[1]!Outputs_SL[Date],"&lt;="&amp;ReportingDate_Current,[1]!Outputs_SL[Date],"&gt;"&amp;ReportingDate_Previous,[1]!Outputs_SL[CR Account Code],P$5,[1]!Outputs_SL[DR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Code],$G20,[1]!Outputs_SL[Reporting Segment],IF(ReportingSegment_I&lt;&gt;"Total",ReportingSegment_I,"&lt;&gt;###"))</f>
        <v>0</v>
      </c>
      <c r="Q20" s="58">
        <f>SUMIFS([1]!Outputs_SL[Amount],[1]!Outputs_SL[Date],"&lt;="&amp;ReportingDate_Current,[1]!Outputs_SL[Date],"&gt;"&amp;ReportingDate_Previous,[1]!Outputs_SL[CR Account Code],Q$5,[1]!Outputs_SL[DR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Code],$G20,[1]!Outputs_SL[Reporting Segment],IF(ReportingSegment_I&lt;&gt;"Total",ReportingSegment_I,"&lt;&gt;###"))</f>
        <v>0</v>
      </c>
      <c r="R20" s="58">
        <f>SUMIFS([1]!Outputs_SL[Amount],[1]!Outputs_SL[Date],"&lt;="&amp;ReportingDate_Current,[1]!Outputs_SL[Date],"&gt;"&amp;ReportingDate_Previous,[1]!Outputs_SL[CR Account Code],R$5,[1]!Outputs_SL[DR Account Code],$G20,[1]!Outputs_SL[Reporting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Code],$G20,[1]!Outputs_SL[Reporting Segment],IF(ReportingSegment_I&lt;&gt;"Total",ReportingSegment_I,"&lt;&gt;###"))</f>
        <v>0</v>
      </c>
      <c r="S20" s="23"/>
    </row>
    <row r="21" spans="1:19">
      <c r="A21" s="37"/>
      <c r="B21" s="56"/>
      <c r="C21" s="57"/>
      <c r="D21" s="33"/>
      <c r="E21" s="33"/>
      <c r="F21" s="33" t="str">
        <f>INDEX([1]!MetaData_AccountCodes[Workbook Ref],MATCH(I_Disclosures_Master!$G21,[1]!MetaData_AccountCodes[Account Code],0))</f>
        <v>Other comprehensive income</v>
      </c>
      <c r="G21" s="34" t="str">
        <f>[1]MetaData!$J$40</f>
        <v>2322000</v>
      </c>
      <c r="H21" s="23"/>
      <c r="I21" s="58">
        <f>SUMIFS([1]!Outputs_SL[Amount],[1]!Outputs_SL[Date],"&lt;="&amp;ReportingDate_Current,[1]!Outputs_SL[Date],"&gt;"&amp;ReportingDate_Previous,[1]!Outputs_SL[CR Account Code],I$5,[1]!Outputs_SL[DR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Code],$G21,[1]!Outputs_SL[Reporting Segment],IF(ReportingSegment_I&lt;&gt;"Total",ReportingSegment_I,"&lt;&gt;###"))</f>
        <v>0</v>
      </c>
      <c r="J21" s="58">
        <f>SUMIFS([1]!Outputs_SL[Amount],[1]!Outputs_SL[Date],"&lt;="&amp;ReportingDate_Current,[1]!Outputs_SL[Date],"&gt;"&amp;ReportingDate_Previous,[1]!Outputs_SL[CR Account Code],J$5,[1]!Outputs_SL[DR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Code],$G21,[1]!Outputs_SL[Reporting Segment],IF(ReportingSegment_I&lt;&gt;"Total",ReportingSegment_I,"&lt;&gt;###"))</f>
        <v>0</v>
      </c>
      <c r="K21" s="58">
        <f>SUMIFS([1]!Outputs_SL[Amount],[1]!Outputs_SL[Date],"&lt;="&amp;ReportingDate_Current,[1]!Outputs_SL[Date],"&gt;"&amp;ReportingDate_Previous,[1]!Outputs_SL[CR Account Code],K$5,[1]!Outputs_SL[DR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Code],$G21,[1]!Outputs_SL[Reporting Segment],IF(ReportingSegment_I&lt;&gt;"Total",ReportingSegment_I,"&lt;&gt;###"))</f>
        <v>0</v>
      </c>
      <c r="L21" s="58">
        <f>SUMIFS([1]!Outputs_SL[Amount],[1]!Outputs_SL[Date],"&lt;="&amp;ReportingDate_Current,[1]!Outputs_SL[Date],"&gt;"&amp;ReportingDate_Previous,[1]!Outputs_SL[CR Account Code],L$5,[1]!Outputs_SL[DR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Code],$G21,[1]!Outputs_SL[Reporting Segment],IF(ReportingSegment_I&lt;&gt;"Total",ReportingSegment_I,"&lt;&gt;###"))</f>
        <v>0</v>
      </c>
      <c r="M21" s="58">
        <f>SUMIFS([1]!Outputs_SL[Amount],[1]!Outputs_SL[Date],"&lt;="&amp;ReportingDate_Current,[1]!Outputs_SL[Date],"&gt;"&amp;ReportingDate_Previous,[1]!Outputs_SL[CR Account Code],M$5,[1]!Outputs_SL[DR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Code],$G21,[1]!Outputs_SL[Reporting Segment],IF(ReportingSegment_I&lt;&gt;"Total",ReportingSegment_I,"&lt;&gt;###"))</f>
        <v>0</v>
      </c>
      <c r="N21" s="23"/>
      <c r="O21" s="58">
        <f>SUMIFS([1]!Outputs_SL[Amount],[1]!Outputs_SL[Date],"&lt;="&amp;ReportingDate_Current,[1]!Outputs_SL[Date],"&gt;"&amp;ReportingDate_Previous,[1]!Outputs_SL[CR Account Code],O$5,[1]!Outputs_SL[DR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Code],$G21,[1]!Outputs_SL[Reporting Segment],IF(ReportingSegment_I&lt;&gt;"Total",ReportingSegment_I,"&lt;&gt;###"))</f>
        <v>0</v>
      </c>
      <c r="P21" s="58">
        <f>SUMIFS([1]!Outputs_SL[Amount],[1]!Outputs_SL[Date],"&lt;="&amp;ReportingDate_Current,[1]!Outputs_SL[Date],"&gt;"&amp;ReportingDate_Previous,[1]!Outputs_SL[CR Account Code],P$5,[1]!Outputs_SL[DR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Code],$G21,[1]!Outputs_SL[Reporting Segment],IF(ReportingSegment_I&lt;&gt;"Total",ReportingSegment_I,"&lt;&gt;###"))</f>
        <v>0</v>
      </c>
      <c r="Q21" s="58">
        <f>SUMIFS([1]!Outputs_SL[Amount],[1]!Outputs_SL[Date],"&lt;="&amp;ReportingDate_Current,[1]!Outputs_SL[Date],"&gt;"&amp;ReportingDate_Previous,[1]!Outputs_SL[CR Account Code],Q$5,[1]!Outputs_SL[DR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Code],$G21,[1]!Outputs_SL[Reporting Segment],IF(ReportingSegment_I&lt;&gt;"Total",ReportingSegment_I,"&lt;&gt;###"))</f>
        <v>0</v>
      </c>
      <c r="R21" s="58">
        <f>SUMIFS([1]!Outputs_SL[Amount],[1]!Outputs_SL[Date],"&lt;="&amp;ReportingDate_Current,[1]!Outputs_SL[Date],"&gt;"&amp;ReportingDate_Previous,[1]!Outputs_SL[CR Account Code],R$5,[1]!Outputs_SL[DR Account Code],$G21,[1]!Outputs_SL[Reporting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Code],$G21,[1]!Outputs_SL[Reporting Segment],IF(ReportingSegment_I&lt;&gt;"Total",ReportingSegment_I,"&lt;&gt;###"))</f>
        <v>0</v>
      </c>
      <c r="S21" s="23"/>
    </row>
    <row r="22" spans="1:19">
      <c r="A22" s="37"/>
      <c r="B22" s="56"/>
      <c r="C22" s="57"/>
      <c r="D22" s="33"/>
      <c r="E22" s="40" t="s">
        <v>30</v>
      </c>
      <c r="F22" s="40"/>
      <c r="G22" s="59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23"/>
    </row>
    <row r="23" spans="1:19">
      <c r="A23" s="37"/>
      <c r="B23" s="56"/>
      <c r="C23" s="57"/>
      <c r="D23" s="33"/>
      <c r="E23" s="33"/>
      <c r="F23" s="33" t="str">
        <f>INDEX([1]!MetaData_AccountCodes[Workbook Ref],MATCH(I_Disclosures_Master!$G23,[1]!MetaData_AccountCodes[Account Code],0))</f>
        <v>Profit / loss</v>
      </c>
      <c r="G23" s="34" t="str">
        <f>[1]MetaData!$J$41</f>
        <v>2331000</v>
      </c>
      <c r="H23" s="58">
        <f>SUMIFS([1]!Outputs_SL[Amount],[1]!Outputs_SL[Date],"&lt;="&amp;ReportingDate_Current,[1]!Outputs_SL[Date],"&gt;"&amp;ReportingDate_Previous,[1]!Outputs_SL[CR Account Code],H$5,[1]!Outputs_SL[DR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Code],$G23,[1]!Outputs_SL[Reporting Segment],IF(ReportingSegment_I&lt;&gt;"Total",ReportingSegment_I,"&lt;&gt;###"))</f>
        <v>0</v>
      </c>
      <c r="I23" s="58">
        <f>SUMIFS([1]!Outputs_SL[Amount],[1]!Outputs_SL[Date],"&lt;="&amp;ReportingDate_Current,[1]!Outputs_SL[Date],"&gt;"&amp;ReportingDate_Previous,[1]!Outputs_SL[CR Account Code],I$5,[1]!Outputs_SL[DR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Code],$G23,[1]!Outputs_SL[Reporting Segment],IF(ReportingSegment_I&lt;&gt;"Total",ReportingSegment_I,"&lt;&gt;###"))</f>
        <v>0</v>
      </c>
      <c r="J23" s="58">
        <f>SUMIFS([1]!Outputs_SL[Amount],[1]!Outputs_SL[Date],"&lt;="&amp;ReportingDate_Current,[1]!Outputs_SL[Date],"&gt;"&amp;ReportingDate_Previous,[1]!Outputs_SL[CR Account Code],J$5,[1]!Outputs_SL[DR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Code],$G23,[1]!Outputs_SL[Reporting Segment],IF(ReportingSegment_I&lt;&gt;"Total",ReportingSegment_I,"&lt;&gt;###"))</f>
        <v>0</v>
      </c>
      <c r="K23" s="58">
        <f>SUMIFS([1]!Outputs_SL[Amount],[1]!Outputs_SL[Date],"&lt;="&amp;ReportingDate_Current,[1]!Outputs_SL[Date],"&gt;"&amp;ReportingDate_Previous,[1]!Outputs_SL[CR Account Code],K$5,[1]!Outputs_SL[DR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Code],$G23,[1]!Outputs_SL[Reporting Segment],IF(ReportingSegment_I&lt;&gt;"Total",ReportingSegment_I,"&lt;&gt;###"))</f>
        <v>0</v>
      </c>
      <c r="L23" s="58">
        <f>SUMIFS([1]!Outputs_SL[Amount],[1]!Outputs_SL[Date],"&lt;="&amp;ReportingDate_Current,[1]!Outputs_SL[Date],"&gt;"&amp;ReportingDate_Previous,[1]!Outputs_SL[CR Account Code],L$5,[1]!Outputs_SL[DR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Code],$G23,[1]!Outputs_SL[Reporting Segment],IF(ReportingSegment_I&lt;&gt;"Total",ReportingSegment_I,"&lt;&gt;###"))</f>
        <v>0</v>
      </c>
      <c r="M23" s="58">
        <f>SUMIFS([1]!Outputs_SL[Amount],[1]!Outputs_SL[Date],"&lt;="&amp;ReportingDate_Current,[1]!Outputs_SL[Date],"&gt;"&amp;ReportingDate_Previous,[1]!Outputs_SL[CR Account Code],M$5,[1]!Outputs_SL[DR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Code],$G23,[1]!Outputs_SL[Reporting Segment],IF(ReportingSegment_I&lt;&gt;"Total",ReportingSegment_I,"&lt;&gt;###"))</f>
        <v>0</v>
      </c>
      <c r="N23" s="58">
        <f>SUMIFS([1]!Outputs_SL[Amount],[1]!Outputs_SL[Date],"&lt;="&amp;ReportingDate_Current,[1]!Outputs_SL[Date],"&gt;"&amp;ReportingDate_Previous,[1]!Outputs_SL[CR Account Code],N$5,[1]!Outputs_SL[DR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Code],N$5,[1]!Outputs_SL[CR Account Code],$G23,[1]!Outputs_SL[Reporting Segment],IF(ReportingSegment_I&lt;&gt;"Total",ReportingSegment_I,"&lt;&gt;###"))</f>
        <v>0</v>
      </c>
      <c r="O23" s="58">
        <f>SUMIFS([1]!Outputs_SL[Amount],[1]!Outputs_SL[Date],"&lt;="&amp;ReportingDate_Current,[1]!Outputs_SL[Date],"&gt;"&amp;ReportingDate_Previous,[1]!Outputs_SL[CR Account Code],O$5,[1]!Outputs_SL[DR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Code],$G23,[1]!Outputs_SL[Reporting Segment],IF(ReportingSegment_I&lt;&gt;"Total",ReportingSegment_I,"&lt;&gt;###"))</f>
        <v>0</v>
      </c>
      <c r="P23" s="58">
        <f>SUMIFS([1]!Outputs_SL[Amount],[1]!Outputs_SL[Date],"&lt;="&amp;ReportingDate_Current,[1]!Outputs_SL[Date],"&gt;"&amp;ReportingDate_Previous,[1]!Outputs_SL[CR Account Code],P$5,[1]!Outputs_SL[DR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Code],$G23,[1]!Outputs_SL[Reporting Segment],IF(ReportingSegment_I&lt;&gt;"Total",ReportingSegment_I,"&lt;&gt;###"))</f>
        <v>0</v>
      </c>
      <c r="Q23" s="58">
        <f>SUMIFS([1]!Outputs_SL[Amount],[1]!Outputs_SL[Date],"&lt;="&amp;ReportingDate_Current,[1]!Outputs_SL[Date],"&gt;"&amp;ReportingDate_Previous,[1]!Outputs_SL[CR Account Code],Q$5,[1]!Outputs_SL[DR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Code],$G23,[1]!Outputs_SL[Reporting Segment],IF(ReportingSegment_I&lt;&gt;"Total",ReportingSegment_I,"&lt;&gt;###"))</f>
        <v>0</v>
      </c>
      <c r="R23" s="58">
        <f>SUMIFS([1]!Outputs_SL[Amount],[1]!Outputs_SL[Date],"&lt;="&amp;ReportingDate_Current,[1]!Outputs_SL[Date],"&gt;"&amp;ReportingDate_Previous,[1]!Outputs_SL[CR Account Code],R$5,[1]!Outputs_SL[DR Account Code],$G23,[1]!Outputs_SL[Reporting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Code],$G23,[1]!Outputs_SL[Reporting Segment],IF(ReportingSegment_I&lt;&gt;"Total",ReportingSegment_I,"&lt;&gt;###"))</f>
        <v>0</v>
      </c>
      <c r="S23" s="23"/>
    </row>
    <row r="24" spans="1:19">
      <c r="A24" s="60"/>
      <c r="B24" s="61"/>
      <c r="C24" s="62"/>
      <c r="D24" s="33"/>
      <c r="E24" s="33"/>
      <c r="F24" s="33" t="str">
        <f>INDEX([1]!MetaData_AccountCodes[Workbook Ref],MATCH(I_Disclosures_Master!$G24,[1]!MetaData_AccountCodes[Account Code],0))</f>
        <v>Other comprehensive income</v>
      </c>
      <c r="G24" s="34" t="str">
        <f>[1]MetaData!$J$42</f>
        <v>2332000</v>
      </c>
      <c r="H24" s="58">
        <f>SUMIFS([1]!Outputs_SL[Amount],[1]!Outputs_SL[Date],"&lt;="&amp;ReportingDate_Current,[1]!Outputs_SL[Date],"&gt;"&amp;ReportingDate_Previous,[1]!Outputs_SL[CR Account Code],H$5,[1]!Outputs_SL[DR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Code],$G24,[1]!Outputs_SL[Reporting Segment],IF(ReportingSegment_I&lt;&gt;"Total",ReportingSegment_I,"&lt;&gt;###"))</f>
        <v>0</v>
      </c>
      <c r="I24" s="58">
        <f>SUMIFS([1]!Outputs_SL[Amount],[1]!Outputs_SL[Date],"&lt;="&amp;ReportingDate_Current,[1]!Outputs_SL[Date],"&gt;"&amp;ReportingDate_Previous,[1]!Outputs_SL[CR Account Code],I$5,[1]!Outputs_SL[DR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Code],$G24,[1]!Outputs_SL[Reporting Segment],IF(ReportingSegment_I&lt;&gt;"Total",ReportingSegment_I,"&lt;&gt;###"))</f>
        <v>0</v>
      </c>
      <c r="J24" s="58">
        <f>SUMIFS([1]!Outputs_SL[Amount],[1]!Outputs_SL[Date],"&lt;="&amp;ReportingDate_Current,[1]!Outputs_SL[Date],"&gt;"&amp;ReportingDate_Previous,[1]!Outputs_SL[CR Account Code],J$5,[1]!Outputs_SL[DR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Code],$G24,[1]!Outputs_SL[Reporting Segment],IF(ReportingSegment_I&lt;&gt;"Total",ReportingSegment_I,"&lt;&gt;###"))</f>
        <v>0</v>
      </c>
      <c r="K24" s="58">
        <f>SUMIFS([1]!Outputs_SL[Amount],[1]!Outputs_SL[Date],"&lt;="&amp;ReportingDate_Current,[1]!Outputs_SL[Date],"&gt;"&amp;ReportingDate_Previous,[1]!Outputs_SL[CR Account Code],K$5,[1]!Outputs_SL[DR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Code],$G24,[1]!Outputs_SL[Reporting Segment],IF(ReportingSegment_I&lt;&gt;"Total",ReportingSegment_I,"&lt;&gt;###"))</f>
        <v>0</v>
      </c>
      <c r="L24" s="58">
        <f>SUMIFS([1]!Outputs_SL[Amount],[1]!Outputs_SL[Date],"&lt;="&amp;ReportingDate_Current,[1]!Outputs_SL[Date],"&gt;"&amp;ReportingDate_Previous,[1]!Outputs_SL[CR Account Code],L$5,[1]!Outputs_SL[DR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Code],$G24,[1]!Outputs_SL[Reporting Segment],IF(ReportingSegment_I&lt;&gt;"Total",ReportingSegment_I,"&lt;&gt;###"))</f>
        <v>0</v>
      </c>
      <c r="M24" s="58">
        <f>SUMIFS([1]!Outputs_SL[Amount],[1]!Outputs_SL[Date],"&lt;="&amp;ReportingDate_Current,[1]!Outputs_SL[Date],"&gt;"&amp;ReportingDate_Previous,[1]!Outputs_SL[CR Account Code],M$5,[1]!Outputs_SL[DR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Code],M$5,[1]!Outputs_SL[CR Account Code],$G24,[1]!Outputs_SL[Reporting Segment],IF(ReportingSegment_I&lt;&gt;"Total",ReportingSegment_I,"&lt;&gt;###"))</f>
        <v>0</v>
      </c>
      <c r="N24" s="58">
        <f>SUMIFS([1]!Outputs_SL[Amount],[1]!Outputs_SL[Date],"&lt;="&amp;ReportingDate_Current,[1]!Outputs_SL[Date],"&gt;"&amp;ReportingDate_Previous,[1]!Outputs_SL[CR Account Code],N$5,[1]!Outputs_SL[DR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Code],N$5,[1]!Outputs_SL[CR Account Code],$G24,[1]!Outputs_SL[Reporting Segment],IF(ReportingSegment_I&lt;&gt;"Total",ReportingSegment_I,"&lt;&gt;###"))</f>
        <v>0</v>
      </c>
      <c r="O24" s="58">
        <f>SUMIFS([1]!Outputs_SL[Amount],[1]!Outputs_SL[Date],"&lt;="&amp;ReportingDate_Current,[1]!Outputs_SL[Date],"&gt;"&amp;ReportingDate_Previous,[1]!Outputs_SL[CR Account Code],O$5,[1]!Outputs_SL[DR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Code],$G24,[1]!Outputs_SL[Reporting Segment],IF(ReportingSegment_I&lt;&gt;"Total",ReportingSegment_I,"&lt;&gt;###"))</f>
        <v>0</v>
      </c>
      <c r="P24" s="58">
        <f>SUMIFS([1]!Outputs_SL[Amount],[1]!Outputs_SL[Date],"&lt;="&amp;ReportingDate_Current,[1]!Outputs_SL[Date],"&gt;"&amp;ReportingDate_Previous,[1]!Outputs_SL[CR Account Code],P$5,[1]!Outputs_SL[DR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Code],$G24,[1]!Outputs_SL[Reporting Segment],IF(ReportingSegment_I&lt;&gt;"Total",ReportingSegment_I,"&lt;&gt;###"))</f>
        <v>0</v>
      </c>
      <c r="Q24" s="58">
        <f>SUMIFS([1]!Outputs_SL[Amount],[1]!Outputs_SL[Date],"&lt;="&amp;ReportingDate_Current,[1]!Outputs_SL[Date],"&gt;"&amp;ReportingDate_Previous,[1]!Outputs_SL[CR Account Code],Q$5,[1]!Outputs_SL[DR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Code],Q$5,[1]!Outputs_SL[CR Account Code],$G24,[1]!Outputs_SL[Reporting Segment],IF(ReportingSegment_I&lt;&gt;"Total",ReportingSegment_I,"&lt;&gt;###"))</f>
        <v>0</v>
      </c>
      <c r="R24" s="58">
        <f>SUMIFS([1]!Outputs_SL[Amount],[1]!Outputs_SL[Date],"&lt;="&amp;ReportingDate_Current,[1]!Outputs_SL[Date],"&gt;"&amp;ReportingDate_Previous,[1]!Outputs_SL[CR Account Code],R$5,[1]!Outputs_SL[DR Account Code],$G24,[1]!Outputs_SL[Reporting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Code],R$5,[1]!Outputs_SL[CR Account Code],$G24,[1]!Outputs_SL[Reporting Segment],IF(ReportingSegment_I&lt;&gt;"Total",ReportingSegment_I,"&lt;&gt;###"))</f>
        <v>0</v>
      </c>
      <c r="S24" s="23"/>
    </row>
    <row r="25" spans="1:19" ht="12.75" thickBot="1">
      <c r="A25" s="63" t="s">
        <v>31</v>
      </c>
      <c r="B25" s="63"/>
      <c r="C25" s="63"/>
      <c r="D25" s="40" t="s">
        <v>32</v>
      </c>
      <c r="E25" s="40"/>
      <c r="F25" s="40"/>
      <c r="G25" s="40"/>
      <c r="H25" s="41"/>
      <c r="I25" s="64"/>
      <c r="J25" s="41"/>
      <c r="K25" s="41"/>
      <c r="L25" s="41"/>
      <c r="M25" s="41"/>
      <c r="N25" s="64"/>
      <c r="O25" s="64"/>
      <c r="P25" s="64"/>
      <c r="Q25" s="64"/>
      <c r="R25" s="41"/>
      <c r="S25" s="23"/>
    </row>
    <row r="26" spans="1:19" ht="12.75" thickBot="1">
      <c r="A26" s="63"/>
      <c r="B26" s="63"/>
      <c r="C26" s="63"/>
      <c r="D26" s="33"/>
      <c r="E26" s="33" t="str">
        <f>INDEX([1]!MetaData_AccountCodes[Workbook Ref],MATCH(I_Disclosures_Master!$G26,[1]!MetaData_AccountCodes[Account Code],0))</f>
        <v>Transfer of investment component</v>
      </c>
      <c r="F26" s="33"/>
      <c r="G26" s="34" t="str">
        <f>[1]MetaData!$J$56</f>
        <v>3210000</v>
      </c>
      <c r="H26" s="65"/>
      <c r="I26" s="66">
        <f>SUMIFS([1]!Outputs_SL[Amount],[1]!Outputs_SL[Date],"&lt;="&amp;ReportingDate_Current,[1]!Outputs_SL[Date],"&gt;"&amp;ReportingDate_Previous,[1]!Outputs_SL[CR Account Code],I$5,[1]!Outputs_SL[DR Account Code],$G26,[1]!Outputs_SL[Reporting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Code],$G26,[1]!Outputs_SL[Reporting Segment],IF(ReportingSegment_I&lt;&gt;"Total",ReportingSegment_I,"&lt;&gt;###"))</f>
        <v>0</v>
      </c>
      <c r="J26" s="67">
        <f>SUMIFS([1]!Outputs_SL[Amount],[1]!Outputs_SL[Date],"&lt;="&amp;ReportingDate_Current,[1]!Outputs_SL[Date],"&gt;"&amp;ReportingDate_Previous,[1]!Outputs_SL[CR Account Code],J$5,[1]!Outputs_SL[DR Account Code],$G26,[1]!Outputs_SL[Reporting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Code],$G26,[1]!Outputs_SL[Reporting Segment],IF(ReportingSegment_I&lt;&gt;"Total",ReportingSegment_I,"&lt;&gt;###"))</f>
        <v>0</v>
      </c>
      <c r="K26" s="44"/>
      <c r="L26" s="23"/>
      <c r="M26" s="23"/>
      <c r="N26" s="68">
        <f>SUMIFS([1]!Outputs_SL[Amount],[1]!Outputs_SL[Date],"&lt;="&amp;ReportingDate_Current,[1]!Outputs_SL[Date],"&gt;"&amp;ReportingDate_Previous,[1]!Outputs_SL[CR Account Code],N$5,[1]!Outputs_SL[DR Account Code],$G26,[1]!Outputs_SL[Reporting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Code],N$5,[1]!Outputs_SL[CR Account Code],$G26,[1]!Outputs_SL[Reporting Segment],IF(ReportingSegment_I&lt;&gt;"Total",ReportingSegment_I,"&lt;&gt;###"))</f>
        <v>0</v>
      </c>
      <c r="O26" s="44"/>
      <c r="P26" s="44"/>
      <c r="Q26" s="44"/>
      <c r="R26" s="44"/>
      <c r="S26" s="23"/>
    </row>
    <row r="27" spans="1:19" ht="12.75" thickBot="1">
      <c r="A27" s="63"/>
      <c r="B27" s="63"/>
      <c r="C27" s="63"/>
      <c r="D27" s="33"/>
      <c r="E27" s="33" t="str">
        <f>INDEX([1]!MetaData_AccountCodes[Workbook Ref],MATCH(I_Disclosures_Master!$G27,[1]!MetaData_AccountCodes[Account Code],0))</f>
        <v>Transfer of asset for pre-recognition cash flows</v>
      </c>
      <c r="F27" s="33"/>
      <c r="G27" s="34" t="str">
        <f>[1]MetaData!$J$57</f>
        <v>3220000</v>
      </c>
      <c r="H27" s="68">
        <f>SUMIFS([1]!Outputs_SL[Amount],[1]!Outputs_SL[Date],"&lt;="&amp;ReportingDate_Current,[1]!Outputs_SL[Date],"&gt;"&amp;ReportingDate_Previous,[1]!Outputs_SL[CR Account Code],H$5,[1]!Outputs_SL[DR Account Code],$G27,[1]!Outputs_SL[Reporting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Code],$G27,[1]!Outputs_SL[Reporting Segment],IF(ReportingSegment_I&lt;&gt;"Total",ReportingSegment_I,"&lt;&gt;###"))</f>
        <v>0</v>
      </c>
      <c r="I27" s="44"/>
      <c r="J27" s="44"/>
      <c r="K27" s="68">
        <f>SUMIFS([1]!Outputs_SL[Amount],[1]!Outputs_SL[Date],"&lt;="&amp;ReportingDate_Current,[1]!Outputs_SL[Date],"&gt;"&amp;ReportingDate_Previous,[1]!Outputs_SL[CR Account Code],K$5,[1]!Outputs_SL[DR Account Code],$G27,[1]!Outputs_SL[Reporting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Code],$G27,[1]!Outputs_SL[Reporting Segment],IF(ReportingSegment_I&lt;&gt;"Total",ReportingSegment_I,"&lt;&gt;###"))</f>
        <v>0</v>
      </c>
      <c r="L27" s="23"/>
      <c r="M27" s="23"/>
      <c r="N27" s="23"/>
      <c r="O27" s="44"/>
      <c r="P27" s="44"/>
      <c r="Q27" s="44"/>
      <c r="R27" s="44"/>
      <c r="S27" s="43"/>
    </row>
    <row r="28" spans="1:19" ht="12.75" thickBot="1">
      <c r="A28" s="63"/>
      <c r="B28" s="63"/>
      <c r="C28" s="63"/>
      <c r="D28" s="33"/>
      <c r="E28" s="33" t="str">
        <f>INDEX([1]!MetaData_AccountCodes[Workbook Ref],MATCH(I_Disclosures_Master!$G28,[1]!MetaData_AccountCodes[Account Code],0))</f>
        <v>Transfer of premium from current to due</v>
      </c>
      <c r="F28" s="33"/>
      <c r="G28" s="34" t="str">
        <f>[1]MetaData!$J$58</f>
        <v>3230000</v>
      </c>
      <c r="H28" s="69"/>
      <c r="I28" s="66">
        <f>SUMIFS([1]!Outputs_SL[Amount],[1]!Outputs_SL[Date],"&lt;="&amp;ReportingDate_Current,[1]!Outputs_SL[Date],"&gt;"&amp;ReportingDate_Previous,[1]!Outputs_SL[CR Account Code],I$5,[1]!Outputs_SL[DR Account Code],$G28,[1]!Outputs_SL[Reporting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Code],$G28,[1]!Outputs_SL[Reporting Segment],IF(ReportingSegment_I&lt;&gt;"Total",ReportingSegment_I,"&lt;&gt;###"))</f>
        <v>0</v>
      </c>
      <c r="J28" s="67">
        <f>SUMIFS([1]!Outputs_SL[Amount],[1]!Outputs_SL[Date],"&lt;="&amp;ReportingDate_Current,[1]!Outputs_SL[Date],"&gt;"&amp;ReportingDate_Previous,[1]!Outputs_SL[CR Account Code],J$5,[1]!Outputs_SL[DR Account Code],$G28,[1]!Outputs_SL[Reporting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Code],$G28,[1]!Outputs_SL[Reporting Segment],IF(ReportingSegment_I&lt;&gt;"Total",ReportingSegment_I,"&lt;&gt;###"))</f>
        <v>0</v>
      </c>
      <c r="K28" s="44"/>
      <c r="L28" s="23"/>
      <c r="M28" s="23"/>
      <c r="N28" s="23"/>
      <c r="O28" s="44"/>
      <c r="P28" s="44"/>
      <c r="Q28" s="44"/>
      <c r="R28" s="44"/>
      <c r="S28" s="43"/>
    </row>
    <row r="29" spans="1:19" ht="12.75" thickBot="1">
      <c r="A29" s="63"/>
      <c r="B29" s="63"/>
      <c r="C29" s="63"/>
      <c r="D29" s="33"/>
      <c r="E29" s="33" t="str">
        <f>INDEX([1]!MetaData_AccountCodes[Workbook Ref],MATCH(I_Disclosures_Master!$G29,[1]!MetaData_AccountCodes[Account Code],0))</f>
        <v>Transfer of acquisition expenses from current to payable</v>
      </c>
      <c r="F29" s="33"/>
      <c r="G29" s="34" t="str">
        <f>[1]MetaData!$J$59</f>
        <v>3240000</v>
      </c>
      <c r="H29" s="69"/>
      <c r="I29" s="69"/>
      <c r="J29" s="44"/>
      <c r="K29" s="66">
        <f>SUMIFS([1]!Outputs_SL[Amount],[1]!Outputs_SL[Date],"&lt;="&amp;ReportingDate_Current,[1]!Outputs_SL[Date],"&gt;"&amp;ReportingDate_Previous,[1]!Outputs_SL[CR Account Code],K$5,[1]!Outputs_SL[DR Account Code],$G29,[1]!Outputs_SL[Reporting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Code],$G29,[1]!Outputs_SL[Reporting Segment],IF(ReportingSegment_I&lt;&gt;"Total",ReportingSegment_I,"&lt;&gt;###"))</f>
        <v>0</v>
      </c>
      <c r="L29" s="67">
        <f>SUMIFS([1]!Outputs_SL[Amount],[1]!Outputs_SL[Date],"&lt;="&amp;ReportingDate_Current,[1]!Outputs_SL[Date],"&gt;"&amp;ReportingDate_Previous,[1]!Outputs_SL[CR Account Code],L$5,[1]!Outputs_SL[DR Account Code],$G29,[1]!Outputs_SL[Reporting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Code],$G29,[1]!Outputs_SL[Reporting Segment],IF(ReportingSegment_I&lt;&gt;"Total",ReportingSegment_I,"&lt;&gt;###"))</f>
        <v>0</v>
      </c>
      <c r="M29" s="23"/>
      <c r="N29" s="23"/>
      <c r="O29" s="44"/>
      <c r="P29" s="44"/>
      <c r="Q29" s="44"/>
      <c r="R29" s="44"/>
      <c r="S29" s="43"/>
    </row>
    <row r="30" spans="1:19" ht="12.75" thickBot="1">
      <c r="A30" s="63"/>
      <c r="B30" s="63"/>
      <c r="C30" s="63"/>
      <c r="D30" s="40" t="s">
        <v>33</v>
      </c>
      <c r="E30" s="40"/>
      <c r="F30" s="40"/>
      <c r="G30" s="40"/>
      <c r="H30" s="42"/>
      <c r="I30" s="70"/>
      <c r="J30" s="41"/>
      <c r="K30" s="41"/>
      <c r="L30" s="41"/>
      <c r="M30" s="41"/>
      <c r="N30" s="41"/>
      <c r="O30" s="41"/>
      <c r="P30" s="41"/>
      <c r="Q30" s="41"/>
      <c r="R30" s="41"/>
      <c r="S30" s="43"/>
    </row>
    <row r="31" spans="1:19" ht="12.75" thickBot="1">
      <c r="A31" s="63"/>
      <c r="B31" s="63"/>
      <c r="C31" s="63"/>
      <c r="D31" s="33"/>
      <c r="E31" s="33" t="str">
        <f>INDEX([1]!MetaData_AccountCodes[Workbook Ref],MATCH(I_Disclosures_Master!$G31,[1]!MetaData_AccountCodes[Account Code],0))</f>
        <v>Premiums received</v>
      </c>
      <c r="F31" s="33"/>
      <c r="G31" s="34" t="str">
        <f>[1]MetaData!$J$49</f>
        <v>3111000</v>
      </c>
      <c r="H31" s="71"/>
      <c r="I31" s="66">
        <f>SUMIFS([1]!Outputs_SL[Amount],[1]!Outputs_SL[Date],"&lt;="&amp;ReportingDate_Current,[1]!Outputs_SL[Date],"&gt;"&amp;ReportingDate_Previous,[1]!Outputs_SL[CR Account Code],I$5,[1]!Outputs_SL[DR Account Code],$G31,[1]!Outputs_SL[Reporting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Code],I$5,[1]!Outputs_SL[CR Account Code],$G31,[1]!Outputs_SL[Reporting Segment],IF(ReportingSegment_I&lt;&gt;"Total",ReportingSegment_I,"&lt;&gt;###"))</f>
        <v>23492357.252800003</v>
      </c>
      <c r="J31" s="67">
        <f>SUMIFS([1]!Outputs_SL[Amount],[1]!Outputs_SL[Date],"&lt;="&amp;ReportingDate_Current,[1]!Outputs_SL[Date],"&gt;"&amp;ReportingDate_Previous,[1]!Outputs_SL[CR Account Code],J$5,[1]!Outputs_SL[DR Account Code],$G31,[1]!Outputs_SL[Reporting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Code],J$5,[1]!Outputs_SL[CR Account Code],$G31,[1]!Outputs_SL[Reporting Segment],IF(ReportingSegment_I&lt;&gt;"Total",ReportingSegment_I,"&lt;&gt;###"))</f>
        <v>0</v>
      </c>
      <c r="K31" s="44"/>
      <c r="L31" s="23"/>
      <c r="M31" s="23"/>
      <c r="N31" s="43"/>
      <c r="O31" s="43"/>
      <c r="P31" s="43"/>
      <c r="Q31" s="43"/>
      <c r="R31" s="71"/>
      <c r="S31" s="68">
        <f>SUMIFS([1]!Outputs_SL[Amount],[1]!Outputs_SL[Date],"&lt;="&amp;ReportingDate_Current,[1]!Outputs_SL[Date],"&gt;"&amp;ReportingDate_Previous,[1]!Outputs_SL[CR Account Code],S$5,[1]!Outputs_SL[DR Account Code],$G31,[1]!Outputs_SL[Reporting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Code],S$5,[1]!Outputs_SL[CR Account Code],$G31,[1]!Outputs_SL[Reporting Segment],IF(ReportingSegment_I&lt;&gt;"Total",ReportingSegment_I,"&lt;&gt;###"))</f>
        <v>-23492357.252800003</v>
      </c>
    </row>
    <row r="32" spans="1:19" ht="12.75" thickBot="1">
      <c r="A32" s="63"/>
      <c r="B32" s="63"/>
      <c r="C32" s="63"/>
      <c r="D32" s="33"/>
      <c r="E32" s="33" t="str">
        <f>INDEX([1]!MetaData_AccountCodes[Workbook Ref],MATCH(I_Disclosures_Master!$G32,[1]!MetaData_AccountCodes[Account Code],0))</f>
        <v>Claims and other expenses paid</v>
      </c>
      <c r="F32" s="33"/>
      <c r="G32" s="34" t="str">
        <f>[1]MetaData!$J$50</f>
        <v>3112000</v>
      </c>
      <c r="H32" s="43"/>
      <c r="I32" s="72"/>
      <c r="J32" s="23"/>
      <c r="K32" s="23"/>
      <c r="L32" s="23"/>
      <c r="M32" s="23"/>
      <c r="N32" s="73"/>
      <c r="O32" s="66">
        <f>SUMIFS([1]!Outputs_SL[Amount],[1]!Outputs_SL[Date],"&lt;="&amp;ReportingDate_Current,[1]!Outputs_SL[Date],"&gt;"&amp;ReportingDate_Previous,[1]!Outputs_SL[CR Account Code],O$5,[1]!Outputs_SL[DR Account Code],$G32,[1]!Outputs_SL[Reporting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Code],O$5,[1]!Outputs_SL[CR Account Code],$G32,[1]!Outputs_SL[Reporting Segment],IF(ReportingSegment_I&lt;&gt;"Total",ReportingSegment_I,"&lt;&gt;###"))</f>
        <v>-11453734.214000002</v>
      </c>
      <c r="P32" s="67">
        <f>SUMIFS([1]!Outputs_SL[Amount],[1]!Outputs_SL[Date],"&lt;="&amp;ReportingDate_Current,[1]!Outputs_SL[Date],"&gt;"&amp;ReportingDate_Previous,[1]!Outputs_SL[CR Account Code],P$5,[1]!Outputs_SL[DR Account Code],$G32,[1]!Outputs_SL[Reporting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Code],P$5,[1]!Outputs_SL[CR Account Code],$G32,[1]!Outputs_SL[Reporting Segment],IF(ReportingSegment_I&lt;&gt;"Total",ReportingSegment_I,"&lt;&gt;###"))</f>
        <v>0</v>
      </c>
      <c r="Q32" s="43"/>
      <c r="R32" s="74"/>
      <c r="S32" s="68">
        <f>SUMIFS([1]!Outputs_SL[Amount],[1]!Outputs_SL[Date],"&lt;="&amp;ReportingDate_Current,[1]!Outputs_SL[Date],"&gt;"&amp;ReportingDate_Previous,[1]!Outputs_SL[CR Account Code],S$5,[1]!Outputs_SL[DR Account Code],$G32,[1]!Outputs_SL[Reporting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Code],S$5,[1]!Outputs_SL[CR Account Code],$G32,[1]!Outputs_SL[Reporting Segment],IF(ReportingSegment_I&lt;&gt;"Total",ReportingSegment_I,"&lt;&gt;###"))</f>
        <v>11453734.214000002</v>
      </c>
    </row>
    <row r="33" spans="1:19" ht="12.75" thickBot="1">
      <c r="A33" s="63"/>
      <c r="B33" s="63"/>
      <c r="C33" s="63"/>
      <c r="D33" s="33"/>
      <c r="E33" s="33" t="str">
        <f>INDEX([1]!MetaData_AccountCodes[Workbook Ref],MATCH(I_Disclosures_Master!$G33,[1]!MetaData_AccountCodes[Account Code],0))</f>
        <v>Investment components paid</v>
      </c>
      <c r="F33" s="33"/>
      <c r="G33" s="34" t="str">
        <f>[1]MetaData!$J$51</f>
        <v>3113000</v>
      </c>
      <c r="H33" s="75"/>
      <c r="I33" s="69"/>
      <c r="J33" s="44"/>
      <c r="K33" s="44"/>
      <c r="L33" s="23"/>
      <c r="M33" s="23"/>
      <c r="N33" s="68">
        <f>SUMIFS([1]!Outputs_SL[Amount],[1]!Outputs_SL[Date],"&lt;="&amp;ReportingDate_Current,[1]!Outputs_SL[Date],"&gt;"&amp;ReportingDate_Previous,[1]!Outputs_SL[CR Account Code],N$5,[1]!Outputs_SL[DR Account Code],$G33,[1]!Outputs_SL[Reporting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Code],N$5,[1]!Outputs_SL[CR Account Code],$G33,[1]!Outputs_SL[Reporting Segment],IF(ReportingSegment_I&lt;&gt;"Total",ReportingSegment_I,"&lt;&gt;###"))</f>
        <v>0</v>
      </c>
      <c r="O33" s="73"/>
      <c r="P33" s="73"/>
      <c r="Q33" s="71"/>
      <c r="R33" s="74"/>
      <c r="S33" s="68">
        <f>SUMIFS([1]!Outputs_SL[Amount],[1]!Outputs_SL[Date],"&lt;="&amp;ReportingDate_Current,[1]!Outputs_SL[Date],"&gt;"&amp;ReportingDate_Previous,[1]!Outputs_SL[CR Account Code],S$5,[1]!Outputs_SL[DR Account Code],$G33,[1]!Outputs_SL[Reporting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Code],S$5,[1]!Outputs_SL[CR Account Code],$G33,[1]!Outputs_SL[Reporting Segment],IF(ReportingSegment_I&lt;&gt;"Total",ReportingSegment_I,"&lt;&gt;###"))</f>
        <v>0</v>
      </c>
    </row>
    <row r="34" spans="1:19" ht="12.75" thickBot="1">
      <c r="A34" s="63"/>
      <c r="B34" s="63"/>
      <c r="C34" s="63"/>
      <c r="D34" s="33"/>
      <c r="E34" s="33" t="str">
        <f>INDEX([1]!MetaData_AccountCodes[Workbook Ref],MATCH(I_Disclosures_Master!$G34,[1]!MetaData_AccountCodes[Account Code],0))</f>
        <v>Insurance acquisition cash flows paid</v>
      </c>
      <c r="F34" s="33"/>
      <c r="G34" s="34" t="str">
        <f>[1]MetaData!$J$52</f>
        <v>3114000</v>
      </c>
      <c r="H34" s="68">
        <f>SUMIFS([1]!Outputs_SL[Amount],[1]!Outputs_SL[Date],"&lt;="&amp;ReportingDate_Current,[1]!Outputs_SL[Date],"&gt;"&amp;ReportingDate_Previous,[1]!Outputs_SL[CR Account Code],H$5,[1]!Outputs_SL[DR Account Code],$G34,[1]!Outputs_SL[Reporting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Code],H$5,[1]!Outputs_SL[CR Account Code],$G34,[1]!Outputs_SL[Reporting Segment],IF(ReportingSegment_I&lt;&gt;"Total",ReportingSegment_I,"&lt;&gt;###"))</f>
        <v>0</v>
      </c>
      <c r="I34" s="69"/>
      <c r="J34" s="44"/>
      <c r="K34" s="66">
        <f>SUMIFS([1]!Outputs_SL[Amount],[1]!Outputs_SL[Date],"&lt;="&amp;ReportingDate_Current,[1]!Outputs_SL[Date],"&gt;"&amp;ReportingDate_Previous,[1]!Outputs_SL[CR Account Code],K$5,[1]!Outputs_SL[DR Account Code],$G34,[1]!Outputs_SL[Reporting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Code],K$5,[1]!Outputs_SL[CR Account Code],$G34,[1]!Outputs_SL[Reporting Segment],IF(ReportingSegment_I&lt;&gt;"Total",ReportingSegment_I,"&lt;&gt;###"))</f>
        <v>-9723782.5540552903</v>
      </c>
      <c r="L34" s="67">
        <f>SUMIFS([1]!Outputs_SL[Amount],[1]!Outputs_SL[Date],"&lt;="&amp;ReportingDate_Current,[1]!Outputs_SL[Date],"&gt;"&amp;ReportingDate_Previous,[1]!Outputs_SL[CR Account Code],L$5,[1]!Outputs_SL[DR Account Code],$G34,[1]!Outputs_SL[Reporting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Code],L$5,[1]!Outputs_SL[CR Account Code],$G34,[1]!Outputs_SL[Reporting Segment],IF(ReportingSegment_I&lt;&gt;"Total",ReportingSegment_I,"&lt;&gt;###"))</f>
        <v>0</v>
      </c>
      <c r="M34" s="23"/>
      <c r="N34" s="76"/>
      <c r="O34" s="76"/>
      <c r="P34" s="76"/>
      <c r="Q34" s="76"/>
      <c r="R34" s="71"/>
      <c r="S34" s="68">
        <f>SUMIFS([1]!Outputs_SL[Amount],[1]!Outputs_SL[Date],"&lt;="&amp;ReportingDate_Current,[1]!Outputs_SL[Date],"&gt;"&amp;ReportingDate_Previous,[1]!Outputs_SL[CR Account Code],S$5,[1]!Outputs_SL[DR Account Code],$G34,[1]!Outputs_SL[Reporting Segment],IF(ReportingSegment_I&lt;&gt;"Total",ReportingSegment_I,"&lt;&gt;###")) - SUMIFS([1]!Outputs_SL[Amount],[1]!Outputs_SL[Date],"&lt;="&amp;ReportingDate_Current,[1]!Outputs_SL[Date],"&gt;"&amp;ReportingDate_Previous,[1]!Outputs_SL[DR Account Code],S$5,[1]!Outputs_SL[CR Account Code],$G34,[1]!Outputs_SL[Reporting Segment],IF(ReportingSegment_I&lt;&gt;"Total",ReportingSegment_I,"&lt;&gt;###"))</f>
        <v>9723782.5540552903</v>
      </c>
    </row>
    <row r="35" spans="1:19">
      <c r="A35" s="33"/>
      <c r="B35" s="33"/>
      <c r="C35" s="33"/>
      <c r="D35" s="25" t="s">
        <v>34</v>
      </c>
      <c r="E35" s="26"/>
      <c r="F35" s="27"/>
      <c r="G35" s="28"/>
      <c r="H35" s="77">
        <f>SUM(H8:H34)</f>
        <v>2936.5</v>
      </c>
      <c r="I35" s="77">
        <f t="shared" ref="I35:P35" si="1">SUM(I8:I34)</f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584479.85221247934</v>
      </c>
      <c r="P35" s="29">
        <f t="shared" si="1"/>
        <v>0</v>
      </c>
      <c r="Q35" s="29">
        <f>SUM(Q8:Q34)</f>
        <v>29223.992610623929</v>
      </c>
      <c r="R35" s="29">
        <f>SUM(R8:R34)</f>
        <v>0</v>
      </c>
    </row>
    <row r="36" spans="1:19">
      <c r="A36" s="33"/>
      <c r="B36" s="33"/>
      <c r="C36" s="33"/>
      <c r="D36" s="33"/>
      <c r="E36" s="33"/>
      <c r="F36" s="33"/>
      <c r="G36" s="3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>
      <c r="A37" s="33"/>
      <c r="B37" s="33"/>
      <c r="C37" s="33"/>
      <c r="D37" s="33" t="s">
        <v>18</v>
      </c>
      <c r="E37" s="33"/>
      <c r="F37" s="33"/>
      <c r="G37" s="34"/>
      <c r="H37" s="23">
        <f>-SUMIFS([1]!Outputs_TB[Amount],[1]!Outputs_TB[Date],ReportingDate_Current,[1]!Outputs_TB[Asset / Liability],"Asset",[1]!Outputs_TB[Reporting Segment],IF(ReportingSegment_I&lt;&gt;"Total",ReportingSegment_I,"&lt;&gt;###"),[1]!Outputs_TB[Account Code],H$5)</f>
        <v>2936.5</v>
      </c>
      <c r="I37" s="23">
        <f>-SUMIFS([1]!Outputs_TB[Amount],[1]!Outputs_TB[Date],ReportingDate_Current,[1]!Outputs_TB[Asset / Liability],"Asset",[1]!Outputs_TB[Reporting Segment],IF(ReportingSegment_I&lt;&gt;"Total",ReportingSegment_I,"&lt;&gt;###"),[1]!Outputs_TB[Account Code],I$5)</f>
        <v>0</v>
      </c>
      <c r="J37" s="23">
        <f>-SUMIFS([1]!Outputs_TB[Amount],[1]!Outputs_TB[Date],ReportingDate_Current,[1]!Outputs_TB[Asset / Liability],"Asset",[1]!Outputs_TB[Reporting Segment],IF(ReportingSegment_I&lt;&gt;"Total",ReportingSegment_I,"&lt;&gt;###"),[1]!Outputs_TB[Account Code],J$5)</f>
        <v>0</v>
      </c>
      <c r="K37" s="23">
        <f>-SUMIFS([1]!Outputs_TB[Amount],[1]!Outputs_TB[Date],ReportingDate_Current,[1]!Outputs_TB[Asset / Liability],"Asset",[1]!Outputs_TB[Reporting Segment],IF(ReportingSegment_I&lt;&gt;"Total",ReportingSegment_I,"&lt;&gt;###"),[1]!Outputs_TB[Account Code],K$5)</f>
        <v>0</v>
      </c>
      <c r="L37" s="23">
        <f>-SUMIFS([1]!Outputs_TB[Amount],[1]!Outputs_TB[Date],ReportingDate_Current,[1]!Outputs_TB[Asset / Liability],"Asset",[1]!Outputs_TB[Reporting Segment],IF(ReportingSegment_I&lt;&gt;"Total",ReportingSegment_I,"&lt;&gt;###"),[1]!Outputs_TB[Account Code],L$5)</f>
        <v>0</v>
      </c>
      <c r="M37" s="23">
        <f>-SUMIFS([1]!Outputs_TB[Amount],[1]!Outputs_TB[Date],ReportingDate_Current,[1]!Outputs_TB[Asset / Liability],"Asset",[1]!Outputs_TB[Reporting Segment],IF(ReportingSegment_I&lt;&gt;"Total",ReportingSegment_I,"&lt;&gt;###"),[1]!Outputs_TB[Account Code],M$5)</f>
        <v>0</v>
      </c>
      <c r="N37" s="23">
        <f>-SUMIFS([1]!Outputs_TB[Amount],[1]!Outputs_TB[Date],ReportingDate_Current,[1]!Outputs_TB[Asset / Liability],"Asset",[1]!Outputs_TB[Reporting Segment],IF(ReportingSegment_I&lt;&gt;"Total",ReportingSegment_I,"&lt;&gt;###"),[1]!Outputs_TB[Account Code],N$5)</f>
        <v>0</v>
      </c>
      <c r="O37" s="23">
        <f>-SUMIFS([1]!Outputs_TB[Amount],[1]!Outputs_TB[Date],ReportingDate_Current,[1]!Outputs_TB[Asset / Liability],"Asset",[1]!Outputs_TB[Reporting Segment],IF(ReportingSegment_I&lt;&gt;"Total",ReportingSegment_I,"&lt;&gt;###"),[1]!Outputs_TB[Account Code],O$5)</f>
        <v>0</v>
      </c>
      <c r="P37" s="23">
        <f>-SUMIFS([1]!Outputs_TB[Amount],[1]!Outputs_TB[Date],ReportingDate_Current,[1]!Outputs_TB[Asset / Liability],"Asset",[1]!Outputs_TB[Reporting Segment],IF(ReportingSegment_I&lt;&gt;"Total",ReportingSegment_I,"&lt;&gt;###"),[1]!Outputs_TB[Account Code],P$5)</f>
        <v>0</v>
      </c>
      <c r="Q37" s="23">
        <f>-SUMIFS([1]!Outputs_TB[Amount],[1]!Outputs_TB[Date],ReportingDate_Current,[1]!Outputs_TB[Asset / Liability],"Asset",[1]!Outputs_TB[Reporting Segment],IF(ReportingSegment_I&lt;&gt;"Total",ReportingSegment_I,"&lt;&gt;###"),[1]!Outputs_TB[Account Code],Q$5)</f>
        <v>0</v>
      </c>
      <c r="R37" s="23">
        <f>-SUMIFS([1]!Outputs_TB[Amount],[1]!Outputs_TB[Date],ReportingDate_Current,[1]!Outputs_TB[Asset / Liability],"Asset",[1]!Outputs_TB[Reporting Segment],IF(ReportingSegment_I&lt;&gt;"Total",ReportingSegment_I,"&lt;&gt;###"),[1]!Outputs_TB[Account Code],R$5)</f>
        <v>0</v>
      </c>
      <c r="S37" s="23"/>
    </row>
    <row r="38" spans="1:19">
      <c r="A38" s="33"/>
      <c r="B38" s="33"/>
      <c r="C38" s="33"/>
      <c r="D38" s="33" t="s">
        <v>19</v>
      </c>
      <c r="E38" s="33"/>
      <c r="F38" s="33"/>
      <c r="G38" s="34"/>
      <c r="H38" s="23">
        <f>SUMIFS([1]!Outputs_TB[Amount],[1]!Outputs_TB[Date],ReportingDate_Current,[1]!Outputs_TB[Asset / Liability],"Liability",[1]!Outputs_TB[Reporting Segment],IF(ReportingSegment_I&lt;&gt;"Total",ReportingSegment_I,"&lt;&gt;###"),[1]!Outputs_TB[Account Code],H$5)</f>
        <v>0</v>
      </c>
      <c r="I38" s="23">
        <f>SUMIFS([1]!Outputs_TB[Amount],[1]!Outputs_TB[Date],ReportingDate_Current,[1]!Outputs_TB[Asset / Liability],"Liability",[1]!Outputs_TB[Reporting Segment],IF(ReportingSegment_I&lt;&gt;"Total",ReportingSegment_I,"&lt;&gt;###"),[1]!Outputs_TB[Account Code],I$5)</f>
        <v>0</v>
      </c>
      <c r="J38" s="23">
        <f>SUMIFS([1]!Outputs_TB[Amount],[1]!Outputs_TB[Date],ReportingDate_Current,[1]!Outputs_TB[Asset / Liability],"Liability",[1]!Outputs_TB[Reporting Segment],IF(ReportingSegment_I&lt;&gt;"Total",ReportingSegment_I,"&lt;&gt;###"),[1]!Outputs_TB[Account Code],J$5)</f>
        <v>0</v>
      </c>
      <c r="K38" s="23">
        <f>SUMIFS([1]!Outputs_TB[Amount],[1]!Outputs_TB[Date],ReportingDate_Current,[1]!Outputs_TB[Asset / Liability],"Liability",[1]!Outputs_TB[Reporting Segment],IF(ReportingSegment_I&lt;&gt;"Total",ReportingSegment_I,"&lt;&gt;###"),[1]!Outputs_TB[Account Code],K$5)</f>
        <v>0</v>
      </c>
      <c r="L38" s="23">
        <f>SUMIFS([1]!Outputs_TB[Amount],[1]!Outputs_TB[Date],ReportingDate_Current,[1]!Outputs_TB[Asset / Liability],"Liability",[1]!Outputs_TB[Reporting Segment],IF(ReportingSegment_I&lt;&gt;"Total",ReportingSegment_I,"&lt;&gt;###"),[1]!Outputs_TB[Account Code],L$5)</f>
        <v>0</v>
      </c>
      <c r="M38" s="23">
        <f>SUMIFS([1]!Outputs_TB[Amount],[1]!Outputs_TB[Date],ReportingDate_Current,[1]!Outputs_TB[Asset / Liability],"Liability",[1]!Outputs_TB[Reporting Segment],IF(ReportingSegment_I&lt;&gt;"Total",ReportingSegment_I,"&lt;&gt;###"),[1]!Outputs_TB[Account Code],M$5)</f>
        <v>0</v>
      </c>
      <c r="N38" s="23">
        <f>SUMIFS([1]!Outputs_TB[Amount],[1]!Outputs_TB[Date],ReportingDate_Current,[1]!Outputs_TB[Asset / Liability],"Liability",[1]!Outputs_TB[Reporting Segment],IF(ReportingSegment_I&lt;&gt;"Total",ReportingSegment_I,"&lt;&gt;###"),[1]!Outputs_TB[Account Code],N$5)</f>
        <v>0</v>
      </c>
      <c r="O38" s="23">
        <f>SUMIFS([1]!Outputs_TB[Amount],[1]!Outputs_TB[Date],ReportingDate_Current,[1]!Outputs_TB[Asset / Liability],"Liability",[1]!Outputs_TB[Reporting Segment],IF(ReportingSegment_I&lt;&gt;"Total",ReportingSegment_I,"&lt;&gt;###"),[1]!Outputs_TB[Account Code],O$5)</f>
        <v>584479.85221247841</v>
      </c>
      <c r="P38" s="23">
        <f>SUMIFS([1]!Outputs_TB[Amount],[1]!Outputs_TB[Date],ReportingDate_Current,[1]!Outputs_TB[Asset / Liability],"Liability",[1]!Outputs_TB[Reporting Segment],IF(ReportingSegment_I&lt;&gt;"Total",ReportingSegment_I,"&lt;&gt;###"),[1]!Outputs_TB[Account Code],P$5)</f>
        <v>0</v>
      </c>
      <c r="Q38" s="23">
        <f>SUMIFS([1]!Outputs_TB[Amount],[1]!Outputs_TB[Date],ReportingDate_Current,[1]!Outputs_TB[Asset / Liability],"Liability",[1]!Outputs_TB[Reporting Segment],IF(ReportingSegment_I&lt;&gt;"Total",ReportingSegment_I,"&lt;&gt;###"),[1]!Outputs_TB[Account Code],Q$5)</f>
        <v>29223.992610623922</v>
      </c>
      <c r="R38" s="23">
        <f>SUMIFS([1]!Outputs_TB[Amount],[1]!Outputs_TB[Date],ReportingDate_Current,[1]!Outputs_TB[Asset / Liability],"Liability",[1]!Outputs_TB[Reporting Segment],IF(ReportingSegment_I&lt;&gt;"Total",ReportingSegment_I,"&lt;&gt;###"),[1]!Outputs_TB[Account Code],R$5)</f>
        <v>0</v>
      </c>
      <c r="S38" s="23"/>
    </row>
    <row r="39" spans="1:19">
      <c r="A39" s="33"/>
      <c r="B39" s="33"/>
      <c r="C39" s="33"/>
      <c r="D39" s="25" t="s">
        <v>34</v>
      </c>
      <c r="E39" s="26"/>
      <c r="F39" s="27"/>
      <c r="G39" s="28"/>
      <c r="H39" s="29">
        <f>SUM(H37:H38)</f>
        <v>2936.5</v>
      </c>
      <c r="I39" s="29">
        <f t="shared" ref="I39:R39" si="2">SUM(I37:I38)</f>
        <v>0</v>
      </c>
      <c r="J39" s="29">
        <f t="shared" si="2"/>
        <v>0</v>
      </c>
      <c r="K39" s="29">
        <f t="shared" si="2"/>
        <v>0</v>
      </c>
      <c r="L39" s="29">
        <f t="shared" si="2"/>
        <v>0</v>
      </c>
      <c r="M39" s="29">
        <f t="shared" si="2"/>
        <v>0</v>
      </c>
      <c r="N39" s="29">
        <f t="shared" si="2"/>
        <v>0</v>
      </c>
      <c r="O39" s="29">
        <f t="shared" si="2"/>
        <v>584479.85221247841</v>
      </c>
      <c r="P39" s="29">
        <f t="shared" si="2"/>
        <v>0</v>
      </c>
      <c r="Q39" s="29">
        <f t="shared" si="2"/>
        <v>29223.992610623922</v>
      </c>
      <c r="R39" s="29">
        <f t="shared" si="2"/>
        <v>0</v>
      </c>
      <c r="S39" s="23"/>
    </row>
    <row r="40" spans="1:19" s="79" customFormat="1">
      <c r="A40" s="34"/>
      <c r="B40" s="34"/>
      <c r="C40" s="34"/>
      <c r="D40" s="34" t="s">
        <v>35</v>
      </c>
      <c r="E40" s="34"/>
      <c r="F40" s="34"/>
      <c r="G40" s="34"/>
      <c r="H40" s="78" t="str">
        <f>IF(ROUND(H35,2)=ROUND(H39,2),"OK","ERROR")</f>
        <v>OK</v>
      </c>
      <c r="I40" s="78" t="str">
        <f t="shared" ref="I40:R40" si="3">IF(ROUND(I35,2)=ROUND(I39,2),"OK","ERROR")</f>
        <v>OK</v>
      </c>
      <c r="J40" s="78" t="str">
        <f t="shared" si="3"/>
        <v>OK</v>
      </c>
      <c r="K40" s="78" t="str">
        <f t="shared" si="3"/>
        <v>OK</v>
      </c>
      <c r="L40" s="78" t="str">
        <f t="shared" si="3"/>
        <v>OK</v>
      </c>
      <c r="M40" s="78" t="str">
        <f t="shared" si="3"/>
        <v>OK</v>
      </c>
      <c r="N40" s="78" t="str">
        <f t="shared" si="3"/>
        <v>OK</v>
      </c>
      <c r="O40" s="78" t="str">
        <f t="shared" si="3"/>
        <v>OK</v>
      </c>
      <c r="P40" s="78" t="str">
        <f t="shared" si="3"/>
        <v>OK</v>
      </c>
      <c r="Q40" s="78" t="str">
        <f t="shared" si="3"/>
        <v>OK</v>
      </c>
      <c r="R40" s="78" t="str">
        <f t="shared" si="3"/>
        <v>OK</v>
      </c>
      <c r="S40" s="23"/>
    </row>
  </sheetData>
  <mergeCells count="18">
    <mergeCell ref="D35:F35"/>
    <mergeCell ref="D39:F39"/>
    <mergeCell ref="D8:F8"/>
    <mergeCell ref="A9:A24"/>
    <mergeCell ref="B9:B16"/>
    <mergeCell ref="C9:C14"/>
    <mergeCell ref="B17:C24"/>
    <mergeCell ref="A25:C34"/>
    <mergeCell ref="A1:F4"/>
    <mergeCell ref="G1:G4"/>
    <mergeCell ref="H1:S1"/>
    <mergeCell ref="H2:M2"/>
    <mergeCell ref="N2:R2"/>
    <mergeCell ref="S2:S4"/>
    <mergeCell ref="H3:L3"/>
    <mergeCell ref="M3:M4"/>
    <mergeCell ref="N3:P3"/>
    <mergeCell ref="Q3:R3"/>
  </mergeCells>
  <conditionalFormatting sqref="H40:R40">
    <cfRule type="expression" dxfId="5" priority="1">
      <formula>H40="ERROR"</formula>
    </cfRule>
    <cfRule type="expression" dxfId="4" priority="2">
      <formula>H40="OK"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7471-7893-41D6-B469-F78EEDC2681B}">
  <sheetPr codeName="Sheet78">
    <tabColor rgb="FFFFE600"/>
    <outlinePr summaryBelow="0"/>
  </sheetPr>
  <dimension ref="B1:H43"/>
  <sheetViews>
    <sheetView zoomScale="90" zoomScaleNormal="90" workbookViewId="0">
      <selection activeCell="G7" sqref="G7"/>
    </sheetView>
  </sheetViews>
  <sheetFormatPr defaultColWidth="8.85546875" defaultRowHeight="15" outlineLevelRow="1"/>
  <cols>
    <col min="1" max="1" width="2.42578125" customWidth="1"/>
    <col min="2" max="2" width="67.42578125" bestFit="1" customWidth="1" collapsed="1"/>
    <col min="3" max="3" width="16.42578125" style="112" customWidth="1"/>
    <col min="4" max="4" width="16.42578125" style="82" customWidth="1"/>
    <col min="5" max="5" width="16.42578125" customWidth="1" collapsed="1"/>
    <col min="6" max="10" width="16.42578125" customWidth="1"/>
  </cols>
  <sheetData>
    <row r="1" spans="2:8">
      <c r="B1" s="80" t="s">
        <v>36</v>
      </c>
      <c r="C1" s="81" t="s">
        <v>37</v>
      </c>
    </row>
    <row r="3" spans="2:8">
      <c r="B3" s="83" t="s">
        <v>38</v>
      </c>
      <c r="C3" s="80"/>
    </row>
    <row r="4" spans="2:8" ht="14.45" customHeight="1" outlineLevel="1">
      <c r="B4" s="84"/>
      <c r="C4" s="85" t="s">
        <v>39</v>
      </c>
      <c r="D4" s="86" t="s">
        <v>3</v>
      </c>
      <c r="E4" s="87"/>
      <c r="F4" s="86" t="s">
        <v>4</v>
      </c>
      <c r="G4" s="87"/>
      <c r="H4" s="85" t="s">
        <v>40</v>
      </c>
    </row>
    <row r="5" spans="2:8" ht="33.75" outlineLevel="1">
      <c r="C5" s="85"/>
      <c r="D5" s="88" t="s">
        <v>6</v>
      </c>
      <c r="E5" s="88" t="s">
        <v>7</v>
      </c>
      <c r="F5" s="88" t="s">
        <v>8</v>
      </c>
      <c r="G5" s="88" t="s">
        <v>9</v>
      </c>
      <c r="H5" s="85"/>
    </row>
    <row r="6" spans="2:8" outlineLevel="1">
      <c r="B6" s="89" t="str">
        <f>"Insurance contract assets as at "&amp;YEAR(ReportingDate_Previous)&amp;"/"&amp;MONTH(ReportingDate_Previous)&amp;"/"&amp;DAY(ReportingDate_Previous)</f>
        <v>Insurance contract assets as at 2022/6/30</v>
      </c>
      <c r="C6" s="90">
        <f>SUM([1]I_Disclosures_Master!H6:H6)</f>
        <v>0</v>
      </c>
      <c r="D6" s="90">
        <f>SUM([1]I_Disclosures_Master!I6:L6)</f>
        <v>0</v>
      </c>
      <c r="E6" s="90">
        <f>SUM([1]I_Disclosures_Master!M6:M6)</f>
        <v>0</v>
      </c>
      <c r="F6" s="90">
        <f>SUM([1]I_Disclosures_Master!N6:P6)</f>
        <v>0</v>
      </c>
      <c r="G6" s="90">
        <f>SUM([1]I_Disclosures_Master!Q6:R6)</f>
        <v>0</v>
      </c>
      <c r="H6" s="91">
        <f>SUM(C6:G6)</f>
        <v>0</v>
      </c>
    </row>
    <row r="7" spans="2:8" outlineLevel="1">
      <c r="B7" s="92" t="str">
        <f>"Insurance contract liabilities as at "&amp;YEAR(ReportingDate_Previous)&amp;"/"&amp;MONTH(ReportingDate_Previous)&amp;"/"&amp;DAY(ReportingDate_Previous)</f>
        <v>Insurance contract liabilities as at 2022/6/30</v>
      </c>
      <c r="C7" s="93">
        <f>SUM([1]I_Disclosures_Master!H7:H7)</f>
        <v>0</v>
      </c>
      <c r="D7" s="93">
        <f>SUM([1]I_Disclosures_Master!I7:L7)</f>
        <v>0</v>
      </c>
      <c r="E7" s="93">
        <f>SUM([1]I_Disclosures_Master!M7:M7)</f>
        <v>0</v>
      </c>
      <c r="F7" s="93">
        <f>SUM([1]I_Disclosures_Master!N7:P7)</f>
        <v>1626695.7672411359</v>
      </c>
      <c r="G7" s="94">
        <f>SUM([1]I_Disclosures_Master!Q7:R7)</f>
        <v>81334.788362056803</v>
      </c>
      <c r="H7" s="94">
        <f t="shared" ref="H7:H9" si="0">SUM(C7:G7)</f>
        <v>1708030.5556031927</v>
      </c>
    </row>
    <row r="8" spans="2:8" outlineLevel="1">
      <c r="B8" s="95" t="str">
        <f>"Net insurance contract (assets) / liabilities as at "&amp;YEAR(ReportingDate_Previous)&amp;"/"&amp;MONTH(ReportingDate_Previous)&amp;"/"&amp;DAY(ReportingDate_Previous)</f>
        <v>Net insurance contract (assets) / liabilities as at 2022/6/30</v>
      </c>
      <c r="C8" s="96">
        <f>SUM(C6:C7)</f>
        <v>0</v>
      </c>
      <c r="D8" s="96">
        <f>SUM(D6:D7)</f>
        <v>0</v>
      </c>
      <c r="E8" s="96">
        <f>SUM(E6:E7)</f>
        <v>0</v>
      </c>
      <c r="F8" s="96">
        <f>SUM(F6:F7)</f>
        <v>1626695.7672411359</v>
      </c>
      <c r="G8" s="96">
        <f>SUM(G6:G7)</f>
        <v>81334.788362056803</v>
      </c>
      <c r="H8" s="97">
        <f t="shared" si="0"/>
        <v>1708030.5556031927</v>
      </c>
    </row>
    <row r="9" spans="2:8" outlineLevel="1">
      <c r="B9" s="92" t="s">
        <v>41</v>
      </c>
      <c r="C9" s="98"/>
      <c r="D9" s="93">
        <f>[1]I_Disclosures_Master!I9</f>
        <v>-23492357.252800003</v>
      </c>
      <c r="E9" s="99"/>
      <c r="F9" s="99"/>
      <c r="G9" s="99"/>
      <c r="H9" s="94">
        <f t="shared" si="0"/>
        <v>-23492357.252800003</v>
      </c>
    </row>
    <row r="10" spans="2:8" outlineLevel="1">
      <c r="B10" s="92" t="s">
        <v>24</v>
      </c>
      <c r="C10" s="98"/>
      <c r="D10" s="98"/>
      <c r="E10" s="98"/>
      <c r="F10" s="98"/>
      <c r="G10" s="98"/>
      <c r="H10" s="98"/>
    </row>
    <row r="11" spans="2:8" outlineLevel="1">
      <c r="B11" s="100" t="s">
        <v>42</v>
      </c>
      <c r="C11" s="101"/>
      <c r="D11" s="101"/>
      <c r="E11" s="102">
        <f>[1]I_Disclosures_Master!M11</f>
        <v>0</v>
      </c>
      <c r="F11" s="102">
        <f>SUM([1]I_Disclosures_Master!O11:P11)</f>
        <v>12041338.239966534</v>
      </c>
      <c r="G11" s="103">
        <f>SUM([1]I_Disclosures_Master!Q11:R11)</f>
        <v>29380.20129832661</v>
      </c>
      <c r="H11" s="103">
        <f t="shared" ref="H11:H24" si="1">SUM(C11:G11)</f>
        <v>12070718.44126486</v>
      </c>
    </row>
    <row r="12" spans="2:8" outlineLevel="1">
      <c r="B12" s="100" t="s">
        <v>43</v>
      </c>
      <c r="C12" s="102">
        <f>[1]I_Disclosures_Master!H12</f>
        <v>0</v>
      </c>
      <c r="D12" s="102">
        <f>[1]I_Disclosures_Master!K12</f>
        <v>9723782.5540552903</v>
      </c>
      <c r="E12" s="101"/>
      <c r="F12" s="101"/>
      <c r="G12" s="104"/>
      <c r="H12" s="103">
        <f t="shared" si="1"/>
        <v>9723782.5540552903</v>
      </c>
    </row>
    <row r="13" spans="2:8" outlineLevel="1">
      <c r="B13" s="100" t="s">
        <v>44</v>
      </c>
      <c r="C13" s="102">
        <f>[1]I_Disclosures_Master!H13</f>
        <v>5873</v>
      </c>
      <c r="D13" s="101"/>
      <c r="E13" s="101"/>
      <c r="F13" s="101"/>
      <c r="G13" s="104"/>
      <c r="H13" s="103">
        <f t="shared" si="1"/>
        <v>5873</v>
      </c>
    </row>
    <row r="14" spans="2:8" outlineLevel="1">
      <c r="B14" s="100" t="s">
        <v>45</v>
      </c>
      <c r="C14" s="102">
        <f>[1]I_Disclosures_Master!H14</f>
        <v>-2936.5</v>
      </c>
      <c r="D14" s="101"/>
      <c r="E14" s="101"/>
      <c r="F14" s="101"/>
      <c r="G14" s="104"/>
      <c r="H14" s="103">
        <f t="shared" si="1"/>
        <v>-2936.5</v>
      </c>
    </row>
    <row r="15" spans="2:8" outlineLevel="1">
      <c r="B15" s="100" t="s">
        <v>46</v>
      </c>
      <c r="C15" s="101"/>
      <c r="D15" s="101"/>
      <c r="E15" s="102">
        <f>[1]I_Disclosures_Master!M15</f>
        <v>0</v>
      </c>
      <c r="F15" s="101"/>
      <c r="G15" s="104"/>
      <c r="H15" s="103">
        <f t="shared" si="1"/>
        <v>0</v>
      </c>
    </row>
    <row r="16" spans="2:8" outlineLevel="1">
      <c r="B16" s="100" t="s">
        <v>47</v>
      </c>
      <c r="C16" s="101"/>
      <c r="D16" s="101"/>
      <c r="E16" s="101"/>
      <c r="F16" s="102">
        <f>SUM([1]I_Disclosures_Master!O16:P16)</f>
        <v>-1644603.2363942768</v>
      </c>
      <c r="G16" s="103">
        <f>SUM([1]I_Disclosures_Master!Q16:R16)</f>
        <v>-81490.997049759477</v>
      </c>
      <c r="H16" s="103">
        <f t="shared" si="1"/>
        <v>-1726094.2334440362</v>
      </c>
    </row>
    <row r="17" spans="2:8" outlineLevel="1">
      <c r="B17" s="92" t="s">
        <v>48</v>
      </c>
      <c r="C17" s="93">
        <f>[1]I_Disclosures_Master!H27</f>
        <v>0</v>
      </c>
      <c r="D17" s="93">
        <f>[1]I_Disclosures_Master!K27</f>
        <v>0</v>
      </c>
      <c r="E17" s="104"/>
      <c r="F17" s="104"/>
      <c r="G17" s="104"/>
      <c r="H17" s="103">
        <f t="shared" si="1"/>
        <v>0</v>
      </c>
    </row>
    <row r="18" spans="2:8" outlineLevel="1">
      <c r="B18" s="92" t="s">
        <v>49</v>
      </c>
      <c r="C18" s="101"/>
      <c r="D18" s="93">
        <f>SUM([1]I_Disclosures_Master!I26:J26)</f>
        <v>0</v>
      </c>
      <c r="E18" s="99"/>
      <c r="F18" s="93">
        <f>[1]I_Disclosures_Master!N26</f>
        <v>0</v>
      </c>
      <c r="G18" s="104"/>
      <c r="H18" s="94">
        <f t="shared" si="1"/>
        <v>0</v>
      </c>
    </row>
    <row r="19" spans="2:8" outlineLevel="1">
      <c r="B19" s="105" t="s">
        <v>22</v>
      </c>
      <c r="C19" s="106">
        <f>SUM(C9:C18)</f>
        <v>2936.5</v>
      </c>
      <c r="D19" s="106">
        <f>SUM(D9:D18)</f>
        <v>-13768574.698744712</v>
      </c>
      <c r="E19" s="106">
        <f>SUM(E9:E18)</f>
        <v>0</v>
      </c>
      <c r="F19" s="106">
        <f>SUM(F9:F18)</f>
        <v>10396735.003572257</v>
      </c>
      <c r="G19" s="106">
        <f>SUM(G9:G18)</f>
        <v>-52110.795751432866</v>
      </c>
      <c r="H19" s="107">
        <f t="shared" si="1"/>
        <v>-3421013.9909238881</v>
      </c>
    </row>
    <row r="20" spans="2:8" outlineLevel="1">
      <c r="B20" s="108" t="s">
        <v>50</v>
      </c>
      <c r="C20" s="101"/>
      <c r="D20" s="102">
        <f>SUM([1]I_Disclosures_Master!I18:L18)</f>
        <v>0</v>
      </c>
      <c r="E20" s="102">
        <f>SUM([1]I_Disclosures_Master!M18:M18)</f>
        <v>0</v>
      </c>
      <c r="F20" s="102">
        <f>SUM([1]I_Disclosures_Master!O18:P18)</f>
        <v>17907.469153140781</v>
      </c>
      <c r="G20" s="102">
        <f>SUM([1]I_Disclosures_Master!Q18:R18)</f>
        <v>0</v>
      </c>
      <c r="H20" s="103">
        <f t="shared" si="1"/>
        <v>17907.469153140781</v>
      </c>
    </row>
    <row r="21" spans="2:8" outlineLevel="1">
      <c r="B21" s="108" t="s">
        <v>29</v>
      </c>
      <c r="C21" s="101"/>
      <c r="D21" s="102">
        <f>SUM([1]I_Disclosures_Master!I20:L21)</f>
        <v>0</v>
      </c>
      <c r="E21" s="102">
        <f>SUM([1]I_Disclosures_Master!M20:M21)</f>
        <v>0</v>
      </c>
      <c r="F21" s="102">
        <f>SUM([1]I_Disclosures_Master!O20:P21)</f>
        <v>-3124.1737540536851</v>
      </c>
      <c r="G21" s="102">
        <f>SUM([1]I_Disclosures_Master!Q20:R21)</f>
        <v>0</v>
      </c>
      <c r="H21" s="103">
        <f t="shared" si="1"/>
        <v>-3124.1737540536851</v>
      </c>
    </row>
    <row r="22" spans="2:8" outlineLevel="1">
      <c r="B22" s="108" t="s">
        <v>30</v>
      </c>
      <c r="C22" s="102">
        <f>SUM([1]I_Disclosures_Master!H23:H24)</f>
        <v>0</v>
      </c>
      <c r="D22" s="102">
        <f>SUM([1]I_Disclosures_Master!I23:L24)</f>
        <v>0</v>
      </c>
      <c r="E22" s="102">
        <f>SUM([1]I_Disclosures_Master!M23:M24)</f>
        <v>0</v>
      </c>
      <c r="F22" s="102">
        <f>SUM([1]I_Disclosures_Master!N23:P24)</f>
        <v>0</v>
      </c>
      <c r="G22" s="102">
        <f>SUM([1]I_Disclosures_Master!Q23:R24)</f>
        <v>0</v>
      </c>
      <c r="H22" s="103">
        <f t="shared" si="1"/>
        <v>0</v>
      </c>
    </row>
    <row r="23" spans="2:8" outlineLevel="1">
      <c r="B23" s="105" t="s">
        <v>51</v>
      </c>
      <c r="C23" s="106">
        <f>SUM(C20:C22)</f>
        <v>0</v>
      </c>
      <c r="D23" s="106">
        <f>SUM(D20:D22)</f>
        <v>0</v>
      </c>
      <c r="E23" s="106">
        <f>SUM(E20:E22)</f>
        <v>0</v>
      </c>
      <c r="F23" s="106">
        <f>SUM(F20:F22)</f>
        <v>14783.295399087096</v>
      </c>
      <c r="G23" s="106">
        <f>SUM(G20:G22)</f>
        <v>0</v>
      </c>
      <c r="H23" s="107">
        <f t="shared" si="1"/>
        <v>14783.295399087096</v>
      </c>
    </row>
    <row r="24" spans="2:8" outlineLevel="1">
      <c r="B24" s="105" t="s">
        <v>52</v>
      </c>
      <c r="C24" s="106">
        <f>SUM(C19,C23)</f>
        <v>2936.5</v>
      </c>
      <c r="D24" s="106">
        <f>SUM(D19,D23)</f>
        <v>-13768574.698744712</v>
      </c>
      <c r="E24" s="107">
        <f>SUM(E19,E23)</f>
        <v>0</v>
      </c>
      <c r="F24" s="106">
        <f>SUM(F19,F23)</f>
        <v>10411518.298971344</v>
      </c>
      <c r="G24" s="106">
        <f>SUM(G19,G23)</f>
        <v>-52110.795751432866</v>
      </c>
      <c r="H24" s="107">
        <f t="shared" si="1"/>
        <v>-3406230.6955248015</v>
      </c>
    </row>
    <row r="25" spans="2:8" outlineLevel="1">
      <c r="B25" s="92" t="s">
        <v>33</v>
      </c>
      <c r="C25" s="98"/>
      <c r="D25" s="98"/>
      <c r="E25" s="98"/>
      <c r="F25" s="98"/>
      <c r="G25" s="98"/>
      <c r="H25" s="98"/>
    </row>
    <row r="26" spans="2:8" outlineLevel="1">
      <c r="B26" s="108" t="s">
        <v>53</v>
      </c>
      <c r="C26" s="98"/>
      <c r="D26" s="102">
        <f>SUM([1]I_Disclosures_Master!I31:J31)</f>
        <v>23492357.252800003</v>
      </c>
      <c r="E26" s="101"/>
      <c r="F26" s="101"/>
      <c r="G26" s="104"/>
      <c r="H26" s="103">
        <f t="shared" ref="H26:H33" si="2">SUM(C26:G26)</f>
        <v>23492357.252800003</v>
      </c>
    </row>
    <row r="27" spans="2:8" outlineLevel="1">
      <c r="B27" s="108" t="s">
        <v>54</v>
      </c>
      <c r="C27" s="101"/>
      <c r="D27" s="101"/>
      <c r="E27" s="101"/>
      <c r="F27" s="102">
        <f>SUM([1]I_Disclosures_Master!N32:P33)</f>
        <v>-11453734.214000002</v>
      </c>
      <c r="G27" s="104"/>
      <c r="H27" s="103">
        <f t="shared" si="2"/>
        <v>-11453734.214000002</v>
      </c>
    </row>
    <row r="28" spans="2:8" outlineLevel="1">
      <c r="B28" s="108" t="s">
        <v>55</v>
      </c>
      <c r="C28" s="102">
        <f>SUM([1]I_Disclosures_Master!H34:H34)</f>
        <v>0</v>
      </c>
      <c r="D28" s="102">
        <f>SUM([1]I_Disclosures_Master!I34:L34)</f>
        <v>-9723782.5540552903</v>
      </c>
      <c r="E28" s="101"/>
      <c r="F28" s="101"/>
      <c r="G28" s="104"/>
      <c r="H28" s="103">
        <f t="shared" si="2"/>
        <v>-9723782.5540552903</v>
      </c>
    </row>
    <row r="29" spans="2:8" outlineLevel="1">
      <c r="B29" s="105" t="s">
        <v>56</v>
      </c>
      <c r="C29" s="106">
        <f>SUM(C26:C28)</f>
        <v>0</v>
      </c>
      <c r="D29" s="106">
        <f>SUM(D26:D28)</f>
        <v>13768574.698744712</v>
      </c>
      <c r="E29" s="106">
        <f>SUM(E26:E28)</f>
        <v>0</v>
      </c>
      <c r="F29" s="106">
        <f>SUM(F26:F28)</f>
        <v>-11453734.214000002</v>
      </c>
      <c r="G29" s="106">
        <f>SUM(G26:G28)</f>
        <v>0</v>
      </c>
      <c r="H29" s="107">
        <f t="shared" si="2"/>
        <v>2314840.4847447108</v>
      </c>
    </row>
    <row r="30" spans="2:8" ht="15.75" outlineLevel="1" thickBot="1">
      <c r="B30" s="109" t="str">
        <f>"Net insurance contract (assets)/liabilities as at "&amp;YEAR(ReportingDate_Current)&amp;"/"&amp;MONTH(ReportingDate_Current)&amp;"/"&amp;DAY(ReportingDate_Current)</f>
        <v>Net insurance contract (assets)/liabilities as at 2023/6/30</v>
      </c>
      <c r="C30" s="110">
        <f>SUM(C8,C24,C29)</f>
        <v>2936.5</v>
      </c>
      <c r="D30" s="110">
        <f>SUM(D8,D24,D29)</f>
        <v>0</v>
      </c>
      <c r="E30" s="111">
        <f>SUM(E8,E24,E29)</f>
        <v>0</v>
      </c>
      <c r="F30" s="110">
        <f>SUM(F8,F24,F29)</f>
        <v>584479.85221247748</v>
      </c>
      <c r="G30" s="110">
        <f>SUM(G8,G24,G29)</f>
        <v>29223.992610623936</v>
      </c>
      <c r="H30" s="111">
        <f t="shared" si="2"/>
        <v>616640.34482310142</v>
      </c>
    </row>
    <row r="31" spans="2:8" outlineLevel="1">
      <c r="B31" s="92" t="str">
        <f>"Insurance contract assets as at "&amp;YEAR(ReportingDate_Current)&amp;"/"&amp;MONTH(ReportingDate_Current)&amp;"/"&amp;DAY(ReportingDate_Current)</f>
        <v>Insurance contract assets as at 2023/6/30</v>
      </c>
      <c r="C31" s="90">
        <f>SUM([1]I_Disclosures_Master!H37:H37)</f>
        <v>2936.5</v>
      </c>
      <c r="D31" s="90">
        <f>SUM([1]I_Disclosures_Master!I37:L37)</f>
        <v>0</v>
      </c>
      <c r="E31" s="90">
        <f>SUM([1]I_Disclosures_Master!M37:M37)</f>
        <v>0</v>
      </c>
      <c r="F31" s="90">
        <f>SUM([1]I_Disclosures_Master!N37:P37)</f>
        <v>0</v>
      </c>
      <c r="G31" s="90">
        <f>SUM([1]I_Disclosures_Master!Q37:R37)</f>
        <v>0</v>
      </c>
      <c r="H31" s="91">
        <f t="shared" si="2"/>
        <v>2936.5</v>
      </c>
    </row>
    <row r="32" spans="2:8" outlineLevel="1">
      <c r="B32" s="92" t="str">
        <f>"Insurance contract liabilities as at "&amp;YEAR(ReportingDate_Current)&amp;"/"&amp;MONTH(ReportingDate_Current)&amp;"/"&amp;DAY(ReportingDate_Current)</f>
        <v>Insurance contract liabilities as at 2023/6/30</v>
      </c>
      <c r="C32" s="93">
        <f>SUM([1]I_Disclosures_Master!H38:H38)</f>
        <v>0</v>
      </c>
      <c r="D32" s="93">
        <f>SUM([1]I_Disclosures_Master!I38:L38)</f>
        <v>0</v>
      </c>
      <c r="E32" s="93">
        <f>SUM([1]I_Disclosures_Master!M38:M38)</f>
        <v>0</v>
      </c>
      <c r="F32" s="93">
        <f>SUM([1]I_Disclosures_Master!N38:P38)</f>
        <v>584479.85221247841</v>
      </c>
      <c r="G32" s="94">
        <f>SUM([1]I_Disclosures_Master!Q38:R38)</f>
        <v>29223.992610623922</v>
      </c>
      <c r="H32" s="94">
        <f t="shared" si="2"/>
        <v>613703.84482310235</v>
      </c>
    </row>
    <row r="33" spans="2:8" ht="15.75" outlineLevel="1" thickBot="1">
      <c r="B33" s="109" t="str">
        <f>"Net insurance contract (assets) / liabilities as at "&amp;YEAR(ReportingDate_Current)&amp;"/"&amp;MONTH(ReportingDate_Current)&amp;"/"&amp;DAY(ReportingDate_Current)</f>
        <v>Net insurance contract (assets) / liabilities as at 2023/6/30</v>
      </c>
      <c r="C33" s="110">
        <f>SUM(C31:C32)</f>
        <v>2936.5</v>
      </c>
      <c r="D33" s="110">
        <f>SUM(D31:D32)</f>
        <v>0</v>
      </c>
      <c r="E33" s="110">
        <f>SUM(E31:E32)</f>
        <v>0</v>
      </c>
      <c r="F33" s="110">
        <f>SUM(F31:F32)</f>
        <v>584479.85221247841</v>
      </c>
      <c r="G33" s="110">
        <f>SUM(G31:G32)</f>
        <v>29223.992610623922</v>
      </c>
      <c r="H33" s="111">
        <f t="shared" si="2"/>
        <v>616640.34482310235</v>
      </c>
    </row>
    <row r="34" spans="2:8">
      <c r="D34" s="113"/>
      <c r="E34" s="113"/>
      <c r="F34" s="113"/>
      <c r="G34" s="113"/>
      <c r="H34" s="113"/>
    </row>
    <row r="35" spans="2:8">
      <c r="B35" s="83" t="s">
        <v>57</v>
      </c>
      <c r="C35"/>
    </row>
    <row r="36" spans="2:8" outlineLevel="1">
      <c r="C36" s="114">
        <f>ReportingDate_Current</f>
        <v>45107</v>
      </c>
    </row>
    <row r="37" spans="2:8" outlineLevel="1">
      <c r="B37" s="89" t="s">
        <v>58</v>
      </c>
      <c r="C37" s="91"/>
    </row>
    <row r="38" spans="2:8" outlineLevel="1">
      <c r="B38" s="108" t="s">
        <v>50</v>
      </c>
      <c r="C38" s="94">
        <f>-SUM([1]I_Disclosures_Master!I18:R18)</f>
        <v>-17907.469153140781</v>
      </c>
    </row>
    <row r="39" spans="2:8" outlineLevel="1">
      <c r="B39" s="108" t="s">
        <v>29</v>
      </c>
      <c r="C39" s="94">
        <f>-SUM([1]I_Disclosures_Master!I20:R21)</f>
        <v>3124.1737540536851</v>
      </c>
    </row>
    <row r="40" spans="2:8" outlineLevel="1">
      <c r="B40" s="108" t="s">
        <v>30</v>
      </c>
      <c r="C40" s="94">
        <f>-SUM([1]I_Disclosures_Master!I23:R24)</f>
        <v>0</v>
      </c>
    </row>
    <row r="41" spans="2:8" outlineLevel="1">
      <c r="B41" s="95" t="s">
        <v>59</v>
      </c>
      <c r="C41" s="97">
        <f>SUM(C38:C40)</f>
        <v>-14783.295399087096</v>
      </c>
    </row>
    <row r="42" spans="2:8" outlineLevel="1">
      <c r="B42" s="92" t="s">
        <v>60</v>
      </c>
      <c r="C42" s="94">
        <f>-SUM([1]I_Disclosures_Master!I18:R18,[1]I_Disclosures_Master!I20:R20,[1]I_Disclosures_Master!I23:R23)</f>
        <v>-14783.295399087096</v>
      </c>
    </row>
    <row r="43" spans="2:8" outlineLevel="1">
      <c r="B43" s="115" t="s">
        <v>61</v>
      </c>
      <c r="C43" s="116">
        <f>-SUM([1]I_Disclosures_Master!I21:R21,[1]I_Disclosures_Master!I24:R24)</f>
        <v>0</v>
      </c>
    </row>
  </sheetData>
  <protectedRanges>
    <protectedRange sqref="C1" name="ReportingSegments"/>
  </protectedRanges>
  <mergeCells count="4">
    <mergeCell ref="C4:C5"/>
    <mergeCell ref="D4:E4"/>
    <mergeCell ref="F4:G4"/>
    <mergeCell ref="H4:H5"/>
  </mergeCells>
  <conditionalFormatting sqref="D34:H34">
    <cfRule type="expression" dxfId="3" priority="1">
      <formula>D34="ERROR"</formula>
    </cfRule>
    <cfRule type="expression" dxfId="2" priority="2">
      <formula>D34="OK"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400E-0C86-464F-9D7A-4374A9CF1EE4}">
  <sheetPr codeName="Sheet81">
    <tabColor rgb="FFFFE600"/>
  </sheetPr>
  <dimension ref="N79:AS79"/>
  <sheetViews>
    <sheetView workbookViewId="0"/>
  </sheetViews>
  <sheetFormatPr defaultColWidth="2.42578125" defaultRowHeight="9"/>
  <cols>
    <col min="1" max="16384" width="2.42578125" style="118"/>
  </cols>
  <sheetData>
    <row r="79" spans="14:45">
      <c r="N79" s="117"/>
      <c r="O79" s="118" t="s">
        <v>62</v>
      </c>
      <c r="X79" s="119"/>
      <c r="Y79" s="118" t="s">
        <v>63</v>
      </c>
      <c r="AH79" s="120"/>
      <c r="AI79" s="118" t="s">
        <v>64</v>
      </c>
      <c r="AR79" s="121"/>
      <c r="AS79" s="118" t="s">
        <v>65</v>
      </c>
    </row>
  </sheetData>
  <sheetProtection algorithmName="SHA-512" hashValue="ldSJJXv+XkZYlBjssVgSwwXdwslmSC/OxRanNnt2agkvyQrq4xxxULGvfCKjy9iN3fNgGzV+IDjxaPQgiwPyxg==" saltValue="qpxvN0aMpQjGPZwMUWBHUw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00FB-86C0-472C-BAEA-B62BF98ABF3E}">
  <sheetPr codeName="Sheet79">
    <tabColor rgb="FFFFE600"/>
    <outlinePr summaryBelow="0" summaryRight="0"/>
  </sheetPr>
  <dimension ref="A1:S41"/>
  <sheetViews>
    <sheetView workbookViewId="0">
      <selection sqref="A1:F4"/>
    </sheetView>
  </sheetViews>
  <sheetFormatPr defaultColWidth="8.42578125" defaultRowHeight="12" outlineLevelRow="1" outlineLevelCol="1"/>
  <cols>
    <col min="1" max="1" width="4.42578125" style="4" bestFit="1" customWidth="1"/>
    <col min="2" max="2" width="4.42578125" style="4" customWidth="1"/>
    <col min="3" max="3" width="6.42578125" style="4" bestFit="1" customWidth="1"/>
    <col min="4" max="5" width="8.42578125" style="4"/>
    <col min="6" max="6" width="87.42578125" style="4" bestFit="1" customWidth="1"/>
    <col min="7" max="7" width="20.42578125" style="79" customWidth="1" outlineLevel="1"/>
    <col min="8" max="19" width="20.42578125" style="4" customWidth="1"/>
    <col min="20" max="16384" width="8.42578125" style="4"/>
  </cols>
  <sheetData>
    <row r="1" spans="1:19">
      <c r="A1" s="1" t="s">
        <v>66</v>
      </c>
      <c r="B1" s="1"/>
      <c r="C1" s="1"/>
      <c r="D1" s="1"/>
      <c r="E1" s="1"/>
      <c r="F1" s="1"/>
      <c r="G1" s="2" t="s">
        <v>1</v>
      </c>
      <c r="H1" s="3" t="s">
        <v>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1"/>
      <c r="B2" s="1"/>
      <c r="C2" s="1"/>
      <c r="D2" s="1"/>
      <c r="E2" s="1"/>
      <c r="F2" s="1"/>
      <c r="G2" s="5"/>
      <c r="H2" s="6" t="s">
        <v>67</v>
      </c>
      <c r="I2" s="7"/>
      <c r="J2" s="7"/>
      <c r="K2" s="7"/>
      <c r="L2" s="7"/>
      <c r="M2" s="10"/>
      <c r="N2" s="6" t="s">
        <v>68</v>
      </c>
      <c r="O2" s="7"/>
      <c r="P2" s="7"/>
      <c r="Q2" s="7"/>
      <c r="R2" s="10"/>
      <c r="S2" s="9" t="s">
        <v>5</v>
      </c>
    </row>
    <row r="3" spans="1:19" ht="14.45" customHeight="1">
      <c r="A3" s="1"/>
      <c r="B3" s="1"/>
      <c r="C3" s="1"/>
      <c r="D3" s="1"/>
      <c r="E3" s="1"/>
      <c r="F3" s="1"/>
      <c r="G3" s="5"/>
      <c r="H3" s="122" t="s">
        <v>10</v>
      </c>
      <c r="I3" s="6" t="s">
        <v>69</v>
      </c>
      <c r="J3" s="7"/>
      <c r="K3" s="7"/>
      <c r="L3" s="10"/>
      <c r="M3" s="9" t="s">
        <v>70</v>
      </c>
      <c r="N3" s="6" t="s">
        <v>8</v>
      </c>
      <c r="O3" s="7"/>
      <c r="P3" s="10"/>
      <c r="Q3" s="6" t="s">
        <v>9</v>
      </c>
      <c r="R3" s="10"/>
      <c r="S3" s="11"/>
    </row>
    <row r="4" spans="1:19" ht="24">
      <c r="A4" s="1"/>
      <c r="B4" s="1"/>
      <c r="C4" s="1"/>
      <c r="D4" s="1"/>
      <c r="E4" s="1"/>
      <c r="F4" s="1"/>
      <c r="G4" s="12"/>
      <c r="H4" s="123"/>
      <c r="I4" s="13" t="s">
        <v>11</v>
      </c>
      <c r="J4" s="13" t="s">
        <v>71</v>
      </c>
      <c r="K4" s="13" t="s">
        <v>72</v>
      </c>
      <c r="L4" s="13" t="s">
        <v>73</v>
      </c>
      <c r="M4" s="14"/>
      <c r="N4" s="13" t="s">
        <v>15</v>
      </c>
      <c r="O4" s="13" t="s">
        <v>74</v>
      </c>
      <c r="P4" s="13" t="s">
        <v>75</v>
      </c>
      <c r="Q4" s="13" t="s">
        <v>74</v>
      </c>
      <c r="R4" s="13" t="s">
        <v>75</v>
      </c>
      <c r="S4" s="14"/>
    </row>
    <row r="5" spans="1:19" s="19" customFormat="1" outlineLevel="1">
      <c r="A5" s="15"/>
      <c r="B5" s="16"/>
      <c r="C5" s="16"/>
      <c r="D5" s="16" t="s">
        <v>1</v>
      </c>
      <c r="E5" s="16"/>
      <c r="F5" s="16"/>
      <c r="G5" s="17"/>
      <c r="H5" s="18" t="str">
        <f>[1]MetaData!$J$21</f>
        <v>1313000</v>
      </c>
      <c r="I5" s="18" t="str">
        <f>[1]MetaData!$J$16</f>
        <v>1311100</v>
      </c>
      <c r="J5" s="18" t="str">
        <f>[1]MetaData!$J$17</f>
        <v>1311200</v>
      </c>
      <c r="K5" s="18" t="str">
        <f>[1]MetaData!$J$18</f>
        <v>1311300</v>
      </c>
      <c r="L5" s="18" t="str">
        <f>[1]MetaData!$J$19</f>
        <v>1311400</v>
      </c>
      <c r="M5" s="18" t="str">
        <f>[1]MetaData!$J$20</f>
        <v>1312000</v>
      </c>
      <c r="N5" s="18" t="str">
        <f>[1]MetaData!$J$24</f>
        <v>1322110</v>
      </c>
      <c r="O5" s="18" t="str">
        <f>[1]MetaData!$J$22</f>
        <v>1321110</v>
      </c>
      <c r="P5" s="18" t="str">
        <f>[1]MetaData!$J$23</f>
        <v>1321120</v>
      </c>
      <c r="Q5" s="18" t="str">
        <f>[1]MetaData!$J$25</f>
        <v>1323110</v>
      </c>
      <c r="R5" s="18" t="str">
        <f>[1]MetaData!$J$26</f>
        <v>1323120</v>
      </c>
      <c r="S5" s="18">
        <f>[1]MetaData!$J$4</f>
        <v>1100000</v>
      </c>
    </row>
    <row r="6" spans="1:19" s="24" customFormat="1">
      <c r="A6" s="20"/>
      <c r="B6" s="21"/>
      <c r="C6" s="21"/>
      <c r="D6" s="21" t="s">
        <v>18</v>
      </c>
      <c r="E6" s="21"/>
      <c r="F6" s="21"/>
      <c r="G6" s="22"/>
      <c r="H6" s="23">
        <f>SUMIFS([1]!Outputs_TB[Amount],[1]!Outputs_TB[Date],ReportingDate_Previous,[1]!Outputs_TB[Asset / Liability],"Asset",[1]!Outputs_TB[Reporting Segment],IF(ReportingSegment_R&lt;&gt;"Total",ReportingSegment_R,"&lt;&gt;###"),[1]!Outputs_TB[Account Code],H$5)</f>
        <v>0</v>
      </c>
      <c r="I6" s="23">
        <f>SUMIFS([1]!Outputs_TB[Amount],[1]!Outputs_TB[Date],ReportingDate_Previous,[1]!Outputs_TB[Asset / Liability],"Asset",[1]!Outputs_TB[Reporting Segment],IF(ReportingSegment_R&lt;&gt;"Total",ReportingSegment_R,"&lt;&gt;###"),[1]!Outputs_TB[Account Code],I$5)</f>
        <v>0</v>
      </c>
      <c r="J6" s="23">
        <f>SUMIFS([1]!Outputs_TB[Amount],[1]!Outputs_TB[Date],ReportingDate_Previous,[1]!Outputs_TB[Asset / Liability],"Asset",[1]!Outputs_TB[Reporting Segment],IF(ReportingSegment_R&lt;&gt;"Total",ReportingSegment_R,"&lt;&gt;###"),[1]!Outputs_TB[Account Code],J$5)</f>
        <v>0</v>
      </c>
      <c r="K6" s="23">
        <f>SUMIFS([1]!Outputs_TB[Amount],[1]!Outputs_TB[Date],ReportingDate_Previous,[1]!Outputs_TB[Asset / Liability],"Asset",[1]!Outputs_TB[Reporting Segment],IF(ReportingSegment_R&lt;&gt;"Total",ReportingSegment_R,"&lt;&gt;###"),[1]!Outputs_TB[Account Code],K$5)</f>
        <v>0</v>
      </c>
      <c r="L6" s="23">
        <f>SUMIFS([1]!Outputs_TB[Amount],[1]!Outputs_TB[Date],ReportingDate_Previous,[1]!Outputs_TB[Asset / Liability],"Asset",[1]!Outputs_TB[Reporting Segment],IF(ReportingSegment_R&lt;&gt;"Total",ReportingSegment_R,"&lt;&gt;###"),[1]!Outputs_TB[Account Code],L$5)</f>
        <v>0</v>
      </c>
      <c r="M6" s="23">
        <f>SUMIFS([1]!Outputs_TB[Amount],[1]!Outputs_TB[Date],ReportingDate_Previous,[1]!Outputs_TB[Asset / Liability],"Asset",[1]!Outputs_TB[Reporting Segment],IF(ReportingSegment_R&lt;&gt;"Total",ReportingSegment_R,"&lt;&gt;###"),[1]!Outputs_TB[Account Code],M$5)</f>
        <v>0</v>
      </c>
      <c r="N6" s="23">
        <f>SUMIFS([1]!Outputs_TB[Amount],[1]!Outputs_TB[Date],ReportingDate_Previous,[1]!Outputs_TB[Asset / Liability],"Asset",[1]!Outputs_TB[Reporting Segment],IF(ReportingSegment_R&lt;&gt;"Total",ReportingSegment_R,"&lt;&gt;###"),[1]!Outputs_TB[Account Code],N$5)</f>
        <v>0</v>
      </c>
      <c r="O6" s="23">
        <f>SUMIFS([1]!Outputs_TB[Amount],[1]!Outputs_TB[Date],ReportingDate_Previous,[1]!Outputs_TB[Asset / Liability],"Asset",[1]!Outputs_TB[Reporting Segment],IF(ReportingSegment_R&lt;&gt;"Total",ReportingSegment_R,"&lt;&gt;###"),[1]!Outputs_TB[Account Code],O$5)</f>
        <v>1218283.5489304648</v>
      </c>
      <c r="P6" s="23">
        <f>SUMIFS([1]!Outputs_TB[Amount],[1]!Outputs_TB[Date],ReportingDate_Previous,[1]!Outputs_TB[Asset / Liability],"Asset",[1]!Outputs_TB[Reporting Segment],IF(ReportingSegment_R&lt;&gt;"Total",ReportingSegment_R,"&lt;&gt;###"),[1]!Outputs_TB[Account Code],P$5)</f>
        <v>0</v>
      </c>
      <c r="Q6" s="23">
        <f>SUMIFS([1]!Outputs_TB[Amount],[1]!Outputs_TB[Date],ReportingDate_Previous,[1]!Outputs_TB[Asset / Liability],"Asset",[1]!Outputs_TB[Reporting Segment],IF(ReportingSegment_R&lt;&gt;"Total",ReportingSegment_R,"&lt;&gt;###"),[1]!Outputs_TB[Account Code],Q$5)</f>
        <v>0</v>
      </c>
      <c r="R6" s="23">
        <f>SUMIFS([1]!Outputs_TB[Amount],[1]!Outputs_TB[Date],ReportingDate_Previous,[1]!Outputs_TB[Asset / Liability],"Asset",[1]!Outputs_TB[Reporting Segment],IF(ReportingSegment_R&lt;&gt;"Total",ReportingSegment_R,"&lt;&gt;###"),[1]!Outputs_TB[Account Code],R$5)</f>
        <v>0</v>
      </c>
      <c r="S6" s="23"/>
    </row>
    <row r="7" spans="1:19" s="24" customFormat="1">
      <c r="A7" s="20"/>
      <c r="B7" s="21"/>
      <c r="C7" s="21"/>
      <c r="D7" s="21" t="s">
        <v>19</v>
      </c>
      <c r="E7" s="21"/>
      <c r="F7" s="21"/>
      <c r="G7" s="22"/>
      <c r="H7" s="23">
        <f>-SUMIFS([1]!Outputs_TB[Amount],[1]!Outputs_TB[Date],ReportingDate_Previous,[1]!Outputs_TB[Asset / Liability],"Liability",[1]!Outputs_TB[Reporting Segment],IF(ReportingSegment_R&lt;&gt;"Total",ReportingSegment_R,"&lt;&gt;###"),[1]!Outputs_TB[Account Code],H$5)</f>
        <v>0</v>
      </c>
      <c r="I7" s="23">
        <f>-SUMIFS([1]!Outputs_TB[Amount],[1]!Outputs_TB[Date],ReportingDate_Previous,[1]!Outputs_TB[Asset / Liability],"Liability",[1]!Outputs_TB[Reporting Segment],IF(ReportingSegment_R&lt;&gt;"Total",ReportingSegment_R,"&lt;&gt;###"),[1]!Outputs_TB[Account Code],I$5)</f>
        <v>0</v>
      </c>
      <c r="J7" s="23">
        <f>-SUMIFS([1]!Outputs_TB[Amount],[1]!Outputs_TB[Date],ReportingDate_Previous,[1]!Outputs_TB[Asset / Liability],"Liability",[1]!Outputs_TB[Reporting Segment],IF(ReportingSegment_R&lt;&gt;"Total",ReportingSegment_R,"&lt;&gt;###"),[1]!Outputs_TB[Account Code],J$5)</f>
        <v>0</v>
      </c>
      <c r="K7" s="23">
        <f>-SUMIFS([1]!Outputs_TB[Amount],[1]!Outputs_TB[Date],ReportingDate_Previous,[1]!Outputs_TB[Asset / Liability],"Liability",[1]!Outputs_TB[Reporting Segment],IF(ReportingSegment_R&lt;&gt;"Total",ReportingSegment_R,"&lt;&gt;###"),[1]!Outputs_TB[Account Code],K$5)</f>
        <v>0</v>
      </c>
      <c r="L7" s="23">
        <f>-SUMIFS([1]!Outputs_TB[Amount],[1]!Outputs_TB[Date],ReportingDate_Previous,[1]!Outputs_TB[Asset / Liability],"Liability",[1]!Outputs_TB[Reporting Segment],IF(ReportingSegment_R&lt;&gt;"Total",ReportingSegment_R,"&lt;&gt;###"),[1]!Outputs_TB[Account Code],L$5)</f>
        <v>0</v>
      </c>
      <c r="M7" s="23">
        <f>-SUMIFS([1]!Outputs_TB[Amount],[1]!Outputs_TB[Date],ReportingDate_Previous,[1]!Outputs_TB[Asset / Liability],"Liability",[1]!Outputs_TB[Reporting Segment],IF(ReportingSegment_R&lt;&gt;"Total",ReportingSegment_R,"&lt;&gt;###"),[1]!Outputs_TB[Account Code],M$5)</f>
        <v>0</v>
      </c>
      <c r="N7" s="23">
        <f>-SUMIFS([1]!Outputs_TB[Amount],[1]!Outputs_TB[Date],ReportingDate_Previous,[1]!Outputs_TB[Asset / Liability],"Liability",[1]!Outputs_TB[Reporting Segment],IF(ReportingSegment_R&lt;&gt;"Total",ReportingSegment_R,"&lt;&gt;###"),[1]!Outputs_TB[Account Code],N$5)</f>
        <v>0</v>
      </c>
      <c r="O7" s="23">
        <f>-SUMIFS([1]!Outputs_TB[Amount],[1]!Outputs_TB[Date],ReportingDate_Previous,[1]!Outputs_TB[Asset / Liability],"Liability",[1]!Outputs_TB[Reporting Segment],IF(ReportingSegment_R&lt;&gt;"Total",ReportingSegment_R,"&lt;&gt;###"),[1]!Outputs_TB[Account Code],O$5)</f>
        <v>0</v>
      </c>
      <c r="P7" s="23">
        <f>-SUMIFS([1]!Outputs_TB[Amount],[1]!Outputs_TB[Date],ReportingDate_Previous,[1]!Outputs_TB[Asset / Liability],"Liability",[1]!Outputs_TB[Reporting Segment],IF(ReportingSegment_R&lt;&gt;"Total",ReportingSegment_R,"&lt;&gt;###"),[1]!Outputs_TB[Account Code],P$5)</f>
        <v>0</v>
      </c>
      <c r="Q7" s="23">
        <f>-SUMIFS([1]!Outputs_TB[Amount],[1]!Outputs_TB[Date],ReportingDate_Previous,[1]!Outputs_TB[Asset / Liability],"Liability",[1]!Outputs_TB[Reporting Segment],IF(ReportingSegment_R&lt;&gt;"Total",ReportingSegment_R,"&lt;&gt;###"),[1]!Outputs_TB[Account Code],Q$5)</f>
        <v>0</v>
      </c>
      <c r="R7" s="23">
        <f>-SUMIFS([1]!Outputs_TB[Amount],[1]!Outputs_TB[Date],ReportingDate_Previous,[1]!Outputs_TB[Asset / Liability],"Liability",[1]!Outputs_TB[Reporting Segment],IF(ReportingSegment_R&lt;&gt;"Total",ReportingSegment_R,"&lt;&gt;###"),[1]!Outputs_TB[Account Code],R$5)</f>
        <v>0</v>
      </c>
      <c r="S7" s="23"/>
    </row>
    <row r="8" spans="1:19">
      <c r="A8" s="20"/>
      <c r="B8" s="21"/>
      <c r="C8" s="21"/>
      <c r="D8" s="25" t="s">
        <v>20</v>
      </c>
      <c r="E8" s="26"/>
      <c r="F8" s="27"/>
      <c r="G8" s="28"/>
      <c r="H8" s="29">
        <f>SUM(H6:H7)</f>
        <v>0</v>
      </c>
      <c r="I8" s="29">
        <f>SUM(I6:I7)</f>
        <v>0</v>
      </c>
      <c r="J8" s="29">
        <f t="shared" ref="J8:R8" si="0">SUM(J6:J7)</f>
        <v>0</v>
      </c>
      <c r="K8" s="29">
        <f t="shared" si="0"/>
        <v>0</v>
      </c>
      <c r="L8" s="29">
        <f t="shared" si="0"/>
        <v>0</v>
      </c>
      <c r="M8" s="29">
        <f t="shared" si="0"/>
        <v>0</v>
      </c>
      <c r="N8" s="29">
        <f t="shared" si="0"/>
        <v>0</v>
      </c>
      <c r="O8" s="29">
        <f t="shared" si="0"/>
        <v>1218283.5489304648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3"/>
    </row>
    <row r="9" spans="1:19">
      <c r="A9" s="124" t="s">
        <v>21</v>
      </c>
      <c r="B9" s="125" t="s">
        <v>76</v>
      </c>
      <c r="C9" s="32" t="s">
        <v>23</v>
      </c>
      <c r="D9" s="33" t="str">
        <f>INDEX([1]!MetaData_AccountCodes[Workbook Ref],MATCH(R_Disclosures_Master!$G9,[1]!MetaData_AccountCodes[Account Code],0))</f>
        <v>Allocation of reinsurance premiums</v>
      </c>
      <c r="E9" s="33"/>
      <c r="F9" s="33"/>
      <c r="G9" s="34" t="str">
        <f>[1]MetaData!$J$34</f>
        <v>2210000</v>
      </c>
      <c r="H9" s="36">
        <f>SUMIFS([1]!Outputs_SL[Amount],[1]!Outputs_SL[Date],"&lt;="&amp;ReportingDate_Current,[1]!Outputs_SL[Date],"&gt;"&amp;ReportingDate_Previous,[1]!Outputs_SL[DR Account Code],H$5,[1]!Outputs_SL[CR Account Code],$G9,[1]!Outputs_SL[Reporting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Code],H$5,[1]!Outputs_SL[DR Account Code],$G9,[1]!Outputs_SL[Reporting Segment],IF(ReportingSegment_R&lt;&gt;"Total",ReportingSegment_R,"&lt;&gt;###"))</f>
        <v>0</v>
      </c>
      <c r="I9" s="36">
        <f>SUMIFS([1]!Outputs_SL[Amount],[1]!Outputs_SL[Date],"&lt;="&amp;ReportingDate_Current,[1]!Outputs_SL[Date],"&gt;"&amp;ReportingDate_Previous,[1]!Outputs_SL[DR Account Code],I$5,[1]!Outputs_SL[CR Account Code],$G9,[1]!Outputs_SL[Reporting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Code],$G9,[1]!Outputs_SL[Reporting Segment],IF(ReportingSegment_R&lt;&gt;"Total",ReportingSegment_R,"&lt;&gt;###"))</f>
        <v>-11713375.066908343</v>
      </c>
      <c r="J9" s="35"/>
      <c r="K9" s="36">
        <f>SUMIFS([1]!Outputs_SL[Amount],[1]!Outputs_SL[Date],"&lt;="&amp;ReportingDate_Current,[1]!Outputs_SL[Date],"&gt;"&amp;ReportingDate_Previous,[1]!Outputs_SL[DR Account Code],K$5,[1]!Outputs_SL[CR Account Code],$G9,[1]!Outputs_SL[Reporting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Code],$G9,[1]!Outputs_SL[Reporting Segment],IF(ReportingSegment_R&lt;&gt;"Total",ReportingSegment_R,"&lt;&gt;###"))</f>
        <v>0</v>
      </c>
      <c r="L9" s="35"/>
      <c r="M9" s="35"/>
      <c r="N9" s="35"/>
      <c r="O9" s="35"/>
      <c r="P9" s="35"/>
      <c r="Q9" s="35"/>
      <c r="R9" s="35"/>
      <c r="S9" s="23"/>
    </row>
    <row r="10" spans="1:19">
      <c r="A10" s="124"/>
      <c r="B10" s="125"/>
      <c r="C10" s="39"/>
      <c r="D10" s="40" t="s">
        <v>77</v>
      </c>
      <c r="E10" s="40"/>
      <c r="F10" s="40"/>
      <c r="G10" s="40"/>
      <c r="H10" s="42"/>
      <c r="I10" s="42"/>
      <c r="J10" s="42"/>
      <c r="K10" s="42"/>
      <c r="L10" s="42"/>
      <c r="M10" s="42"/>
      <c r="N10" s="41"/>
      <c r="O10" s="41"/>
      <c r="P10" s="41"/>
      <c r="Q10" s="41"/>
      <c r="R10" s="41"/>
      <c r="S10" s="23"/>
    </row>
    <row r="11" spans="1:19">
      <c r="A11" s="124"/>
      <c r="B11" s="125"/>
      <c r="C11" s="45"/>
      <c r="D11" s="33"/>
      <c r="E11" s="33" t="str">
        <f>INDEX([1]!MetaData_AccountCodes[Workbook Ref],MATCH(R_Disclosures_Master!$G11,[1]!MetaData_AccountCodes[Account Code],0))</f>
        <v>Amounts recoverable for claims and other expenses incurred</v>
      </c>
      <c r="F11" s="33"/>
      <c r="G11" s="34" t="str">
        <f>[1]MetaData!$J$35</f>
        <v>2221000</v>
      </c>
      <c r="H11" s="23"/>
      <c r="I11" s="43"/>
      <c r="J11" s="43"/>
      <c r="K11" s="23"/>
      <c r="L11" s="23"/>
      <c r="M11" s="23"/>
      <c r="N11" s="23"/>
      <c r="O11" s="36">
        <f>SUMIFS([1]!Outputs_SL[Amount],[1]!Outputs_SL[Date],"&lt;="&amp;ReportingDate_Current,[1]!Outputs_SL[Date],"&gt;"&amp;ReportingDate_Previous,[1]!Outputs_SL[DR Account Code],O$5,[1]!Outputs_SL[CR Account Code],$G11,[1]!Outputs_SL[Reporting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Code],$G11,[1]!Outputs_SL[Reporting Segment],IF(ReportingSegment_R&lt;&gt;"Total",ReportingSegment_R,"&lt;&gt;###"))</f>
        <v>8376338.0615383415</v>
      </c>
      <c r="P11" s="36">
        <f>SUMIFS([1]!Outputs_SL[Amount],[1]!Outputs_SL[Date],"&lt;="&amp;ReportingDate_Current,[1]!Outputs_SL[Date],"&gt;"&amp;ReportingDate_Previous,[1]!Outputs_SL[DR Account Code],P$5,[1]!Outputs_SL[CR Account Code],$G11,[1]!Outputs_SL[Reporting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Code],$G11,[1]!Outputs_SL[Reporting Segment],IF(ReportingSegment_R&lt;&gt;"Total",ReportingSegment_R,"&lt;&gt;###"))</f>
        <v>0</v>
      </c>
      <c r="Q11" s="36">
        <f>SUMIFS([1]!Outputs_SL[Amount],[1]!Outputs_SL[Date],"&lt;="&amp;ReportingDate_Current,[1]!Outputs_SL[Date],"&gt;"&amp;ReportingDate_Previous,[1]!Outputs_SL[DR Account Code],Q$5,[1]!Outputs_SL[CR Account Code],$G11,[1]!Outputs_SL[Reporting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Code],$G11,[1]!Outputs_SL[Reporting Segment],IF(ReportingSegment_R&lt;&gt;"Total",ReportingSegment_R,"&lt;&gt;###"))</f>
        <v>0</v>
      </c>
      <c r="R11" s="36">
        <f>SUMIFS([1]!Outputs_SL[Amount],[1]!Outputs_SL[Date],"&lt;="&amp;ReportingDate_Current,[1]!Outputs_SL[Date],"&gt;"&amp;ReportingDate_Previous,[1]!Outputs_SL[DR Account Code],R$5,[1]!Outputs_SL[CR Account Code],$G11,[1]!Outputs_SL[Reporting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Code],$G11,[1]!Outputs_SL[Reporting Segment],IF(ReportingSegment_R&lt;&gt;"Total",ReportingSegment_R,"&lt;&gt;###"))</f>
        <v>0</v>
      </c>
      <c r="S11" s="23"/>
    </row>
    <row r="12" spans="1:19">
      <c r="A12" s="124"/>
      <c r="B12" s="125"/>
      <c r="C12" s="126" t="s">
        <v>25</v>
      </c>
      <c r="D12" s="33"/>
      <c r="E12" s="33" t="str">
        <f>INDEX([1]!MetaData_AccountCodes[Workbook Ref],MATCH(R_Disclosures_Master!$G12,[1]!MetaData_AccountCodes[Account Code],0))</f>
        <v>Adjustment for onerous underlying contracts</v>
      </c>
      <c r="F12" s="33"/>
      <c r="G12" s="34" t="str">
        <f>[1]MetaData!$J$36</f>
        <v>2222000</v>
      </c>
      <c r="H12" s="23"/>
      <c r="I12" s="43"/>
      <c r="J12" s="23"/>
      <c r="K12" s="23"/>
      <c r="L12" s="23"/>
      <c r="M12" s="127">
        <f>SUMIFS([1]!Outputs_SL[Amount],[1]!Outputs_SL[Date],"&lt;="&amp;ReportingDate_Current,[1]!Outputs_SL[Date],"&gt;"&amp;ReportingDate_Previous,[1]!Outputs_SL[DR Account Code],M$5,[1]!Outputs_SL[CR Account Code],$G12,[1]!Outputs_SL[Reporting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Code],$G12,[1]!Outputs_SL[Reporting Segment],IF(ReportingSegment_R&lt;&gt;"Total",ReportingSegment_R,"&lt;&gt;###"))</f>
        <v>0</v>
      </c>
      <c r="N12" s="23"/>
      <c r="O12" s="23"/>
      <c r="P12" s="23"/>
      <c r="Q12" s="23"/>
      <c r="R12" s="23"/>
      <c r="S12" s="23"/>
    </row>
    <row r="13" spans="1:19">
      <c r="A13" s="124"/>
      <c r="B13" s="125"/>
      <c r="C13" s="128" t="s">
        <v>26</v>
      </c>
      <c r="D13" s="33"/>
      <c r="E13" s="33" t="str">
        <f>INDEX([1]!MetaData_AccountCodes[Workbook Ref],MATCH(R_Disclosures_Master!$G13,[1]!MetaData_AccountCodes[Account Code],0))</f>
        <v>Changes in amounts recoverable arising from changes in liabilities for incurred claims</v>
      </c>
      <c r="F13" s="33"/>
      <c r="G13" s="34" t="str">
        <f>[1]MetaData!$J$37</f>
        <v>2223000</v>
      </c>
      <c r="H13" s="23"/>
      <c r="I13" s="23"/>
      <c r="J13" s="23"/>
      <c r="K13" s="23"/>
      <c r="L13" s="23"/>
      <c r="M13" s="23"/>
      <c r="N13" s="23"/>
      <c r="O13" s="129">
        <f>SUMIFS([1]!Outputs_SL[Amount],[1]!Outputs_SL[Date],"&lt;="&amp;ReportingDate_Current,[1]!Outputs_SL[Date],"&gt;"&amp;ReportingDate_Previous,[1]!Outputs_SL[DR Account Code],O$5,[1]!Outputs_SL[CR Account Code],$G13,[1]!Outputs_SL[Reporting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Code],$G13,[1]!Outputs_SL[Reporting Segment],IF(ReportingSegment_R&lt;&gt;"Total",ReportingSegment_R,"&lt;&gt;###"))</f>
        <v>-1231695.0149904345</v>
      </c>
      <c r="P13" s="129">
        <f>SUMIFS([1]!Outputs_SL[Amount],[1]!Outputs_SL[Date],"&lt;="&amp;ReportingDate_Current,[1]!Outputs_SL[Date],"&gt;"&amp;ReportingDate_Previous,[1]!Outputs_SL[DR Account Code],P$5,[1]!Outputs_SL[CR Account Code],$G13,[1]!Outputs_SL[Reporting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Code],$G13,[1]!Outputs_SL[Reporting Segment],IF(ReportingSegment_R&lt;&gt;"Total",ReportingSegment_R,"&lt;&gt;###"))</f>
        <v>0</v>
      </c>
      <c r="Q13" s="129">
        <f>SUMIFS([1]!Outputs_SL[Amount],[1]!Outputs_SL[Date],"&lt;="&amp;ReportingDate_Current,[1]!Outputs_SL[Date],"&gt;"&amp;ReportingDate_Previous,[1]!Outputs_SL[DR Account Code],Q$5,[1]!Outputs_SL[CR Account Code],$G13,[1]!Outputs_SL[Reporting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Code],$G13,[1]!Outputs_SL[Reporting Segment],IF(ReportingSegment_R&lt;&gt;"Total",ReportingSegment_R,"&lt;&gt;###"))</f>
        <v>0</v>
      </c>
      <c r="R13" s="129">
        <f>SUMIFS([1]!Outputs_SL[Amount],[1]!Outputs_SL[Date],"&lt;="&amp;ReportingDate_Current,[1]!Outputs_SL[Date],"&gt;"&amp;ReportingDate_Previous,[1]!Outputs_SL[DR Account Code],R$5,[1]!Outputs_SL[CR Account Code],$G13,[1]!Outputs_SL[Reporting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Code],$G13,[1]!Outputs_SL[Reporting Segment],IF(ReportingSegment_R&lt;&gt;"Total",ReportingSegment_R,"&lt;&gt;###"))</f>
        <v>0</v>
      </c>
      <c r="S13" s="23"/>
    </row>
    <row r="14" spans="1:19">
      <c r="A14" s="124"/>
      <c r="B14" s="130" t="s">
        <v>78</v>
      </c>
      <c r="C14" s="130"/>
      <c r="D14" s="40" t="s">
        <v>79</v>
      </c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23"/>
    </row>
    <row r="15" spans="1:19">
      <c r="A15" s="124"/>
      <c r="B15" s="130"/>
      <c r="C15" s="130"/>
      <c r="D15" s="33"/>
      <c r="E15" s="33" t="str">
        <f>INDEX([1]!MetaData_AccountCodes[Workbook Ref],MATCH(R_Disclosures_Master!$G15,[1]!MetaData_AccountCodes[Account Code],0))</f>
        <v>Interest accreted</v>
      </c>
      <c r="F15" s="33"/>
      <c r="G15" s="34" t="str">
        <f>[1]MetaData!$J$43</f>
        <v>2410000</v>
      </c>
      <c r="H15" s="23"/>
      <c r="I15" s="58">
        <f>SUMIFS([1]!Outputs_SL[Amount],[1]!Outputs_SL[Date],"&lt;="&amp;ReportingDate_Current,[1]!Outputs_SL[Date],"&gt;"&amp;ReportingDate_Previous,[1]!Outputs_SL[DR Account Code],I$5,[1]!Outputs_SL[CR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Code],$G15,[1]!Outputs_SL[Reporting Segment],IF(ReportingSegment_R&lt;&gt;"Total",ReportingSegment_R,"&lt;&gt;###"))</f>
        <v>0</v>
      </c>
      <c r="J15" s="58">
        <f>SUMIFS([1]!Outputs_SL[Amount],[1]!Outputs_SL[Date],"&lt;="&amp;ReportingDate_Current,[1]!Outputs_SL[Date],"&gt;"&amp;ReportingDate_Previous,[1]!Outputs_SL[DR Account Code],J$5,[1]!Outputs_SL[CR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Code],$G15,[1]!Outputs_SL[Reporting Segment],IF(ReportingSegment_R&lt;&gt;"Total",ReportingSegment_R,"&lt;&gt;###"))</f>
        <v>0</v>
      </c>
      <c r="K15" s="58">
        <f>SUMIFS([1]!Outputs_SL[Amount],[1]!Outputs_SL[Date],"&lt;="&amp;ReportingDate_Current,[1]!Outputs_SL[Date],"&gt;"&amp;ReportingDate_Previous,[1]!Outputs_SL[DR Account Code],K$5,[1]!Outputs_SL[CR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Code],$G15,[1]!Outputs_SL[Reporting Segment],IF(ReportingSegment_R&lt;&gt;"Total",ReportingSegment_R,"&lt;&gt;###"))</f>
        <v>0</v>
      </c>
      <c r="L15" s="58">
        <f>SUMIFS([1]!Outputs_SL[Amount],[1]!Outputs_SL[Date],"&lt;="&amp;ReportingDate_Current,[1]!Outputs_SL[Date],"&gt;"&amp;ReportingDate_Previous,[1]!Outputs_SL[DR Account Code],L$5,[1]!Outputs_SL[CR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Code],$G15,[1]!Outputs_SL[Reporting Segment],IF(ReportingSegment_R&lt;&gt;"Total",ReportingSegment_R,"&lt;&gt;###"))</f>
        <v>0</v>
      </c>
      <c r="M15" s="58">
        <f>SUMIFS([1]!Outputs_SL[Amount],[1]!Outputs_SL[Date],"&lt;="&amp;ReportingDate_Current,[1]!Outputs_SL[Date],"&gt;"&amp;ReportingDate_Previous,[1]!Outputs_SL[DR Account Code],M$5,[1]!Outputs_SL[CR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Code],$G15,[1]!Outputs_SL[Reporting Segment],IF(ReportingSegment_R&lt;&gt;"Total",ReportingSegment_R,"&lt;&gt;###"))</f>
        <v>0</v>
      </c>
      <c r="N15" s="23"/>
      <c r="O15" s="58">
        <f>SUMIFS([1]!Outputs_SL[Amount],[1]!Outputs_SL[Date],"&lt;="&amp;ReportingDate_Current,[1]!Outputs_SL[Date],"&gt;"&amp;ReportingDate_Previous,[1]!Outputs_SL[DR Account Code],O$5,[1]!Outputs_SL[CR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Code],$G15,[1]!Outputs_SL[Reporting Segment],IF(ReportingSegment_R&lt;&gt;"Total",ReportingSegment_R,"&lt;&gt;###"))</f>
        <v>13411.466059969527</v>
      </c>
      <c r="P15" s="58">
        <f>SUMIFS([1]!Outputs_SL[Amount],[1]!Outputs_SL[Date],"&lt;="&amp;ReportingDate_Current,[1]!Outputs_SL[Date],"&gt;"&amp;ReportingDate_Previous,[1]!Outputs_SL[DR Account Code],P$5,[1]!Outputs_SL[CR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Code],$G15,[1]!Outputs_SL[Reporting Segment],IF(ReportingSegment_R&lt;&gt;"Total",ReportingSegment_R,"&lt;&gt;###"))</f>
        <v>0</v>
      </c>
      <c r="Q15" s="58">
        <f>SUMIFS([1]!Outputs_SL[Amount],[1]!Outputs_SL[Date],"&lt;="&amp;ReportingDate_Current,[1]!Outputs_SL[Date],"&gt;"&amp;ReportingDate_Previous,[1]!Outputs_SL[DR Account Code],Q$5,[1]!Outputs_SL[CR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Code],$G15,[1]!Outputs_SL[Reporting Segment],IF(ReportingSegment_R&lt;&gt;"Total",ReportingSegment_R,"&lt;&gt;###"))</f>
        <v>0</v>
      </c>
      <c r="R15" s="58">
        <f>SUMIFS([1]!Outputs_SL[Amount],[1]!Outputs_SL[Date],"&lt;="&amp;ReportingDate_Current,[1]!Outputs_SL[Date],"&gt;"&amp;ReportingDate_Previous,[1]!Outputs_SL[DR Account Code],R$5,[1]!Outputs_SL[CR Account Code],$G15,[1]!Outputs_SL[Reporting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Code],$G15,[1]!Outputs_SL[Reporting Segment],IF(ReportingSegment_R&lt;&gt;"Total",ReportingSegment_R,"&lt;&gt;###"))</f>
        <v>0</v>
      </c>
      <c r="S15" s="23"/>
    </row>
    <row r="16" spans="1:19">
      <c r="A16" s="124"/>
      <c r="B16" s="130"/>
      <c r="C16" s="130"/>
      <c r="D16" s="33"/>
      <c r="E16" s="40" t="s">
        <v>29</v>
      </c>
      <c r="F16" s="40"/>
      <c r="G16" s="59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23"/>
    </row>
    <row r="17" spans="1:19">
      <c r="A17" s="124"/>
      <c r="B17" s="130"/>
      <c r="C17" s="130"/>
      <c r="D17" s="33"/>
      <c r="E17" s="33"/>
      <c r="F17" s="33" t="str">
        <f>INDEX([1]!MetaData_AccountCodes[Workbook Ref],MATCH(R_Disclosures_Master!$G17,[1]!MetaData_AccountCodes[Account Code],0))</f>
        <v>Profit / loss</v>
      </c>
      <c r="G17" s="34" t="str">
        <f>[1]MetaData!$J$44</f>
        <v>2421000</v>
      </c>
      <c r="H17" s="23"/>
      <c r="I17" s="58">
        <f>SUMIFS([1]!Outputs_SL[Amount],[1]!Outputs_SL[Date],"&lt;="&amp;ReportingDate_Current,[1]!Outputs_SL[Date],"&gt;"&amp;ReportingDate_Previous,[1]!Outputs_SL[DR Account Code],I$5,[1]!Outputs_SL[CR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Code],$G17,[1]!Outputs_SL[Reporting Segment],IF(ReportingSegment_R&lt;&gt;"Total",ReportingSegment_R,"&lt;&gt;###"))</f>
        <v>0</v>
      </c>
      <c r="J17" s="58">
        <f>SUMIFS([1]!Outputs_SL[Amount],[1]!Outputs_SL[Date],"&lt;="&amp;ReportingDate_Current,[1]!Outputs_SL[Date],"&gt;"&amp;ReportingDate_Previous,[1]!Outputs_SL[DR Account Code],J$5,[1]!Outputs_SL[CR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Code],$G17,[1]!Outputs_SL[Reporting Segment],IF(ReportingSegment_R&lt;&gt;"Total",ReportingSegment_R,"&lt;&gt;###"))</f>
        <v>0</v>
      </c>
      <c r="K17" s="58">
        <f>SUMIFS([1]!Outputs_SL[Amount],[1]!Outputs_SL[Date],"&lt;="&amp;ReportingDate_Current,[1]!Outputs_SL[Date],"&gt;"&amp;ReportingDate_Previous,[1]!Outputs_SL[DR Account Code],K$5,[1]!Outputs_SL[CR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Code],$G17,[1]!Outputs_SL[Reporting Segment],IF(ReportingSegment_R&lt;&gt;"Total",ReportingSegment_R,"&lt;&gt;###"))</f>
        <v>0</v>
      </c>
      <c r="L17" s="58">
        <f>SUMIFS([1]!Outputs_SL[Amount],[1]!Outputs_SL[Date],"&lt;="&amp;ReportingDate_Current,[1]!Outputs_SL[Date],"&gt;"&amp;ReportingDate_Previous,[1]!Outputs_SL[DR Account Code],L$5,[1]!Outputs_SL[CR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Code],$G17,[1]!Outputs_SL[Reporting Segment],IF(ReportingSegment_R&lt;&gt;"Total",ReportingSegment_R,"&lt;&gt;###"))</f>
        <v>0</v>
      </c>
      <c r="M17" s="58">
        <f>SUMIFS([1]!Outputs_SL[Amount],[1]!Outputs_SL[Date],"&lt;="&amp;ReportingDate_Current,[1]!Outputs_SL[Date],"&gt;"&amp;ReportingDate_Previous,[1]!Outputs_SL[DR Account Code],M$5,[1]!Outputs_SL[CR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Code],$G17,[1]!Outputs_SL[Reporting Segment],IF(ReportingSegment_R&lt;&gt;"Total",ReportingSegment_R,"&lt;&gt;###"))</f>
        <v>0</v>
      </c>
      <c r="N17" s="23"/>
      <c r="O17" s="58">
        <f>SUMIFS([1]!Outputs_SL[Amount],[1]!Outputs_SL[Date],"&lt;="&amp;ReportingDate_Current,[1]!Outputs_SL[Date],"&gt;"&amp;ReportingDate_Previous,[1]!Outputs_SL[DR Account Code],O$5,[1]!Outputs_SL[CR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Code],$G17,[1]!Outputs_SL[Reporting Segment],IF(ReportingSegment_R&lt;&gt;"Total",ReportingSegment_R,"&lt;&gt;###"))</f>
        <v>-2339.3847178914075</v>
      </c>
      <c r="P17" s="58">
        <f>SUMIFS([1]!Outputs_SL[Amount],[1]!Outputs_SL[Date],"&lt;="&amp;ReportingDate_Current,[1]!Outputs_SL[Date],"&gt;"&amp;ReportingDate_Previous,[1]!Outputs_SL[DR Account Code],P$5,[1]!Outputs_SL[CR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Code],$G17,[1]!Outputs_SL[Reporting Segment],IF(ReportingSegment_R&lt;&gt;"Total",ReportingSegment_R,"&lt;&gt;###"))</f>
        <v>0</v>
      </c>
      <c r="Q17" s="58">
        <f>SUMIFS([1]!Outputs_SL[Amount],[1]!Outputs_SL[Date],"&lt;="&amp;ReportingDate_Current,[1]!Outputs_SL[Date],"&gt;"&amp;ReportingDate_Previous,[1]!Outputs_SL[DR Account Code],Q$5,[1]!Outputs_SL[CR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Code],$G17,[1]!Outputs_SL[Reporting Segment],IF(ReportingSegment_R&lt;&gt;"Total",ReportingSegment_R,"&lt;&gt;###"))</f>
        <v>0</v>
      </c>
      <c r="R17" s="58">
        <f>SUMIFS([1]!Outputs_SL[Amount],[1]!Outputs_SL[Date],"&lt;="&amp;ReportingDate_Current,[1]!Outputs_SL[Date],"&gt;"&amp;ReportingDate_Previous,[1]!Outputs_SL[DR Account Code],R$5,[1]!Outputs_SL[CR Account Code],$G17,[1]!Outputs_SL[Reporting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Code],$G17,[1]!Outputs_SL[Reporting Segment],IF(ReportingSegment_R&lt;&gt;"Total",ReportingSegment_R,"&lt;&gt;###"))</f>
        <v>0</v>
      </c>
      <c r="S17" s="23"/>
    </row>
    <row r="18" spans="1:19">
      <c r="A18" s="124"/>
      <c r="B18" s="130"/>
      <c r="C18" s="130"/>
      <c r="D18" s="33"/>
      <c r="E18" s="33"/>
      <c r="F18" s="33" t="str">
        <f>INDEX([1]!MetaData_AccountCodes[Workbook Ref],MATCH(R_Disclosures_Master!$G18,[1]!MetaData_AccountCodes[Account Code],0))</f>
        <v>Other comprehensive income</v>
      </c>
      <c r="G18" s="34" t="str">
        <f>[1]MetaData!$J$45</f>
        <v>2422000</v>
      </c>
      <c r="H18" s="23"/>
      <c r="I18" s="58">
        <f>SUMIFS([1]!Outputs_SL[Amount],[1]!Outputs_SL[Date],"&lt;="&amp;ReportingDate_Current,[1]!Outputs_SL[Date],"&gt;"&amp;ReportingDate_Previous,[1]!Outputs_SL[DR Account Code],I$5,[1]!Outputs_SL[CR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Code],$G18,[1]!Outputs_SL[Reporting Segment],IF(ReportingSegment_R&lt;&gt;"Total",ReportingSegment_R,"&lt;&gt;###"))</f>
        <v>0</v>
      </c>
      <c r="J18" s="58">
        <f>SUMIFS([1]!Outputs_SL[Amount],[1]!Outputs_SL[Date],"&lt;="&amp;ReportingDate_Current,[1]!Outputs_SL[Date],"&gt;"&amp;ReportingDate_Previous,[1]!Outputs_SL[DR Account Code],J$5,[1]!Outputs_SL[CR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Code],$G18,[1]!Outputs_SL[Reporting Segment],IF(ReportingSegment_R&lt;&gt;"Total",ReportingSegment_R,"&lt;&gt;###"))</f>
        <v>0</v>
      </c>
      <c r="K18" s="58">
        <f>SUMIFS([1]!Outputs_SL[Amount],[1]!Outputs_SL[Date],"&lt;="&amp;ReportingDate_Current,[1]!Outputs_SL[Date],"&gt;"&amp;ReportingDate_Previous,[1]!Outputs_SL[DR Account Code],K$5,[1]!Outputs_SL[CR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Code],$G18,[1]!Outputs_SL[Reporting Segment],IF(ReportingSegment_R&lt;&gt;"Total",ReportingSegment_R,"&lt;&gt;###"))</f>
        <v>0</v>
      </c>
      <c r="L18" s="58">
        <f>SUMIFS([1]!Outputs_SL[Amount],[1]!Outputs_SL[Date],"&lt;="&amp;ReportingDate_Current,[1]!Outputs_SL[Date],"&gt;"&amp;ReportingDate_Previous,[1]!Outputs_SL[DR Account Code],L$5,[1]!Outputs_SL[CR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Code],$G18,[1]!Outputs_SL[Reporting Segment],IF(ReportingSegment_R&lt;&gt;"Total",ReportingSegment_R,"&lt;&gt;###"))</f>
        <v>0</v>
      </c>
      <c r="M18" s="58">
        <f>SUMIFS([1]!Outputs_SL[Amount],[1]!Outputs_SL[Date],"&lt;="&amp;ReportingDate_Current,[1]!Outputs_SL[Date],"&gt;"&amp;ReportingDate_Previous,[1]!Outputs_SL[DR Account Code],M$5,[1]!Outputs_SL[CR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Code],$G18,[1]!Outputs_SL[Reporting Segment],IF(ReportingSegment_R&lt;&gt;"Total",ReportingSegment_R,"&lt;&gt;###"))</f>
        <v>0</v>
      </c>
      <c r="N18" s="23"/>
      <c r="O18" s="58">
        <f>SUMIFS([1]!Outputs_SL[Amount],[1]!Outputs_SL[Date],"&lt;="&amp;ReportingDate_Current,[1]!Outputs_SL[Date],"&gt;"&amp;ReportingDate_Previous,[1]!Outputs_SL[DR Account Code],O$5,[1]!Outputs_SL[CR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Code],$G18,[1]!Outputs_SL[Reporting Segment],IF(ReportingSegment_R&lt;&gt;"Total",ReportingSegment_R,"&lt;&gt;###"))</f>
        <v>0</v>
      </c>
      <c r="P18" s="58">
        <f>SUMIFS([1]!Outputs_SL[Amount],[1]!Outputs_SL[Date],"&lt;="&amp;ReportingDate_Current,[1]!Outputs_SL[Date],"&gt;"&amp;ReportingDate_Previous,[1]!Outputs_SL[DR Account Code],P$5,[1]!Outputs_SL[CR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Code],$G18,[1]!Outputs_SL[Reporting Segment],IF(ReportingSegment_R&lt;&gt;"Total",ReportingSegment_R,"&lt;&gt;###"))</f>
        <v>0</v>
      </c>
      <c r="Q18" s="58">
        <f>SUMIFS([1]!Outputs_SL[Amount],[1]!Outputs_SL[Date],"&lt;="&amp;ReportingDate_Current,[1]!Outputs_SL[Date],"&gt;"&amp;ReportingDate_Previous,[1]!Outputs_SL[DR Account Code],Q$5,[1]!Outputs_SL[CR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Code],$G18,[1]!Outputs_SL[Reporting Segment],IF(ReportingSegment_R&lt;&gt;"Total",ReportingSegment_R,"&lt;&gt;###"))</f>
        <v>0</v>
      </c>
      <c r="R18" s="58">
        <f>SUMIFS([1]!Outputs_SL[Amount],[1]!Outputs_SL[Date],"&lt;="&amp;ReportingDate_Current,[1]!Outputs_SL[Date],"&gt;"&amp;ReportingDate_Previous,[1]!Outputs_SL[DR Account Code],R$5,[1]!Outputs_SL[CR Account Code],$G18,[1]!Outputs_SL[Reporting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Code],$G18,[1]!Outputs_SL[Reporting Segment],IF(ReportingSegment_R&lt;&gt;"Total",ReportingSegment_R,"&lt;&gt;###"))</f>
        <v>0</v>
      </c>
      <c r="S18" s="23"/>
    </row>
    <row r="19" spans="1:19">
      <c r="A19" s="124"/>
      <c r="B19" s="130"/>
      <c r="C19" s="130"/>
      <c r="D19" s="33"/>
      <c r="E19" s="33" t="str">
        <f>INDEX([1]!MetaData_AccountCodes[Workbook Ref],MATCH(R_Disclosures_Master!$G19,[1]!MetaData_AccountCodes[Account Code],0))</f>
        <v>Effect of changes in the risk of non-performance by reinsurers</v>
      </c>
      <c r="F19" s="33"/>
      <c r="G19" s="34" t="str">
        <f>[1]MetaData!$J$46</f>
        <v>2430000</v>
      </c>
      <c r="H19" s="23"/>
      <c r="I19" s="58">
        <f>SUMIFS([1]!Outputs_SL[Amount],[1]!Outputs_SL[Date],"&lt;="&amp;ReportingDate_Current,[1]!Outputs_SL[Date],"&gt;"&amp;ReportingDate_Previous,[1]!Outputs_SL[DR Account Code],I$5,[1]!Outputs_SL[CR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Code],$G19,[1]!Outputs_SL[Reporting Segment],IF(ReportingSegment_R&lt;&gt;"Total",ReportingSegment_R,"&lt;&gt;###"))</f>
        <v>0</v>
      </c>
      <c r="J19" s="58">
        <f>SUMIFS([1]!Outputs_SL[Amount],[1]!Outputs_SL[Date],"&lt;="&amp;ReportingDate_Current,[1]!Outputs_SL[Date],"&gt;"&amp;ReportingDate_Previous,[1]!Outputs_SL[DR Account Code],J$5,[1]!Outputs_SL[CR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Code],$G19,[1]!Outputs_SL[Reporting Segment],IF(ReportingSegment_R&lt;&gt;"Total",ReportingSegment_R,"&lt;&gt;###"))</f>
        <v>0</v>
      </c>
      <c r="K19" s="58">
        <f>SUMIFS([1]!Outputs_SL[Amount],[1]!Outputs_SL[Date],"&lt;="&amp;ReportingDate_Current,[1]!Outputs_SL[Date],"&gt;"&amp;ReportingDate_Previous,[1]!Outputs_SL[DR Account Code],K$5,[1]!Outputs_SL[CR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Code],$G19,[1]!Outputs_SL[Reporting Segment],IF(ReportingSegment_R&lt;&gt;"Total",ReportingSegment_R,"&lt;&gt;###"))</f>
        <v>0</v>
      </c>
      <c r="L19" s="58">
        <f>SUMIFS([1]!Outputs_SL[Amount],[1]!Outputs_SL[Date],"&lt;="&amp;ReportingDate_Current,[1]!Outputs_SL[Date],"&gt;"&amp;ReportingDate_Previous,[1]!Outputs_SL[DR Account Code],L$5,[1]!Outputs_SL[CR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Code],$G19,[1]!Outputs_SL[Reporting Segment],IF(ReportingSegment_R&lt;&gt;"Total",ReportingSegment_R,"&lt;&gt;###"))</f>
        <v>0</v>
      </c>
      <c r="M19" s="58">
        <f>SUMIFS([1]!Outputs_SL[Amount],[1]!Outputs_SL[Date],"&lt;="&amp;ReportingDate_Current,[1]!Outputs_SL[Date],"&gt;"&amp;ReportingDate_Previous,[1]!Outputs_SL[DR Account Code],M$5,[1]!Outputs_SL[CR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Code],$G19,[1]!Outputs_SL[Reporting Segment],IF(ReportingSegment_R&lt;&gt;"Total",ReportingSegment_R,"&lt;&gt;###"))</f>
        <v>0</v>
      </c>
      <c r="N19" s="23"/>
      <c r="O19" s="58">
        <f>SUMIFS([1]!Outputs_SL[Amount],[1]!Outputs_SL[Date],"&lt;="&amp;ReportingDate_Current,[1]!Outputs_SL[Date],"&gt;"&amp;ReportingDate_Previous,[1]!Outputs_SL[DR Account Code],O$5,[1]!Outputs_SL[CR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Code],$G19,[1]!Outputs_SL[Reporting Segment],IF(ReportingSegment_R&lt;&gt;"Total",ReportingSegment_R,"&lt;&gt;###"))</f>
        <v>0</v>
      </c>
      <c r="P19" s="58">
        <f>SUMIFS([1]!Outputs_SL[Amount],[1]!Outputs_SL[Date],"&lt;="&amp;ReportingDate_Current,[1]!Outputs_SL[Date],"&gt;"&amp;ReportingDate_Previous,[1]!Outputs_SL[DR Account Code],P$5,[1]!Outputs_SL[CR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Code],$G19,[1]!Outputs_SL[Reporting Segment],IF(ReportingSegment_R&lt;&gt;"Total",ReportingSegment_R,"&lt;&gt;###"))</f>
        <v>0</v>
      </c>
      <c r="Q19" s="58">
        <f>SUMIFS([1]!Outputs_SL[Amount],[1]!Outputs_SL[Date],"&lt;="&amp;ReportingDate_Current,[1]!Outputs_SL[Date],"&gt;"&amp;ReportingDate_Previous,[1]!Outputs_SL[DR Account Code],Q$5,[1]!Outputs_SL[CR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Code],$G19,[1]!Outputs_SL[Reporting Segment],IF(ReportingSegment_R&lt;&gt;"Total",ReportingSegment_R,"&lt;&gt;###"))</f>
        <v>0</v>
      </c>
      <c r="R19" s="58">
        <f>SUMIFS([1]!Outputs_SL[Amount],[1]!Outputs_SL[Date],"&lt;="&amp;ReportingDate_Current,[1]!Outputs_SL[Date],"&gt;"&amp;ReportingDate_Previous,[1]!Outputs_SL[DR Account Code],R$5,[1]!Outputs_SL[CR Account Code],$G19,[1]!Outputs_SL[Reporting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Code],$G19,[1]!Outputs_SL[Reporting Segment],IF(ReportingSegment_R&lt;&gt;"Total",ReportingSegment_R,"&lt;&gt;###"))</f>
        <v>0</v>
      </c>
      <c r="S19" s="23"/>
    </row>
    <row r="20" spans="1:19">
      <c r="A20" s="124"/>
      <c r="B20" s="130"/>
      <c r="C20" s="130"/>
      <c r="D20" s="33"/>
      <c r="E20" s="40" t="s">
        <v>30</v>
      </c>
      <c r="F20" s="40"/>
      <c r="G20" s="59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23"/>
    </row>
    <row r="21" spans="1:19">
      <c r="A21" s="124"/>
      <c r="B21" s="130"/>
      <c r="C21" s="130"/>
      <c r="D21" s="33"/>
      <c r="E21" s="33"/>
      <c r="F21" s="33" t="str">
        <f>INDEX([1]!MetaData_AccountCodes[Workbook Ref],MATCH(R_Disclosures_Master!$G21,[1]!MetaData_AccountCodes[Account Code],0))</f>
        <v>Profit / loss</v>
      </c>
      <c r="G21" s="34" t="str">
        <f>[1]MetaData!$J$47</f>
        <v>2441000</v>
      </c>
      <c r="H21" s="58">
        <f>SUMIFS([1]!Outputs_SL[Amount],[1]!Outputs_SL[Date],"&lt;="&amp;ReportingDate_Current,[1]!Outputs_SL[Date],"&gt;"&amp;ReportingDate_Previous,[1]!Outputs_SL[DR Account Code],H$5,[1]!Outputs_SL[CR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Code],H$5,[1]!Outputs_SL[DR Account Code],$G21,[1]!Outputs_SL[Reporting Segment],IF(ReportingSegment_R&lt;&gt;"Total",ReportingSegment_R,"&lt;&gt;###"))</f>
        <v>0</v>
      </c>
      <c r="I21" s="58">
        <f>SUMIFS([1]!Outputs_SL[Amount],[1]!Outputs_SL[Date],"&lt;="&amp;ReportingDate_Current,[1]!Outputs_SL[Date],"&gt;"&amp;ReportingDate_Previous,[1]!Outputs_SL[DR Account Code],I$5,[1]!Outputs_SL[CR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Code],$G21,[1]!Outputs_SL[Reporting Segment],IF(ReportingSegment_R&lt;&gt;"Total",ReportingSegment_R,"&lt;&gt;###"))</f>
        <v>0</v>
      </c>
      <c r="J21" s="58">
        <f>SUMIFS([1]!Outputs_SL[Amount],[1]!Outputs_SL[Date],"&lt;="&amp;ReportingDate_Current,[1]!Outputs_SL[Date],"&gt;"&amp;ReportingDate_Previous,[1]!Outputs_SL[DR Account Code],J$5,[1]!Outputs_SL[CR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Code],$G21,[1]!Outputs_SL[Reporting Segment],IF(ReportingSegment_R&lt;&gt;"Total",ReportingSegment_R,"&lt;&gt;###"))</f>
        <v>0</v>
      </c>
      <c r="K21" s="58">
        <f>SUMIFS([1]!Outputs_SL[Amount],[1]!Outputs_SL[Date],"&lt;="&amp;ReportingDate_Current,[1]!Outputs_SL[Date],"&gt;"&amp;ReportingDate_Previous,[1]!Outputs_SL[DR Account Code],K$5,[1]!Outputs_SL[CR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Code],$G21,[1]!Outputs_SL[Reporting Segment],IF(ReportingSegment_R&lt;&gt;"Total",ReportingSegment_R,"&lt;&gt;###"))</f>
        <v>0</v>
      </c>
      <c r="L21" s="58">
        <f>SUMIFS([1]!Outputs_SL[Amount],[1]!Outputs_SL[Date],"&lt;="&amp;ReportingDate_Current,[1]!Outputs_SL[Date],"&gt;"&amp;ReportingDate_Previous,[1]!Outputs_SL[DR Account Code],L$5,[1]!Outputs_SL[CR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Code],$G21,[1]!Outputs_SL[Reporting Segment],IF(ReportingSegment_R&lt;&gt;"Total",ReportingSegment_R,"&lt;&gt;###"))</f>
        <v>0</v>
      </c>
      <c r="M21" s="58">
        <f>SUMIFS([1]!Outputs_SL[Amount],[1]!Outputs_SL[Date],"&lt;="&amp;ReportingDate_Current,[1]!Outputs_SL[Date],"&gt;"&amp;ReportingDate_Previous,[1]!Outputs_SL[DR Account Code],M$5,[1]!Outputs_SL[CR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Code],$G21,[1]!Outputs_SL[Reporting Segment],IF(ReportingSegment_R&lt;&gt;"Total",ReportingSegment_R,"&lt;&gt;###"))</f>
        <v>0</v>
      </c>
      <c r="N21" s="58">
        <f>SUMIFS([1]!Outputs_SL[Amount],[1]!Outputs_SL[Date],"&lt;="&amp;ReportingDate_Current,[1]!Outputs_SL[Date],"&gt;"&amp;ReportingDate_Previous,[1]!Outputs_SL[DR Account Code],N$5,[1]!Outputs_SL[CR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Code],N$5,[1]!Outputs_SL[DR Account Code],$G21,[1]!Outputs_SL[Reporting Segment],IF(ReportingSegment_R&lt;&gt;"Total",ReportingSegment_R,"&lt;&gt;###"))</f>
        <v>0</v>
      </c>
      <c r="O21" s="131">
        <f>SUMIFS([1]!Outputs_SL[Amount],[1]!Outputs_SL[Date],"&lt;="&amp;ReportingDate_Current,[1]!Outputs_SL[Date],"&gt;"&amp;ReportingDate_Previous,[1]!Outputs_SL[DR Account Code],O$5,[1]!Outputs_SL[CR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Code],$G21,[1]!Outputs_SL[Reporting Segment],IF(ReportingSegment_R&lt;&gt;"Total",ReportingSegment_R,"&lt;&gt;###"))</f>
        <v>0</v>
      </c>
      <c r="P21" s="132">
        <f>SUMIFS([1]!Outputs_SL[Amount],[1]!Outputs_SL[Date],"&lt;="&amp;ReportingDate_Current,[1]!Outputs_SL[Date],"&gt;"&amp;ReportingDate_Previous,[1]!Outputs_SL[DR Account Code],P$5,[1]!Outputs_SL[CR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Code],$G21,[1]!Outputs_SL[Reporting Segment],IF(ReportingSegment_R&lt;&gt;"Total",ReportingSegment_R,"&lt;&gt;###"))</f>
        <v>0</v>
      </c>
      <c r="Q21" s="58">
        <f>SUMIFS([1]!Outputs_SL[Amount],[1]!Outputs_SL[Date],"&lt;="&amp;ReportingDate_Current,[1]!Outputs_SL[Date],"&gt;"&amp;ReportingDate_Previous,[1]!Outputs_SL[DR Account Code],Q$5,[1]!Outputs_SL[CR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Code],$G21,[1]!Outputs_SL[Reporting Segment],IF(ReportingSegment_R&lt;&gt;"Total",ReportingSegment_R,"&lt;&gt;###"))</f>
        <v>0</v>
      </c>
      <c r="R21" s="58">
        <f>SUMIFS([1]!Outputs_SL[Amount],[1]!Outputs_SL[Date],"&lt;="&amp;ReportingDate_Current,[1]!Outputs_SL[Date],"&gt;"&amp;ReportingDate_Previous,[1]!Outputs_SL[DR Account Code],R$5,[1]!Outputs_SL[CR Account Code],$G21,[1]!Outputs_SL[Reporting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Code],$G21,[1]!Outputs_SL[Reporting Segment],IF(ReportingSegment_R&lt;&gt;"Total",ReportingSegment_R,"&lt;&gt;###"))</f>
        <v>0</v>
      </c>
      <c r="S21" s="23"/>
    </row>
    <row r="22" spans="1:19">
      <c r="A22" s="124"/>
      <c r="B22" s="130"/>
      <c r="C22" s="130"/>
      <c r="D22" s="33"/>
      <c r="E22" s="33"/>
      <c r="F22" s="33" t="str">
        <f>INDEX([1]!MetaData_AccountCodes[Workbook Ref],MATCH(R_Disclosures_Master!$G22,[1]!MetaData_AccountCodes[Account Code],0))</f>
        <v>Other comprehensive income</v>
      </c>
      <c r="G22" s="34" t="str">
        <f>[1]MetaData!$J$48</f>
        <v>2442000</v>
      </c>
      <c r="H22" s="58">
        <f>SUMIFS([1]!Outputs_SL[Amount],[1]!Outputs_SL[Date],"&lt;="&amp;ReportingDate_Current,[1]!Outputs_SL[Date],"&gt;"&amp;ReportingDate_Previous,[1]!Outputs_SL[DR Account Code],H$5,[1]!Outputs_SL[CR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Code],H$5,[1]!Outputs_SL[DR Account Code],$G22,[1]!Outputs_SL[Reporting Segment],IF(ReportingSegment_R&lt;&gt;"Total",ReportingSegment_R,"&lt;&gt;###"))</f>
        <v>0</v>
      </c>
      <c r="I22" s="58">
        <f>SUMIFS([1]!Outputs_SL[Amount],[1]!Outputs_SL[Date],"&lt;="&amp;ReportingDate_Current,[1]!Outputs_SL[Date],"&gt;"&amp;ReportingDate_Previous,[1]!Outputs_SL[DR Account Code],I$5,[1]!Outputs_SL[CR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Code],$G22,[1]!Outputs_SL[Reporting Segment],IF(ReportingSegment_R&lt;&gt;"Total",ReportingSegment_R,"&lt;&gt;###"))</f>
        <v>0</v>
      </c>
      <c r="J22" s="58">
        <f>SUMIFS([1]!Outputs_SL[Amount],[1]!Outputs_SL[Date],"&lt;="&amp;ReportingDate_Current,[1]!Outputs_SL[Date],"&gt;"&amp;ReportingDate_Previous,[1]!Outputs_SL[DR Account Code],J$5,[1]!Outputs_SL[CR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Code],$G22,[1]!Outputs_SL[Reporting Segment],IF(ReportingSegment_R&lt;&gt;"Total",ReportingSegment_R,"&lt;&gt;###"))</f>
        <v>0</v>
      </c>
      <c r="K22" s="58">
        <f>SUMIFS([1]!Outputs_SL[Amount],[1]!Outputs_SL[Date],"&lt;="&amp;ReportingDate_Current,[1]!Outputs_SL[Date],"&gt;"&amp;ReportingDate_Previous,[1]!Outputs_SL[DR Account Code],K$5,[1]!Outputs_SL[CR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Code],$G22,[1]!Outputs_SL[Reporting Segment],IF(ReportingSegment_R&lt;&gt;"Total",ReportingSegment_R,"&lt;&gt;###"))</f>
        <v>0</v>
      </c>
      <c r="L22" s="58">
        <f>SUMIFS([1]!Outputs_SL[Amount],[1]!Outputs_SL[Date],"&lt;="&amp;ReportingDate_Current,[1]!Outputs_SL[Date],"&gt;"&amp;ReportingDate_Previous,[1]!Outputs_SL[DR Account Code],L$5,[1]!Outputs_SL[CR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Code],$G22,[1]!Outputs_SL[Reporting Segment],IF(ReportingSegment_R&lt;&gt;"Total",ReportingSegment_R,"&lt;&gt;###"))</f>
        <v>0</v>
      </c>
      <c r="M22" s="58">
        <f>SUMIFS([1]!Outputs_SL[Amount],[1]!Outputs_SL[Date],"&lt;="&amp;ReportingDate_Current,[1]!Outputs_SL[Date],"&gt;"&amp;ReportingDate_Previous,[1]!Outputs_SL[DR Account Code],M$5,[1]!Outputs_SL[CR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Code],M$5,[1]!Outputs_SL[DR Account Code],$G22,[1]!Outputs_SL[Reporting Segment],IF(ReportingSegment_R&lt;&gt;"Total",ReportingSegment_R,"&lt;&gt;###"))</f>
        <v>0</v>
      </c>
      <c r="N22" s="58">
        <f>SUMIFS([1]!Outputs_SL[Amount],[1]!Outputs_SL[Date],"&lt;="&amp;ReportingDate_Current,[1]!Outputs_SL[Date],"&gt;"&amp;ReportingDate_Previous,[1]!Outputs_SL[DR Account Code],N$5,[1]!Outputs_SL[CR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Code],N$5,[1]!Outputs_SL[DR Account Code],$G22,[1]!Outputs_SL[Reporting Segment],IF(ReportingSegment_R&lt;&gt;"Total",ReportingSegment_R,"&lt;&gt;###"))</f>
        <v>0</v>
      </c>
      <c r="O22" s="58">
        <f>SUMIFS([1]!Outputs_SL[Amount],[1]!Outputs_SL[Date],"&lt;="&amp;ReportingDate_Current,[1]!Outputs_SL[Date],"&gt;"&amp;ReportingDate_Previous,[1]!Outputs_SL[DR Account Code],O$5,[1]!Outputs_SL[CR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Code],$G22,[1]!Outputs_SL[Reporting Segment],IF(ReportingSegment_R&lt;&gt;"Total",ReportingSegment_R,"&lt;&gt;###"))</f>
        <v>0</v>
      </c>
      <c r="P22" s="58">
        <f>SUMIFS([1]!Outputs_SL[Amount],[1]!Outputs_SL[Date],"&lt;="&amp;ReportingDate_Current,[1]!Outputs_SL[Date],"&gt;"&amp;ReportingDate_Previous,[1]!Outputs_SL[DR Account Code],P$5,[1]!Outputs_SL[CR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Code],$G22,[1]!Outputs_SL[Reporting Segment],IF(ReportingSegment_R&lt;&gt;"Total",ReportingSegment_R,"&lt;&gt;###"))</f>
        <v>0</v>
      </c>
      <c r="Q22" s="58">
        <f>SUMIFS([1]!Outputs_SL[Amount],[1]!Outputs_SL[Date],"&lt;="&amp;ReportingDate_Current,[1]!Outputs_SL[Date],"&gt;"&amp;ReportingDate_Previous,[1]!Outputs_SL[DR Account Code],Q$5,[1]!Outputs_SL[CR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Code],Q$5,[1]!Outputs_SL[DR Account Code],$G22,[1]!Outputs_SL[Reporting Segment],IF(ReportingSegment_R&lt;&gt;"Total",ReportingSegment_R,"&lt;&gt;###"))</f>
        <v>0</v>
      </c>
      <c r="R22" s="58">
        <f>SUMIFS([1]!Outputs_SL[Amount],[1]!Outputs_SL[Date],"&lt;="&amp;ReportingDate_Current,[1]!Outputs_SL[Date],"&gt;"&amp;ReportingDate_Previous,[1]!Outputs_SL[DR Account Code],R$5,[1]!Outputs_SL[CR Account Code],$G22,[1]!Outputs_SL[Reporting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Code],R$5,[1]!Outputs_SL[DR Account Code],$G22,[1]!Outputs_SL[Reporting Segment],IF(ReportingSegment_R&lt;&gt;"Total",ReportingSegment_R,"&lt;&gt;###"))</f>
        <v>0</v>
      </c>
      <c r="S22" s="23"/>
    </row>
    <row r="23" spans="1:19" ht="12.75" thickBot="1">
      <c r="A23" s="63" t="s">
        <v>31</v>
      </c>
      <c r="B23" s="63"/>
      <c r="C23" s="63"/>
      <c r="D23" s="40" t="s">
        <v>32</v>
      </c>
      <c r="E23" s="40"/>
      <c r="F23" s="40"/>
      <c r="G23" s="40"/>
      <c r="H23" s="41"/>
      <c r="I23" s="64"/>
      <c r="J23" s="64"/>
      <c r="K23" s="41"/>
      <c r="L23" s="41"/>
      <c r="M23" s="64"/>
      <c r="N23" s="64"/>
      <c r="O23" s="64"/>
      <c r="P23" s="64"/>
      <c r="Q23" s="64"/>
      <c r="R23" s="41"/>
      <c r="S23" s="23"/>
    </row>
    <row r="24" spans="1:19" ht="12.75" thickBot="1">
      <c r="A24" s="63"/>
      <c r="B24" s="63"/>
      <c r="C24" s="63"/>
      <c r="D24" s="33"/>
      <c r="E24" s="33" t="str">
        <f>INDEX([1]!MetaData_AccountCodes[Workbook Ref],MATCH(R_Disclosures_Master!$G24,[1]!MetaData_AccountCodes[Account Code],0))</f>
        <v>Transfer of reinsurance investment component</v>
      </c>
      <c r="F24" s="33"/>
      <c r="G24" s="34" t="str">
        <f>[1]MetaData!$J$60</f>
        <v>3310000</v>
      </c>
      <c r="H24" s="65"/>
      <c r="I24" s="68">
        <f>SUMIFS([1]!Outputs_SL[Amount],[1]!Outputs_SL[Date],"&lt;="&amp;ReportingDate_Current,[1]!Outputs_SL[Date],"&gt;"&amp;ReportingDate_Previous,[1]!Outputs_SL[DR Account Code],I$5,[1]!Outputs_SL[CR Account Code],$G24,[1]!Outputs_SL[Reporting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Code],$G24,[1]!Outputs_SL[Reporting Segment],IF(ReportingSegment_R&lt;&gt;"Total",ReportingSegment_R,"&lt;&gt;###"))</f>
        <v>0</v>
      </c>
      <c r="J24" s="44"/>
      <c r="K24" s="44"/>
      <c r="L24" s="23"/>
      <c r="M24" s="73"/>
      <c r="N24" s="68">
        <f>SUMIFS([1]!Outputs_SL[Amount],[1]!Outputs_SL[Date],"&lt;="&amp;ReportingDate_Current,[1]!Outputs_SL[Date],"&gt;"&amp;ReportingDate_Previous,[1]!Outputs_SL[DR Account Code],N$5,[1]!Outputs_SL[CR Account Code],$G24,[1]!Outputs_SL[Reporting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Code],N$5,[1]!Outputs_SL[DR Account Code],$G24,[1]!Outputs_SL[Reporting Segment],IF(ReportingSegment_R&lt;&gt;"Total",ReportingSegment_R,"&lt;&gt;###"))</f>
        <v>0</v>
      </c>
      <c r="O24" s="44"/>
      <c r="P24" s="44"/>
      <c r="Q24" s="44"/>
      <c r="R24" s="44"/>
      <c r="S24" s="23"/>
    </row>
    <row r="25" spans="1:19" ht="12.75" thickBot="1">
      <c r="A25" s="63"/>
      <c r="B25" s="63"/>
      <c r="C25" s="63"/>
      <c r="D25" s="33"/>
      <c r="E25" s="33" t="str">
        <f>INDEX([1]!MetaData_AccountCodes[Workbook Ref],MATCH(R_Disclosures_Master!$G25,[1]!MetaData_AccountCodes[Account Code],0))</f>
        <v>Transfer of liability for pre-recognition cash flows</v>
      </c>
      <c r="F25" s="33"/>
      <c r="G25" s="34" t="str">
        <f>[1]MetaData!$J$61</f>
        <v>3320000</v>
      </c>
      <c r="H25" s="68">
        <f>SUMIFS([1]!Outputs_SL[Amount],[1]!Outputs_SL[Date],"&lt;="&amp;ReportingDate_Current,[1]!Outputs_SL[Date],"&gt;"&amp;ReportingDate_Previous,[1]!Outputs_SL[DR Account Code],H$5,[1]!Outputs_SL[CR Account Code],$G25,[1]!Outputs_SL[Reporting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Code],H$5,[1]!Outputs_SL[DR Account Code],$G25,[1]!Outputs_SL[Reporting Segment],IF(ReportingSegment_R&lt;&gt;"Total",ReportingSegment_R,"&lt;&gt;###"))</f>
        <v>0</v>
      </c>
      <c r="I25" s="75"/>
      <c r="J25" s="75"/>
      <c r="K25" s="68">
        <f>SUMIFS([1]!Outputs_SL[Amount],[1]!Outputs_SL[Date],"&lt;="&amp;ReportingDate_Current,[1]!Outputs_SL[Date],"&gt;"&amp;ReportingDate_Previous,[1]!Outputs_SL[DR Account Code],K$5,[1]!Outputs_SL[CR Account Code],$G25,[1]!Outputs_SL[Reporting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Code],$G25,[1]!Outputs_SL[Reporting Segment],IF(ReportingSegment_R&lt;&gt;"Total",ReportingSegment_R,"&lt;&gt;###"))</f>
        <v>0</v>
      </c>
      <c r="L25" s="23"/>
      <c r="M25" s="23"/>
      <c r="N25" s="23"/>
      <c r="O25" s="44"/>
      <c r="P25" s="44"/>
      <c r="Q25" s="44"/>
      <c r="R25" s="44"/>
      <c r="S25" s="43"/>
    </row>
    <row r="26" spans="1:19" ht="12.75" thickBot="1">
      <c r="A26" s="63"/>
      <c r="B26" s="63"/>
      <c r="C26" s="63"/>
      <c r="D26" s="33"/>
      <c r="E26" s="33" t="str">
        <f>INDEX([1]!MetaData_AccountCodes[Workbook Ref],MATCH(R_Disclosures_Master!$G26,[1]!MetaData_AccountCodes[Account Code],0))</f>
        <v>Transfer of premium from current to payable</v>
      </c>
      <c r="F26" s="33"/>
      <c r="G26" s="34" t="str">
        <f>[1]MetaData!$J$62</f>
        <v>3330000</v>
      </c>
      <c r="H26" s="69"/>
      <c r="I26" s="66">
        <f>SUMIFS([1]!Outputs_SL[Amount],[1]!Outputs_SL[Date],"&lt;="&amp;ReportingDate_Current,[1]!Outputs_SL[Date],"&gt;"&amp;ReportingDate_Previous,[1]!Outputs_SL[DR Account Code],I$5,[1]!Outputs_SL[CR Account Code],$G26,[1]!Outputs_SL[Reporting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Code],$G26,[1]!Outputs_SL[Reporting Segment],IF(ReportingSegment_R&lt;&gt;"Total",ReportingSegment_R,"&lt;&gt;###"))</f>
        <v>0</v>
      </c>
      <c r="J26" s="67">
        <f>SUMIFS([1]!Outputs_SL[Amount],[1]!Outputs_SL[Date],"&lt;="&amp;ReportingDate_Current,[1]!Outputs_SL[Date],"&gt;"&amp;ReportingDate_Previous,[1]!Outputs_SL[DR Account Code],J$5,[1]!Outputs_SL[CR Account Code],$G26,[1]!Outputs_SL[Reporting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Code],$G26,[1]!Outputs_SL[Reporting Segment],IF(ReportingSegment_R&lt;&gt;"Total",ReportingSegment_R,"&lt;&gt;###"))</f>
        <v>0</v>
      </c>
      <c r="K26" s="44"/>
      <c r="L26" s="23"/>
      <c r="M26" s="23"/>
      <c r="N26" s="23"/>
      <c r="O26" s="44"/>
      <c r="P26" s="44"/>
      <c r="Q26" s="44"/>
      <c r="R26" s="44"/>
      <c r="S26" s="43"/>
    </row>
    <row r="27" spans="1:19" ht="12.75" thickBot="1">
      <c r="A27" s="63"/>
      <c r="B27" s="63"/>
      <c r="C27" s="63"/>
      <c r="D27" s="33"/>
      <c r="E27" s="33" t="str">
        <f>INDEX([1]!MetaData_AccountCodes[Workbook Ref],MATCH(R_Disclosures_Master!$G27,[1]!MetaData_AccountCodes[Account Code],0))</f>
        <v>Transfer of non-claims related commissions from current to due</v>
      </c>
      <c r="F27" s="33"/>
      <c r="G27" s="34" t="str">
        <f>[1]MetaData!$J$63</f>
        <v>3340000</v>
      </c>
      <c r="H27" s="69"/>
      <c r="I27" s="69"/>
      <c r="J27" s="75"/>
      <c r="K27" s="66">
        <f>SUMIFS([1]!Outputs_SL[Amount],[1]!Outputs_SL[Date],"&lt;="&amp;ReportingDate_Current,[1]!Outputs_SL[Date],"&gt;"&amp;ReportingDate_Previous,[1]!Outputs_SL[DR Account Code],K$5,[1]!Outputs_SL[CR Account Code],$G27,[1]!Outputs_SL[Reporting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Code],$G27,[1]!Outputs_SL[Reporting Segment],IF(ReportingSegment_R&lt;&gt;"Total",ReportingSegment_R,"&lt;&gt;###"))</f>
        <v>0</v>
      </c>
      <c r="L27" s="67">
        <f>SUMIFS([1]!Outputs_SL[Amount],[1]!Outputs_SL[Date],"&lt;="&amp;ReportingDate_Current,[1]!Outputs_SL[Date],"&gt;"&amp;ReportingDate_Previous,[1]!Outputs_SL[DR Account Code],L$5,[1]!Outputs_SL[CR Account Code],$G27,[1]!Outputs_SL[Reporting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Code],$G27,[1]!Outputs_SL[Reporting Segment],IF(ReportingSegment_R&lt;&gt;"Total",ReportingSegment_R,"&lt;&gt;###"))</f>
        <v>0</v>
      </c>
      <c r="M27" s="23"/>
      <c r="N27" s="23"/>
      <c r="O27" s="44"/>
      <c r="P27" s="44"/>
      <c r="Q27" s="44"/>
      <c r="R27" s="44"/>
      <c r="S27" s="43"/>
    </row>
    <row r="28" spans="1:19" ht="12.75" thickBot="1">
      <c r="A28" s="63"/>
      <c r="B28" s="63"/>
      <c r="C28" s="63"/>
      <c r="D28" s="40" t="s">
        <v>33</v>
      </c>
      <c r="E28" s="40"/>
      <c r="F28" s="40"/>
      <c r="G28" s="40"/>
      <c r="H28" s="70"/>
      <c r="I28" s="70"/>
      <c r="J28" s="70"/>
      <c r="K28" s="64"/>
      <c r="L28" s="64"/>
      <c r="M28" s="64"/>
      <c r="N28" s="41"/>
      <c r="O28" s="41"/>
      <c r="P28" s="41"/>
      <c r="Q28" s="41"/>
      <c r="R28" s="41"/>
      <c r="S28" s="43"/>
    </row>
    <row r="29" spans="1:19" ht="12.75" thickBot="1">
      <c r="A29" s="63"/>
      <c r="B29" s="63"/>
      <c r="C29" s="63"/>
      <c r="D29" s="33"/>
      <c r="E29" s="33" t="str">
        <f>INDEX([1]!MetaData_AccountCodes[Workbook Ref],MATCH(R_Disclosures_Master!$G29,[1]!MetaData_AccountCodes[Account Code],0))</f>
        <v>Premiums paid</v>
      </c>
      <c r="F29" s="33"/>
      <c r="G29" s="34" t="str">
        <f>[1]MetaData!$J$53</f>
        <v>3121000</v>
      </c>
      <c r="H29" s="66">
        <f>SUMIFS([1]!Outputs_SL[Amount],[1]!Outputs_SL[Date],"&lt;="&amp;ReportingDate_Current,[1]!Outputs_SL[Date],"&gt;"&amp;ReportingDate_Previous,[1]!Outputs_SL[DR Account Code],H$5,[1]!Outputs_SL[CR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Code],H$5,[1]!Outputs_SL[DR Account Code],$G29,[1]!Outputs_SL[Reporting Segment],IF(ReportingSegment_R&lt;&gt;"Total",ReportingSegment_R,"&lt;&gt;###"))</f>
        <v>0</v>
      </c>
      <c r="I29" s="133">
        <f>SUMIFS([1]!Outputs_SL[Amount],[1]!Outputs_SL[Date],"&lt;="&amp;ReportingDate_Current,[1]!Outputs_SL[Date],"&gt;"&amp;ReportingDate_Previous,[1]!Outputs_SL[DR Account Code],I$5,[1]!Outputs_SL[CR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Code],I$5,[1]!Outputs_SL[DR Account Code],$G29,[1]!Outputs_SL[Reporting Segment],IF(ReportingSegment_R&lt;&gt;"Total",ReportingSegment_R,"&lt;&gt;###"))</f>
        <v>11713375.066908343</v>
      </c>
      <c r="J29" s="133">
        <f>SUMIFS([1]!Outputs_SL[Amount],[1]!Outputs_SL[Date],"&lt;="&amp;ReportingDate_Current,[1]!Outputs_SL[Date],"&gt;"&amp;ReportingDate_Previous,[1]!Outputs_SL[DR Account Code],J$5,[1]!Outputs_SL[CR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Code],J$5,[1]!Outputs_SL[DR Account Code],$G29,[1]!Outputs_SL[Reporting Segment],IF(ReportingSegment_R&lt;&gt;"Total",ReportingSegment_R,"&lt;&gt;###"))</f>
        <v>0</v>
      </c>
      <c r="K29" s="133">
        <f>SUMIFS([1]!Outputs_SL[Amount],[1]!Outputs_SL[Date],"&lt;="&amp;ReportingDate_Current,[1]!Outputs_SL[Date],"&gt;"&amp;ReportingDate_Previous,[1]!Outputs_SL[DR Account Code],K$5,[1]!Outputs_SL[CR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Code],K$5,[1]!Outputs_SL[DR Account Code],$G29,[1]!Outputs_SL[Reporting Segment],IF(ReportingSegment_R&lt;&gt;"Total",ReportingSegment_R,"&lt;&gt;###"))</f>
        <v>0</v>
      </c>
      <c r="L29" s="67">
        <f>SUMIFS([1]!Outputs_SL[Amount],[1]!Outputs_SL[Date],"&lt;="&amp;ReportingDate_Current,[1]!Outputs_SL[Date],"&gt;"&amp;ReportingDate_Previous,[1]!Outputs_SL[DR Account Code],L$5,[1]!Outputs_SL[CR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Code],L$5,[1]!Outputs_SL[DR Account Code],$G29,[1]!Outputs_SL[Reporting Segment],IF(ReportingSegment_R&lt;&gt;"Total",ReportingSegment_R,"&lt;&gt;###"))</f>
        <v>0</v>
      </c>
      <c r="M29" s="134"/>
      <c r="N29" s="134"/>
      <c r="O29" s="43"/>
      <c r="P29" s="43"/>
      <c r="Q29" s="43"/>
      <c r="R29" s="71"/>
      <c r="S29" s="68">
        <f>SUMIFS([1]!Outputs_SL[Amount],[1]!Outputs_SL[Date],"&lt;="&amp;ReportingDate_Current,[1]!Outputs_SL[Date],"&gt;"&amp;ReportingDate_Previous,[1]!Outputs_SL[DR Account Code],S$5,[1]!Outputs_SL[CR Account Code],$G29,[1]!Outputs_SL[Reporting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Code],S$5,[1]!Outputs_SL[DR Account Code],$G29,[1]!Outputs_SL[Reporting Segment],IF(ReportingSegment_R&lt;&gt;"Total",ReportingSegment_R,"&lt;&gt;###"))</f>
        <v>-11713375.066908343</v>
      </c>
    </row>
    <row r="30" spans="1:19" ht="12.75" thickBot="1">
      <c r="A30" s="63"/>
      <c r="B30" s="63"/>
      <c r="C30" s="63"/>
      <c r="D30" s="33"/>
      <c r="E30" s="33" t="str">
        <f>INDEX([1]!MetaData_AccountCodes[Workbook Ref],MATCH(R_Disclosures_Master!$G30,[1]!MetaData_AccountCodes[Account Code],0))</f>
        <v>Amounts received</v>
      </c>
      <c r="F30" s="33"/>
      <c r="G30" s="34" t="str">
        <f>[1]MetaData!$J$54</f>
        <v>3122000</v>
      </c>
      <c r="H30" s="75"/>
      <c r="I30" s="73"/>
      <c r="J30" s="69"/>
      <c r="K30" s="76"/>
      <c r="L30" s="76"/>
      <c r="M30" s="73"/>
      <c r="N30" s="73"/>
      <c r="O30" s="66">
        <f>SUMIFS([1]!Outputs_SL[Amount],[1]!Outputs_SL[Date],"&lt;="&amp;ReportingDate_Current,[1]!Outputs_SL[Date],"&gt;"&amp;ReportingDate_Previous,[1]!Outputs_SL[DR Account Code],O$5,[1]!Outputs_SL[CR Account Code],$G30,[1]!Outputs_SL[Reporting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Code],O$5,[1]!Outputs_SL[DR Account Code],$G30,[1]!Outputs_SL[Reporting Segment],IF(ReportingSegment_R&lt;&gt;"Total",ReportingSegment_R,"&lt;&gt;###"))</f>
        <v>-7936339.5253705056</v>
      </c>
      <c r="P30" s="67">
        <f>SUMIFS([1]!Outputs_SL[Amount],[1]!Outputs_SL[Date],"&lt;="&amp;ReportingDate_Current,[1]!Outputs_SL[Date],"&gt;"&amp;ReportingDate_Previous,[1]!Outputs_SL[DR Account Code],P$5,[1]!Outputs_SL[CR Account Code],$G30,[1]!Outputs_SL[Reporting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Code],P$5,[1]!Outputs_SL[DR Account Code],$G30,[1]!Outputs_SL[Reporting Segment],IF(ReportingSegment_R&lt;&gt;"Total",ReportingSegment_R,"&lt;&gt;###"))</f>
        <v>0</v>
      </c>
      <c r="Q30" s="73"/>
      <c r="R30" s="74"/>
      <c r="S30" s="68">
        <f>SUMIFS([1]!Outputs_SL[Amount],[1]!Outputs_SL[Date],"&lt;="&amp;ReportingDate_Current,[1]!Outputs_SL[Date],"&gt;"&amp;ReportingDate_Previous,[1]!Outputs_SL[DR Account Code],S$5,[1]!Outputs_SL[CR Account Code],$G30,[1]!Outputs_SL[Reporting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Code],S$5,[1]!Outputs_SL[DR Account Code],$G30,[1]!Outputs_SL[Reporting Segment],IF(ReportingSegment_R&lt;&gt;"Total",ReportingSegment_R,"&lt;&gt;###"))</f>
        <v>7936339.5253705056</v>
      </c>
    </row>
    <row r="31" spans="1:19" ht="12.75" thickBot="1">
      <c r="A31" s="63"/>
      <c r="B31" s="63"/>
      <c r="C31" s="63"/>
      <c r="D31" s="33"/>
      <c r="E31" s="33" t="str">
        <f>INDEX([1]!MetaData_AccountCodes[Workbook Ref],MATCH(R_Disclosures_Master!$G31,[1]!MetaData_AccountCodes[Account Code],0))</f>
        <v>Reinsurance investment components received</v>
      </c>
      <c r="F31" s="33"/>
      <c r="G31" s="34" t="str">
        <f>[1]MetaData!$J$55</f>
        <v>3123000</v>
      </c>
      <c r="H31" s="75"/>
      <c r="I31" s="73"/>
      <c r="J31" s="69"/>
      <c r="K31" s="44"/>
      <c r="L31" s="23"/>
      <c r="M31" s="73"/>
      <c r="N31" s="68">
        <f>SUMIFS([1]!Outputs_SL[Amount],[1]!Outputs_SL[Date],"&lt;="&amp;ReportingDate_Current,[1]!Outputs_SL[Date],"&gt;"&amp;ReportingDate_Previous,[1]!Outputs_SL[DR Account Code],N$5,[1]!Outputs_SL[CR Account Code],$G31,[1]!Outputs_SL[Reporting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Code],N$5,[1]!Outputs_SL[DR Account Code],$G31,[1]!Outputs_SL[Reporting Segment],IF(ReportingSegment_R&lt;&gt;"Total",ReportingSegment_R,"&lt;&gt;###"))</f>
        <v>0</v>
      </c>
      <c r="O31" s="73"/>
      <c r="P31" s="73"/>
      <c r="Q31" s="71"/>
      <c r="R31" s="74"/>
      <c r="S31" s="68">
        <f>SUMIFS([1]!Outputs_SL[Amount],[1]!Outputs_SL[Date],"&lt;="&amp;ReportingDate_Current,[1]!Outputs_SL[Date],"&gt;"&amp;ReportingDate_Previous,[1]!Outputs_SL[DR Account Code],S$5,[1]!Outputs_SL[CR Account Code],$G31,[1]!Outputs_SL[Reporting Segment],IF(ReportingSegment_R&lt;&gt;"Total",ReportingSegment_R,"&lt;&gt;###")) - SUMIFS([1]!Outputs_SL[Amount],[1]!Outputs_SL[Date],"&lt;="&amp;ReportingDate_Current,[1]!Outputs_SL[Date],"&gt;"&amp;ReportingDate_Previous,[1]!Outputs_SL[CR Account Code],S$5,[1]!Outputs_SL[DR Account Code],$G31,[1]!Outputs_SL[Reporting Segment],IF(ReportingSegment_R&lt;&gt;"Total",ReportingSegment_R,"&lt;&gt;###"))</f>
        <v>0</v>
      </c>
    </row>
    <row r="32" spans="1:19">
      <c r="A32" s="33"/>
      <c r="B32" s="33"/>
      <c r="C32" s="33"/>
      <c r="D32" s="25" t="s">
        <v>34</v>
      </c>
      <c r="E32" s="26"/>
      <c r="F32" s="27"/>
      <c r="G32" s="28"/>
      <c r="H32" s="77">
        <f t="shared" ref="H32:N32" si="1">SUM(H8:H31)</f>
        <v>0</v>
      </c>
      <c r="I32" s="77">
        <f t="shared" si="1"/>
        <v>0</v>
      </c>
      <c r="J32" s="77">
        <f t="shared" si="1"/>
        <v>0</v>
      </c>
      <c r="K32" s="77">
        <f t="shared" si="1"/>
        <v>0</v>
      </c>
      <c r="L32" s="29">
        <f t="shared" si="1"/>
        <v>0</v>
      </c>
      <c r="M32" s="29">
        <f t="shared" si="1"/>
        <v>0</v>
      </c>
      <c r="N32" s="29">
        <f t="shared" si="1"/>
        <v>0</v>
      </c>
      <c r="O32" s="29">
        <f t="shared" ref="O32:P32" si="2">SUM(O8:O31)</f>
        <v>437659.15144994576</v>
      </c>
      <c r="P32" s="29">
        <f t="shared" si="2"/>
        <v>0</v>
      </c>
      <c r="Q32" s="29">
        <f>SUM(Q8:Q31)</f>
        <v>0</v>
      </c>
      <c r="R32" s="29">
        <f>SUM(R8:R31)</f>
        <v>0</v>
      </c>
    </row>
    <row r="33" spans="1:19">
      <c r="A33" s="33"/>
      <c r="B33" s="33"/>
      <c r="C33" s="33"/>
      <c r="D33" s="33"/>
      <c r="E33" s="33"/>
      <c r="F33" s="33"/>
      <c r="G33" s="34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>
      <c r="A34" s="33"/>
      <c r="B34" s="33"/>
      <c r="C34" s="33"/>
      <c r="D34" s="33" t="s">
        <v>18</v>
      </c>
      <c r="E34" s="33"/>
      <c r="F34" s="33"/>
      <c r="G34" s="34"/>
      <c r="H34" s="23">
        <f>SUMIFS([1]!Outputs_TB[Amount],[1]!Outputs_TB[Date],ReportingDate_Current,[1]!Outputs_TB[Asset / Liability],"Asset",[1]!Outputs_TB[Reporting Segment],IF(ReportingSegment_R&lt;&gt;"Total",ReportingSegment_R,"&lt;&gt;###"),[1]!Outputs_TB[Account Code],H$5)</f>
        <v>0</v>
      </c>
      <c r="I34" s="23">
        <f>SUMIFS([1]!Outputs_TB[Amount],[1]!Outputs_TB[Date],ReportingDate_Current,[1]!Outputs_TB[Asset / Liability],"Asset",[1]!Outputs_TB[Reporting Segment],IF(ReportingSegment_R&lt;&gt;"Total",ReportingSegment_R,"&lt;&gt;###"),[1]!Outputs_TB[Account Code],I$5)</f>
        <v>0</v>
      </c>
      <c r="J34" s="23">
        <f>SUMIFS([1]!Outputs_TB[Amount],[1]!Outputs_TB[Date],ReportingDate_Current,[1]!Outputs_TB[Asset / Liability],"Asset",[1]!Outputs_TB[Reporting Segment],IF(ReportingSegment_R&lt;&gt;"Total",ReportingSegment_R,"&lt;&gt;###"),[1]!Outputs_TB[Account Code],J$5)</f>
        <v>0</v>
      </c>
      <c r="K34" s="23">
        <f>SUMIFS([1]!Outputs_TB[Amount],[1]!Outputs_TB[Date],ReportingDate_Current,[1]!Outputs_TB[Asset / Liability],"Asset",[1]!Outputs_TB[Reporting Segment],IF(ReportingSegment_R&lt;&gt;"Total",ReportingSegment_R,"&lt;&gt;###"),[1]!Outputs_TB[Account Code],K$5)</f>
        <v>0</v>
      </c>
      <c r="L34" s="23">
        <f>SUMIFS([1]!Outputs_TB[Amount],[1]!Outputs_TB[Date],ReportingDate_Current,[1]!Outputs_TB[Asset / Liability],"Asset",[1]!Outputs_TB[Reporting Segment],IF(ReportingSegment_R&lt;&gt;"Total",ReportingSegment_R,"&lt;&gt;###"),[1]!Outputs_TB[Account Code],L$5)</f>
        <v>0</v>
      </c>
      <c r="M34" s="23">
        <f>SUMIFS([1]!Outputs_TB[Amount],[1]!Outputs_TB[Date],ReportingDate_Current,[1]!Outputs_TB[Asset / Liability],"Asset",[1]!Outputs_TB[Reporting Segment],IF(ReportingSegment_R&lt;&gt;"Total",ReportingSegment_R,"&lt;&gt;###"),[1]!Outputs_TB[Account Code],M$5)</f>
        <v>0</v>
      </c>
      <c r="N34" s="23">
        <f>SUMIFS([1]!Outputs_TB[Amount],[1]!Outputs_TB[Date],ReportingDate_Current,[1]!Outputs_TB[Asset / Liability],"Asset",[1]!Outputs_TB[Reporting Segment],IF(ReportingSegment_R&lt;&gt;"Total",ReportingSegment_R,"&lt;&gt;###"),[1]!Outputs_TB[Account Code],N$5)</f>
        <v>0</v>
      </c>
      <c r="O34" s="23">
        <f>SUMIFS([1]!Outputs_TB[Amount],[1]!Outputs_TB[Date],ReportingDate_Current,[1]!Outputs_TB[Asset / Liability],"Asset",[1]!Outputs_TB[Reporting Segment],IF(ReportingSegment_R&lt;&gt;"Total",ReportingSegment_R,"&lt;&gt;###"),[1]!Outputs_TB[Account Code],O$5)</f>
        <v>437659.15144994436</v>
      </c>
      <c r="P34" s="23">
        <f>SUMIFS([1]!Outputs_TB[Amount],[1]!Outputs_TB[Date],ReportingDate_Current,[1]!Outputs_TB[Asset / Liability],"Asset",[1]!Outputs_TB[Reporting Segment],IF(ReportingSegment_R&lt;&gt;"Total",ReportingSegment_R,"&lt;&gt;###"),[1]!Outputs_TB[Account Code],P$5)</f>
        <v>0</v>
      </c>
      <c r="Q34" s="23">
        <f>SUMIFS([1]!Outputs_TB[Amount],[1]!Outputs_TB[Date],ReportingDate_Current,[1]!Outputs_TB[Asset / Liability],"Asset",[1]!Outputs_TB[Reporting Segment],IF(ReportingSegment_R&lt;&gt;"Total",ReportingSegment_R,"&lt;&gt;###"),[1]!Outputs_TB[Account Code],Q$5)</f>
        <v>0</v>
      </c>
      <c r="R34" s="23">
        <f>SUMIFS([1]!Outputs_TB[Amount],[1]!Outputs_TB[Date],ReportingDate_Current,[1]!Outputs_TB[Asset / Liability],"Asset",[1]!Outputs_TB[Reporting Segment],IF(ReportingSegment_R&lt;&gt;"Total",ReportingSegment_R,"&lt;&gt;###"),[1]!Outputs_TB[Account Code],R$5)</f>
        <v>0</v>
      </c>
      <c r="S34" s="23"/>
    </row>
    <row r="35" spans="1:19">
      <c r="A35" s="33"/>
      <c r="B35" s="33"/>
      <c r="C35" s="33"/>
      <c r="D35" s="33" t="s">
        <v>19</v>
      </c>
      <c r="E35" s="33"/>
      <c r="F35" s="33"/>
      <c r="G35" s="34"/>
      <c r="H35" s="23">
        <f>-SUMIFS([1]!Outputs_TB[Amount],[1]!Outputs_TB[Date],ReportingDate_Current,[1]!Outputs_TB[Asset / Liability],"Liability",[1]!Outputs_TB[Reporting Segment],IF(ReportingSegment_R&lt;&gt;"Total",ReportingSegment_R,"&lt;&gt;###"),[1]!Outputs_TB[Account Code],H$5)</f>
        <v>0</v>
      </c>
      <c r="I35" s="23">
        <f>-SUMIFS([1]!Outputs_TB[Amount],[1]!Outputs_TB[Date],ReportingDate_Current,[1]!Outputs_TB[Asset / Liability],"Liability",[1]!Outputs_TB[Reporting Segment],IF(ReportingSegment_R&lt;&gt;"Total",ReportingSegment_R,"&lt;&gt;###"),[1]!Outputs_TB[Account Code],I$5)</f>
        <v>0</v>
      </c>
      <c r="J35" s="23">
        <f>-SUMIFS([1]!Outputs_TB[Amount],[1]!Outputs_TB[Date],ReportingDate_Current,[1]!Outputs_TB[Asset / Liability],"Liability",[1]!Outputs_TB[Reporting Segment],IF(ReportingSegment_R&lt;&gt;"Total",ReportingSegment_R,"&lt;&gt;###"),[1]!Outputs_TB[Account Code],J$5)</f>
        <v>0</v>
      </c>
      <c r="K35" s="23">
        <f>-SUMIFS([1]!Outputs_TB[Amount],[1]!Outputs_TB[Date],ReportingDate_Current,[1]!Outputs_TB[Asset / Liability],"Liability",[1]!Outputs_TB[Reporting Segment],IF(ReportingSegment_R&lt;&gt;"Total",ReportingSegment_R,"&lt;&gt;###"),[1]!Outputs_TB[Account Code],K$5)</f>
        <v>0</v>
      </c>
      <c r="L35" s="23">
        <f>-SUMIFS([1]!Outputs_TB[Amount],[1]!Outputs_TB[Date],ReportingDate_Current,[1]!Outputs_TB[Asset / Liability],"Liability",[1]!Outputs_TB[Reporting Segment],IF(ReportingSegment_R&lt;&gt;"Total",ReportingSegment_R,"&lt;&gt;###"),[1]!Outputs_TB[Account Code],L$5)</f>
        <v>0</v>
      </c>
      <c r="M35" s="23">
        <f>-SUMIFS([1]!Outputs_TB[Amount],[1]!Outputs_TB[Date],ReportingDate_Current,[1]!Outputs_TB[Asset / Liability],"Liability",[1]!Outputs_TB[Reporting Segment],IF(ReportingSegment_R&lt;&gt;"Total",ReportingSegment_R,"&lt;&gt;###"),[1]!Outputs_TB[Account Code],M$5)</f>
        <v>0</v>
      </c>
      <c r="N35" s="23">
        <f>-SUMIFS([1]!Outputs_TB[Amount],[1]!Outputs_TB[Date],ReportingDate_Current,[1]!Outputs_TB[Asset / Liability],"Liability",[1]!Outputs_TB[Reporting Segment],IF(ReportingSegment_R&lt;&gt;"Total",ReportingSegment_R,"&lt;&gt;###"),[1]!Outputs_TB[Account Code],N$5)</f>
        <v>0</v>
      </c>
      <c r="O35" s="23">
        <f>-SUMIFS([1]!Outputs_TB[Amount],[1]!Outputs_TB[Date],ReportingDate_Current,[1]!Outputs_TB[Asset / Liability],"Liability",[1]!Outputs_TB[Reporting Segment],IF(ReportingSegment_R&lt;&gt;"Total",ReportingSegment_R,"&lt;&gt;###"),[1]!Outputs_TB[Account Code],O$5)</f>
        <v>0</v>
      </c>
      <c r="P35" s="23">
        <f>-SUMIFS([1]!Outputs_TB[Amount],[1]!Outputs_TB[Date],ReportingDate_Current,[1]!Outputs_TB[Asset / Liability],"Liability",[1]!Outputs_TB[Reporting Segment],IF(ReportingSegment_R&lt;&gt;"Total",ReportingSegment_R,"&lt;&gt;###"),[1]!Outputs_TB[Account Code],P$5)</f>
        <v>0</v>
      </c>
      <c r="Q35" s="23">
        <f>-SUMIFS([1]!Outputs_TB[Amount],[1]!Outputs_TB[Date],ReportingDate_Current,[1]!Outputs_TB[Asset / Liability],"Liability",[1]!Outputs_TB[Reporting Segment],IF(ReportingSegment_R&lt;&gt;"Total",ReportingSegment_R,"&lt;&gt;###"),[1]!Outputs_TB[Account Code],Q$5)</f>
        <v>0</v>
      </c>
      <c r="R35" s="23">
        <f>-SUMIFS([1]!Outputs_TB[Amount],[1]!Outputs_TB[Date],ReportingDate_Current,[1]!Outputs_TB[Asset / Liability],"Liability",[1]!Outputs_TB[Reporting Segment],IF(ReportingSegment_R&lt;&gt;"Total",ReportingSegment_R,"&lt;&gt;###"),[1]!Outputs_TB[Account Code],R$5)</f>
        <v>0</v>
      </c>
      <c r="S35" s="23"/>
    </row>
    <row r="36" spans="1:19">
      <c r="A36" s="33"/>
      <c r="B36" s="33"/>
      <c r="C36" s="33"/>
      <c r="D36" s="25" t="s">
        <v>34</v>
      </c>
      <c r="E36" s="26"/>
      <c r="F36" s="27"/>
      <c r="G36" s="28"/>
      <c r="H36" s="29">
        <f>SUM(H34:H35)</f>
        <v>0</v>
      </c>
      <c r="I36" s="29">
        <f>SUM(I34:I35)</f>
        <v>0</v>
      </c>
      <c r="J36" s="29">
        <f t="shared" ref="J36:R36" si="3">SUM(J34:J35)</f>
        <v>0</v>
      </c>
      <c r="K36" s="29">
        <f t="shared" si="3"/>
        <v>0</v>
      </c>
      <c r="L36" s="29">
        <f t="shared" si="3"/>
        <v>0</v>
      </c>
      <c r="M36" s="29">
        <f t="shared" si="3"/>
        <v>0</v>
      </c>
      <c r="N36" s="29">
        <f t="shared" si="3"/>
        <v>0</v>
      </c>
      <c r="O36" s="29">
        <f t="shared" si="3"/>
        <v>437659.15144994436</v>
      </c>
      <c r="P36" s="29">
        <f t="shared" si="3"/>
        <v>0</v>
      </c>
      <c r="Q36" s="29">
        <f t="shared" si="3"/>
        <v>0</v>
      </c>
      <c r="R36" s="29">
        <f t="shared" si="3"/>
        <v>0</v>
      </c>
      <c r="S36" s="23"/>
    </row>
    <row r="37" spans="1:19" s="79" customFormat="1">
      <c r="A37" s="34"/>
      <c r="B37" s="34"/>
      <c r="C37" s="34"/>
      <c r="D37" s="34" t="s">
        <v>35</v>
      </c>
      <c r="E37" s="34"/>
      <c r="F37" s="34"/>
      <c r="G37" s="34"/>
      <c r="H37" s="78" t="str">
        <f t="shared" ref="H37:R37" si="4">IF(ROUND(H32,2)=ROUND(H36,2),"OK","ERROR")</f>
        <v>OK</v>
      </c>
      <c r="I37" s="78" t="str">
        <f t="shared" si="4"/>
        <v>OK</v>
      </c>
      <c r="J37" s="78" t="str">
        <f t="shared" si="4"/>
        <v>OK</v>
      </c>
      <c r="K37" s="78" t="str">
        <f t="shared" si="4"/>
        <v>OK</v>
      </c>
      <c r="L37" s="78" t="str">
        <f t="shared" si="4"/>
        <v>OK</v>
      </c>
      <c r="M37" s="78" t="str">
        <f t="shared" si="4"/>
        <v>OK</v>
      </c>
      <c r="N37" s="78" t="str">
        <f t="shared" si="4"/>
        <v>OK</v>
      </c>
      <c r="O37" s="78" t="str">
        <f t="shared" si="4"/>
        <v>OK</v>
      </c>
      <c r="P37" s="78" t="str">
        <f t="shared" si="4"/>
        <v>OK</v>
      </c>
      <c r="Q37" s="78" t="str">
        <f t="shared" si="4"/>
        <v>OK</v>
      </c>
      <c r="R37" s="78" t="str">
        <f t="shared" si="4"/>
        <v>OK</v>
      </c>
      <c r="S37" s="23"/>
    </row>
    <row r="39" spans="1:19">
      <c r="H39" s="135">
        <f>H36-H32</f>
        <v>0</v>
      </c>
      <c r="I39" s="135">
        <f t="shared" ref="I39:R39" si="5">I36-I32</f>
        <v>0</v>
      </c>
      <c r="J39" s="135">
        <f t="shared" si="5"/>
        <v>0</v>
      </c>
      <c r="K39" s="135">
        <f t="shared" si="5"/>
        <v>0</v>
      </c>
      <c r="L39" s="135">
        <f t="shared" si="5"/>
        <v>0</v>
      </c>
      <c r="M39" s="135">
        <f t="shared" si="5"/>
        <v>0</v>
      </c>
      <c r="N39" s="135">
        <f t="shared" si="5"/>
        <v>0</v>
      </c>
      <c r="O39" s="135">
        <f t="shared" si="5"/>
        <v>-1.3969838619232178E-9</v>
      </c>
      <c r="P39" s="135">
        <f t="shared" si="5"/>
        <v>0</v>
      </c>
      <c r="Q39" s="135">
        <f t="shared" si="5"/>
        <v>0</v>
      </c>
      <c r="R39" s="135">
        <f t="shared" si="5"/>
        <v>0</v>
      </c>
    </row>
    <row r="41" spans="1:19">
      <c r="O41" s="135"/>
      <c r="Q41" s="135"/>
    </row>
  </sheetData>
  <mergeCells count="19">
    <mergeCell ref="A23:C31"/>
    <mergeCell ref="D32:F32"/>
    <mergeCell ref="D36:F36"/>
    <mergeCell ref="Q3:R3"/>
    <mergeCell ref="D8:F8"/>
    <mergeCell ref="A9:A22"/>
    <mergeCell ref="B9:B13"/>
    <mergeCell ref="C9:C11"/>
    <mergeCell ref="B14:C22"/>
    <mergeCell ref="A1:F4"/>
    <mergeCell ref="G1:G4"/>
    <mergeCell ref="H1:S1"/>
    <mergeCell ref="H2:M2"/>
    <mergeCell ref="N2:R2"/>
    <mergeCell ref="S2:S4"/>
    <mergeCell ref="H3:H4"/>
    <mergeCell ref="I3:L3"/>
    <mergeCell ref="M3:M4"/>
    <mergeCell ref="N3:P3"/>
  </mergeCells>
  <conditionalFormatting sqref="H37:R37">
    <cfRule type="expression" dxfId="1" priority="1">
      <formula>H37="ERROR"</formula>
    </cfRule>
    <cfRule type="expression" dxfId="0" priority="2">
      <formula>H37="OK"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425E-B95F-4180-A1F9-C66DC259D175}">
  <sheetPr codeName="Sheet83">
    <tabColor rgb="FFFFE600"/>
  </sheetPr>
  <dimension ref="N79:AS79"/>
  <sheetViews>
    <sheetView workbookViewId="0"/>
  </sheetViews>
  <sheetFormatPr defaultColWidth="2.42578125" defaultRowHeight="9"/>
  <cols>
    <col min="1" max="16384" width="2.42578125" style="118"/>
  </cols>
  <sheetData>
    <row r="79" spans="14:45">
      <c r="N79" s="117"/>
      <c r="O79" s="118" t="s">
        <v>62</v>
      </c>
      <c r="X79" s="119"/>
      <c r="Y79" s="118" t="s">
        <v>63</v>
      </c>
      <c r="AH79" s="120"/>
      <c r="AI79" s="118" t="s">
        <v>64</v>
      </c>
      <c r="AR79" s="121"/>
      <c r="AS79" s="118" t="s">
        <v>65</v>
      </c>
    </row>
  </sheetData>
  <sheetProtection algorithmName="SHA-512" hashValue="nk7w/bnCtddl9U0xwe0QJD78J3KaTpj3sw0exFHONb7flM3jH2CRl7HfRrs2+ScKjmqgUtE+he4nivM2PynDng==" saltValue="1afkQlUxU96eQeUmQdHPjQ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Financials</vt:lpstr>
      <vt:lpstr>R_Disclosures</vt:lpstr>
      <vt:lpstr>I_Disclosures_Master</vt:lpstr>
      <vt:lpstr>I_Disclosures</vt:lpstr>
      <vt:lpstr>I_Dashboard</vt:lpstr>
      <vt:lpstr>R_Disclosures_Master</vt:lpstr>
      <vt:lpstr>R_Dashboard</vt:lpstr>
      <vt:lpstr>ReportingSegment_I</vt:lpstr>
      <vt:lpstr>ReportingSegment_R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Mampane</dc:creator>
  <cp:lastModifiedBy>Brian Mampane</cp:lastModifiedBy>
  <dcterms:created xsi:type="dcterms:W3CDTF">2024-09-20T12:40:07Z</dcterms:created>
  <dcterms:modified xsi:type="dcterms:W3CDTF">2024-09-20T12:46:07Z</dcterms:modified>
</cp:coreProperties>
</file>