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13680" windowHeight="9560" firstSheet="1" activeTab="1"/>
  </bookViews>
  <sheets>
    <sheet name="数据收集" sheetId="4" state="hidden" r:id="rId1"/>
    <sheet name="收数模板" sheetId="19" r:id="rId2"/>
    <sheet name="敞口调出" sheetId="9" state="hidden" r:id="rId3"/>
    <sheet name="Sheet1" sheetId="8"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_xlnm._FilterDatabase" localSheetId="0" hidden="1">数据收集!$A$3:$KQ$167</definedName>
    <definedName name="aa">#REF!</definedName>
    <definedName name="bads">#REF!</definedName>
    <definedName name="corner_goods">'[1]Qual Pivot'!#REF!</definedName>
    <definedName name="fenshu">#REF!</definedName>
    <definedName name="good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ber_buckets">#REF!</definedName>
    <definedName name="population">#REF!</definedName>
    <definedName name="www">#REF!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C7" i="19" l="1"/>
  <c r="DO7" i="19"/>
  <c r="KG71" i="8" l="1"/>
  <c r="KF71" i="8" s="1"/>
  <c r="JE71" i="8"/>
  <c r="JD71" i="8" s="1"/>
  <c r="IS71" i="8"/>
  <c r="IR71" i="8" s="1"/>
  <c r="HU71" i="8"/>
  <c r="HT71" i="8" s="1"/>
  <c r="HI71" i="8"/>
  <c r="HH71" i="8" s="1"/>
  <c r="GW71" i="8"/>
  <c r="GV71" i="8" s="1"/>
  <c r="GK71" i="8"/>
  <c r="GJ71" i="8" s="1"/>
  <c r="FA71" i="8"/>
  <c r="EZ71" i="8" s="1"/>
  <c r="ES71" i="8"/>
  <c r="ER71" i="8"/>
  <c r="EK71" i="8"/>
  <c r="EJ71" i="8" s="1"/>
  <c r="DI71" i="8"/>
  <c r="DD71" i="8"/>
  <c r="CW71" i="8"/>
  <c r="CV71" i="8" s="1"/>
  <c r="CS71" i="8"/>
  <c r="CJ71" i="8"/>
  <c r="BT71" i="8"/>
  <c r="BQ71" i="8"/>
  <c r="BM71" i="8" s="1"/>
  <c r="BL71" i="8" s="1"/>
  <c r="BI71" i="8"/>
  <c r="BE71" i="8"/>
  <c r="BD71" i="8" s="1"/>
  <c r="AO71" i="8"/>
  <c r="AN71" i="8" s="1"/>
  <c r="Y71" i="8"/>
  <c r="X71" i="8" s="1"/>
  <c r="H71" i="8"/>
  <c r="KG70" i="8"/>
  <c r="KF70" i="8" s="1"/>
  <c r="KC70" i="8"/>
  <c r="JE70" i="8"/>
  <c r="JD70" i="8" s="1"/>
  <c r="IS70" i="8"/>
  <c r="IR70" i="8" s="1"/>
  <c r="HU70" i="8"/>
  <c r="HI70" i="8"/>
  <c r="HH70" i="8" s="1"/>
  <c r="GV70" i="8"/>
  <c r="GK70" i="8"/>
  <c r="GJ70" i="8" s="1"/>
  <c r="FA70" i="8"/>
  <c r="EZ70" i="8" s="1"/>
  <c r="ES70" i="8"/>
  <c r="ER70" i="8" s="1"/>
  <c r="EK70" i="8"/>
  <c r="EJ70" i="8" s="1"/>
  <c r="DM70" i="8"/>
  <c r="DD70" i="8"/>
  <c r="CW70" i="8"/>
  <c r="CV70" i="8" s="1"/>
  <c r="CS70" i="8"/>
  <c r="CJ70" i="8"/>
  <c r="CC70" i="8"/>
  <c r="BU70" i="8"/>
  <c r="BT70" i="8" s="1"/>
  <c r="BR70" i="8"/>
  <c r="BQ70" i="8"/>
  <c r="DI70" i="8" s="1"/>
  <c r="BJ70" i="8"/>
  <c r="BI70" i="8"/>
  <c r="BE70" i="8" s="1"/>
  <c r="BD70" i="8" s="1"/>
  <c r="AN70" i="8"/>
  <c r="X70" i="8"/>
  <c r="KF69" i="8"/>
  <c r="KC69" i="8"/>
  <c r="JE69" i="8"/>
  <c r="JD69" i="8" s="1"/>
  <c r="IR69" i="8"/>
  <c r="HT69" i="8"/>
  <c r="HH69" i="8"/>
  <c r="GV69" i="8"/>
  <c r="GK69" i="8"/>
  <c r="GJ69" i="8" s="1"/>
  <c r="FA69" i="8"/>
  <c r="EZ69" i="8" s="1"/>
  <c r="ES69" i="8"/>
  <c r="ER69" i="8" s="1"/>
  <c r="EK69" i="8"/>
  <c r="EJ69" i="8" s="1"/>
  <c r="DM69" i="8"/>
  <c r="DD69" i="8"/>
  <c r="CW69" i="8"/>
  <c r="CV69" i="8" s="1"/>
  <c r="CS69" i="8"/>
  <c r="CJ69" i="8"/>
  <c r="BU69" i="8"/>
  <c r="BT69" i="8" s="1"/>
  <c r="BR69" i="8"/>
  <c r="BQ69" i="8"/>
  <c r="BJ69" i="8"/>
  <c r="BI69" i="8"/>
  <c r="BE69" i="8" s="1"/>
  <c r="BD69" i="8" s="1"/>
  <c r="AN69" i="8"/>
  <c r="X69" i="8"/>
  <c r="KG68" i="8"/>
  <c r="KF68" i="8" s="1"/>
  <c r="JE68" i="8"/>
  <c r="JD68" i="8" s="1"/>
  <c r="IR68" i="8"/>
  <c r="HU68" i="8"/>
  <c r="HT68" i="8" s="1"/>
  <c r="HI68" i="8"/>
  <c r="HH68" i="8" s="1"/>
  <c r="GV68" i="8"/>
  <c r="GJ68" i="8"/>
  <c r="GC68" i="8"/>
  <c r="FA68" i="8"/>
  <c r="EZ68" i="8" s="1"/>
  <c r="ES68" i="8"/>
  <c r="ER68" i="8" s="1"/>
  <c r="EK68" i="8"/>
  <c r="EJ68" i="8" s="1"/>
  <c r="DD68" i="8"/>
  <c r="CW68" i="8"/>
  <c r="CV68" i="8" s="1"/>
  <c r="CJ68" i="8"/>
  <c r="CC68" i="8"/>
  <c r="BT68" i="8"/>
  <c r="BM68" i="8"/>
  <c r="BL68" i="8" s="1"/>
  <c r="BE68" i="8"/>
  <c r="BD68" i="8" s="1"/>
  <c r="AO68" i="8"/>
  <c r="AN68" i="8" s="1"/>
  <c r="Y68" i="8"/>
  <c r="X68" i="8" s="1"/>
  <c r="KG67" i="8"/>
  <c r="KF67" i="8" s="1"/>
  <c r="JE67" i="8"/>
  <c r="JD67" i="8" s="1"/>
  <c r="IS67" i="8"/>
  <c r="IR67" i="8" s="1"/>
  <c r="HU67" i="8"/>
  <c r="HT67" i="8" s="1"/>
  <c r="HI67" i="8"/>
  <c r="HH67" i="8" s="1"/>
  <c r="GW67" i="8"/>
  <c r="GV67" i="8" s="1"/>
  <c r="GJ67" i="8"/>
  <c r="GC67" i="8"/>
  <c r="FA67" i="8"/>
  <c r="EZ67" i="8" s="1"/>
  <c r="ES67" i="8"/>
  <c r="ER67" i="8" s="1"/>
  <c r="EK67" i="8"/>
  <c r="EJ67" i="8" s="1"/>
  <c r="DD67" i="8"/>
  <c r="CW67" i="8"/>
  <c r="CV67" i="8" s="1"/>
  <c r="CJ67" i="8"/>
  <c r="CC67" i="8"/>
  <c r="BT67" i="8"/>
  <c r="BM67" i="8"/>
  <c r="BL67" i="8" s="1"/>
  <c r="BE67" i="8"/>
  <c r="BD67" i="8" s="1"/>
  <c r="AO67" i="8"/>
  <c r="AN67" i="8" s="1"/>
  <c r="Y67" i="8"/>
  <c r="X67" i="8" s="1"/>
  <c r="KG66" i="8"/>
  <c r="KF66" i="8" s="1"/>
  <c r="JD66" i="8"/>
  <c r="IS66" i="8"/>
  <c r="IR66" i="8" s="1"/>
  <c r="HT66" i="8"/>
  <c r="HI66" i="8"/>
  <c r="HH66" i="8" s="1"/>
  <c r="GW66" i="8"/>
  <c r="GV66" i="8" s="1"/>
  <c r="GJ66" i="8"/>
  <c r="GC66" i="8"/>
  <c r="FA66" i="8"/>
  <c r="EZ66" i="8" s="1"/>
  <c r="ES66" i="8"/>
  <c r="ER66" i="8" s="1"/>
  <c r="EK66" i="8"/>
  <c r="EJ66" i="8" s="1"/>
  <c r="DM66" i="8"/>
  <c r="DJ66" i="8"/>
  <c r="DI66" i="8"/>
  <c r="DD66" i="8"/>
  <c r="CW66" i="8"/>
  <c r="CV66" i="8" s="1"/>
  <c r="CK66" i="8"/>
  <c r="CJ66" i="8" s="1"/>
  <c r="CC66" i="8"/>
  <c r="BT66" i="8"/>
  <c r="BM66" i="8"/>
  <c r="BL66" i="8" s="1"/>
  <c r="BE66" i="8"/>
  <c r="BD66" i="8" s="1"/>
  <c r="AO66" i="8"/>
  <c r="AN66" i="8" s="1"/>
  <c r="Y66" i="8"/>
  <c r="X66" i="8" s="1"/>
  <c r="KG65" i="8"/>
  <c r="KF65" i="8" s="1"/>
  <c r="KC65" i="8"/>
  <c r="JE65" i="8"/>
  <c r="JD65" i="8" s="1"/>
  <c r="IS65" i="8"/>
  <c r="IR65" i="8" s="1"/>
  <c r="HU65" i="8"/>
  <c r="HT65" i="8" s="1"/>
  <c r="HI65" i="8"/>
  <c r="HH65" i="8" s="1"/>
  <c r="GW65" i="8"/>
  <c r="GV65" i="8" s="1"/>
  <c r="GK65" i="8"/>
  <c r="GJ65" i="8" s="1"/>
  <c r="GC65" i="8"/>
  <c r="FA65" i="8"/>
  <c r="EZ65" i="8" s="1"/>
  <c r="ES65" i="8"/>
  <c r="ER65" i="8" s="1"/>
  <c r="EK65" i="8"/>
  <c r="EJ65" i="8" s="1"/>
  <c r="DD65" i="8"/>
  <c r="CW65" i="8"/>
  <c r="CV65" i="8" s="1"/>
  <c r="CS65" i="8"/>
  <c r="CJ65" i="8"/>
  <c r="BU65" i="8"/>
  <c r="BT65" i="8" s="1"/>
  <c r="BM65" i="8"/>
  <c r="BL65" i="8" s="1"/>
  <c r="BE65" i="8"/>
  <c r="BD65" i="8" s="1"/>
  <c r="AN65" i="8"/>
  <c r="X65" i="8"/>
  <c r="KG64" i="8"/>
  <c r="KF64" i="8" s="1"/>
  <c r="KC64" i="8"/>
  <c r="JE64" i="8"/>
  <c r="JD64" i="8" s="1"/>
  <c r="IS64" i="8"/>
  <c r="IR64" i="8" s="1"/>
  <c r="HU64" i="8"/>
  <c r="HT64" i="8"/>
  <c r="HI64" i="8"/>
  <c r="HH64" i="8" s="1"/>
  <c r="GW64" i="8"/>
  <c r="GV64" i="8" s="1"/>
  <c r="GK64" i="8"/>
  <c r="GJ64" i="8" s="1"/>
  <c r="FA64" i="8"/>
  <c r="EZ64" i="8" s="1"/>
  <c r="ES64" i="8"/>
  <c r="ER64" i="8" s="1"/>
  <c r="EK64" i="8"/>
  <c r="EJ64" i="8" s="1"/>
  <c r="DE64" i="8"/>
  <c r="DD64" i="8" s="1"/>
  <c r="CW64" i="8"/>
  <c r="CV64" i="8" s="1"/>
  <c r="CK64" i="8"/>
  <c r="CJ64" i="8" s="1"/>
  <c r="CC64" i="8"/>
  <c r="BT64" i="8"/>
  <c r="BM64" i="8"/>
  <c r="BL64" i="8" s="1"/>
  <c r="BE64" i="8"/>
  <c r="BD64" i="8" s="1"/>
  <c r="AO64" i="8"/>
  <c r="AN64" i="8" s="1"/>
  <c r="Y64" i="8"/>
  <c r="X64" i="8" s="1"/>
  <c r="KG63" i="8"/>
  <c r="KF63" i="8" s="1"/>
  <c r="KC63" i="8"/>
  <c r="JE63" i="8"/>
  <c r="JD63" i="8" s="1"/>
  <c r="IS63" i="8"/>
  <c r="IR63" i="8" s="1"/>
  <c r="HU63" i="8"/>
  <c r="HT63" i="8" s="1"/>
  <c r="HI63" i="8"/>
  <c r="HH63" i="8" s="1"/>
  <c r="GW63" i="8"/>
  <c r="GV63" i="8" s="1"/>
  <c r="GK63" i="8"/>
  <c r="GJ63" i="8" s="1"/>
  <c r="FA63" i="8"/>
  <c r="EZ63" i="8" s="1"/>
  <c r="ES63" i="8"/>
  <c r="ER63" i="8" s="1"/>
  <c r="EK63" i="8"/>
  <c r="EJ63" i="8" s="1"/>
  <c r="DE63" i="8"/>
  <c r="DD63" i="8" s="1"/>
  <c r="CW63" i="8"/>
  <c r="CV63" i="8" s="1"/>
  <c r="CK63" i="8"/>
  <c r="CJ63" i="8" s="1"/>
  <c r="CC63" i="8"/>
  <c r="BT63" i="8"/>
  <c r="BM63" i="8"/>
  <c r="BL63" i="8" s="1"/>
  <c r="BE63" i="8"/>
  <c r="BD63" i="8" s="1"/>
  <c r="AO63" i="8"/>
  <c r="AN63" i="8" s="1"/>
  <c r="Y63" i="8"/>
  <c r="X63" i="8" s="1"/>
  <c r="KG62" i="8"/>
  <c r="KF62" i="8" s="1"/>
  <c r="JE62" i="8"/>
  <c r="JD62" i="8" s="1"/>
  <c r="IS62" i="8"/>
  <c r="IR62" i="8" s="1"/>
  <c r="HU62" i="8"/>
  <c r="HT62" i="8" s="1"/>
  <c r="HI62" i="8"/>
  <c r="HH62" i="8" s="1"/>
  <c r="GW62" i="8"/>
  <c r="GV62" i="8" s="1"/>
  <c r="GK62" i="8"/>
  <c r="GJ62" i="8" s="1"/>
  <c r="GC62" i="8"/>
  <c r="FA62" i="8"/>
  <c r="EZ62" i="8" s="1"/>
  <c r="ES62" i="8"/>
  <c r="ER62" i="8" s="1"/>
  <c r="EK62" i="8"/>
  <c r="EJ62" i="8" s="1"/>
  <c r="DM62" i="8"/>
  <c r="DE62" i="8" s="1"/>
  <c r="DD62" i="8" s="1"/>
  <c r="CW62" i="8"/>
  <c r="CV62" i="8" s="1"/>
  <c r="CK62" i="8"/>
  <c r="CJ62" i="8" s="1"/>
  <c r="CC62" i="8"/>
  <c r="BT62" i="8"/>
  <c r="BM62" i="8"/>
  <c r="BL62" i="8" s="1"/>
  <c r="BE62" i="8"/>
  <c r="BD62" i="8" s="1"/>
  <c r="AO62" i="8"/>
  <c r="AN62" i="8" s="1"/>
  <c r="Y62" i="8"/>
  <c r="X62" i="8" s="1"/>
  <c r="H62" i="8"/>
  <c r="KF61" i="8"/>
  <c r="JE61" i="8"/>
  <c r="JD61" i="8" s="1"/>
  <c r="IR61" i="8"/>
  <c r="HT61" i="8"/>
  <c r="HI61" i="8"/>
  <c r="HH61" i="8" s="1"/>
  <c r="GV61" i="8"/>
  <c r="GK61" i="8"/>
  <c r="GJ61" i="8" s="1"/>
  <c r="FA61" i="8"/>
  <c r="EZ61" i="8" s="1"/>
  <c r="ES61" i="8"/>
  <c r="ER61" i="8" s="1"/>
  <c r="EK61" i="8"/>
  <c r="EJ61" i="8" s="1"/>
  <c r="DD61" i="8"/>
  <c r="CW61" i="8"/>
  <c r="CV61" i="8" s="1"/>
  <c r="CJ61" i="8"/>
  <c r="CC61" i="8"/>
  <c r="BT61" i="8"/>
  <c r="BM61" i="8"/>
  <c r="BL61" i="8" s="1"/>
  <c r="BE61" i="8"/>
  <c r="BD61" i="8" s="1"/>
  <c r="AO61" i="8"/>
  <c r="AN61" i="8" s="1"/>
  <c r="Y61" i="8"/>
  <c r="X61" i="8" s="1"/>
  <c r="KG60" i="8"/>
  <c r="KF60" i="8" s="1"/>
  <c r="KC60" i="8"/>
  <c r="JE60" i="8"/>
  <c r="JD60" i="8" s="1"/>
  <c r="IS60" i="8"/>
  <c r="IR60" i="8" s="1"/>
  <c r="HU60" i="8"/>
  <c r="HT60" i="8" s="1"/>
  <c r="HI60" i="8"/>
  <c r="HH60" i="8" s="1"/>
  <c r="GW60" i="8"/>
  <c r="GV60" i="8" s="1"/>
  <c r="GK60" i="8"/>
  <c r="GJ60" i="8" s="1"/>
  <c r="FA60" i="8"/>
  <c r="EZ60" i="8" s="1"/>
  <c r="ES60" i="8"/>
  <c r="ER60" i="8" s="1"/>
  <c r="EK60" i="8"/>
  <c r="EJ60" i="8" s="1"/>
  <c r="DE60" i="8"/>
  <c r="DD60" i="8" s="1"/>
  <c r="CW60" i="8"/>
  <c r="CV60" i="8" s="1"/>
  <c r="CK60" i="8"/>
  <c r="CJ60" i="8" s="1"/>
  <c r="CC60" i="8"/>
  <c r="BT60" i="8"/>
  <c r="BM60" i="8"/>
  <c r="BL60" i="8" s="1"/>
  <c r="BE60" i="8"/>
  <c r="BD60" i="8" s="1"/>
  <c r="AO60" i="8"/>
  <c r="AN60" i="8" s="1"/>
  <c r="Y60" i="8"/>
  <c r="X60" i="8" s="1"/>
  <c r="KG59" i="8"/>
  <c r="KF59" i="8" s="1"/>
  <c r="KC59" i="8"/>
  <c r="JE59" i="8"/>
  <c r="JD59" i="8" s="1"/>
  <c r="IS59" i="8"/>
  <c r="IR59" i="8" s="1"/>
  <c r="HU59" i="8"/>
  <c r="HT59" i="8" s="1"/>
  <c r="HI59" i="8"/>
  <c r="HH59" i="8" s="1"/>
  <c r="GW59" i="8"/>
  <c r="GV59" i="8" s="1"/>
  <c r="GK59" i="8"/>
  <c r="GJ59" i="8" s="1"/>
  <c r="FA59" i="8"/>
  <c r="EZ59" i="8" s="1"/>
  <c r="ES59" i="8"/>
  <c r="ER59" i="8" s="1"/>
  <c r="EK59" i="8"/>
  <c r="EJ59" i="8" s="1"/>
  <c r="DE59" i="8"/>
  <c r="DD59" i="8" s="1"/>
  <c r="CW59" i="8"/>
  <c r="CV59" i="8" s="1"/>
  <c r="CK59" i="8"/>
  <c r="CJ59" i="8" s="1"/>
  <c r="BU59" i="8"/>
  <c r="BT59" i="8" s="1"/>
  <c r="BM59" i="8"/>
  <c r="BL59" i="8" s="1"/>
  <c r="BE59" i="8"/>
  <c r="BD59" i="8" s="1"/>
  <c r="AO59" i="8"/>
  <c r="AN59" i="8" s="1"/>
  <c r="Y59" i="8"/>
  <c r="X59" i="8" s="1"/>
  <c r="KG58" i="8"/>
  <c r="KF58" i="8" s="1"/>
  <c r="JE58" i="8"/>
  <c r="JD58" i="8" s="1"/>
  <c r="IS58" i="8"/>
  <c r="IR58" i="8" s="1"/>
  <c r="HU58" i="8"/>
  <c r="HT58" i="8" s="1"/>
  <c r="HI58" i="8"/>
  <c r="HH58" i="8" s="1"/>
  <c r="GW58" i="8"/>
  <c r="GV58" i="8" s="1"/>
  <c r="GK58" i="8"/>
  <c r="GJ58" i="8" s="1"/>
  <c r="FA58" i="8"/>
  <c r="EZ58" i="8" s="1"/>
  <c r="ES58" i="8"/>
  <c r="ER58" i="8" s="1"/>
  <c r="EK58" i="8"/>
  <c r="EJ58" i="8" s="1"/>
  <c r="CW58" i="8"/>
  <c r="CV58" i="8" s="1"/>
  <c r="CK58" i="8"/>
  <c r="CJ58" i="8" s="1"/>
  <c r="BU58" i="8"/>
  <c r="BT58" i="8" s="1"/>
  <c r="BM58" i="8"/>
  <c r="BL58" i="8" s="1"/>
  <c r="BE58" i="8"/>
  <c r="BD58" i="8" s="1"/>
  <c r="AO58" i="8"/>
  <c r="AN58" i="8" s="1"/>
  <c r="Y58" i="8"/>
  <c r="X58" i="8" s="1"/>
  <c r="KG57" i="8"/>
  <c r="KF57" i="8" s="1"/>
  <c r="JD57" i="8"/>
  <c r="IS57" i="8"/>
  <c r="IR57" i="8" s="1"/>
  <c r="HU57" i="8"/>
  <c r="HT57" i="8" s="1"/>
  <c r="HI57" i="8"/>
  <c r="HH57" i="8" s="1"/>
  <c r="GW57" i="8"/>
  <c r="GV57" i="8" s="1"/>
  <c r="GN57" i="8"/>
  <c r="GK57" i="8" s="1"/>
  <c r="GJ57" i="8" s="1"/>
  <c r="FA57" i="8"/>
  <c r="EZ57" i="8" s="1"/>
  <c r="ES57" i="8"/>
  <c r="ER57" i="8" s="1"/>
  <c r="EK57" i="8"/>
  <c r="EJ57" i="8" s="1"/>
  <c r="CW57" i="8"/>
  <c r="CV57" i="8" s="1"/>
  <c r="CK57" i="8"/>
  <c r="CJ57" i="8" s="1"/>
  <c r="BT57" i="8"/>
  <c r="BM57" i="8"/>
  <c r="BL57" i="8" s="1"/>
  <c r="BE57" i="8"/>
  <c r="BD57" i="8" s="1"/>
  <c r="AO57" i="8"/>
  <c r="AN57" i="8" s="1"/>
  <c r="Y57" i="8"/>
  <c r="X57" i="8" s="1"/>
  <c r="H57" i="8"/>
  <c r="KK56" i="8"/>
  <c r="KG56" i="8" s="1"/>
  <c r="KF56" i="8" s="1"/>
  <c r="JE56" i="8"/>
  <c r="JD56" i="8" s="1"/>
  <c r="IS56" i="8"/>
  <c r="IR56" i="8" s="1"/>
  <c r="HU56" i="8"/>
  <c r="HT56" i="8" s="1"/>
  <c r="HI56" i="8"/>
  <c r="HH56" i="8" s="1"/>
  <c r="GW56" i="8"/>
  <c r="GV56" i="8" s="1"/>
  <c r="GK56" i="8"/>
  <c r="GJ56" i="8" s="1"/>
  <c r="FA56" i="8"/>
  <c r="EZ56" i="8" s="1"/>
  <c r="ES56" i="8"/>
  <c r="ER56" i="8" s="1"/>
  <c r="EK56" i="8"/>
  <c r="EJ56" i="8" s="1"/>
  <c r="DI56" i="8"/>
  <c r="DE56" i="8" s="1"/>
  <c r="DD56" i="8" s="1"/>
  <c r="CW56" i="8"/>
  <c r="CV56" i="8" s="1"/>
  <c r="CS56" i="8"/>
  <c r="CK56" i="8" s="1"/>
  <c r="CJ56" i="8" s="1"/>
  <c r="BT56" i="8"/>
  <c r="BQ56" i="8"/>
  <c r="BM56" i="8" s="1"/>
  <c r="BL56" i="8" s="1"/>
  <c r="BI56" i="8"/>
  <c r="BE56" i="8" s="1"/>
  <c r="BD56" i="8" s="1"/>
  <c r="AO56" i="8"/>
  <c r="AN56" i="8" s="1"/>
  <c r="Y56" i="8"/>
  <c r="X56" i="8" s="1"/>
  <c r="H56" i="8"/>
  <c r="EK55" i="8"/>
  <c r="Y55" i="8"/>
  <c r="H55" i="8"/>
  <c r="KK54" i="8"/>
  <c r="KG54" i="8" s="1"/>
  <c r="KF54" i="8" s="1"/>
  <c r="JE54" i="8"/>
  <c r="IS54" i="8"/>
  <c r="HU54" i="8"/>
  <c r="HT54" i="8" s="1"/>
  <c r="HI54" i="8"/>
  <c r="GW54" i="8"/>
  <c r="GV54" i="8" s="1"/>
  <c r="GK54" i="8"/>
  <c r="GJ54" i="8" s="1"/>
  <c r="FA54" i="8"/>
  <c r="EZ54" i="8" s="1"/>
  <c r="ES54" i="8"/>
  <c r="ER54" i="8" s="1"/>
  <c r="EK54" i="8"/>
  <c r="EJ54" i="8" s="1"/>
  <c r="DE54" i="8"/>
  <c r="CW54" i="8"/>
  <c r="CV54" i="8" s="1"/>
  <c r="CK54" i="8"/>
  <c r="CJ54" i="8" s="1"/>
  <c r="BT54" i="8"/>
  <c r="BM54" i="8"/>
  <c r="BL54" i="8" s="1"/>
  <c r="BE54" i="8"/>
  <c r="BD54" i="8" s="1"/>
  <c r="AO54" i="8"/>
  <c r="AN54" i="8" s="1"/>
  <c r="Y54" i="8"/>
  <c r="X54" i="8" s="1"/>
  <c r="KG53" i="8"/>
  <c r="KF53" i="8" s="1"/>
  <c r="JE53" i="8"/>
  <c r="JD53" i="8" s="1"/>
  <c r="IS53" i="8"/>
  <c r="IR53" i="8" s="1"/>
  <c r="HU53" i="8"/>
  <c r="HT53" i="8" s="1"/>
  <c r="HI53" i="8"/>
  <c r="HH53" i="8" s="1"/>
  <c r="GW53" i="8"/>
  <c r="GV53" i="8" s="1"/>
  <c r="GK53" i="8"/>
  <c r="GJ53" i="8" s="1"/>
  <c r="FA53" i="8"/>
  <c r="EZ53" i="8" s="1"/>
  <c r="ES53" i="8"/>
  <c r="ER53" i="8" s="1"/>
  <c r="EK53" i="8"/>
  <c r="EJ53" i="8" s="1"/>
  <c r="DI53" i="8"/>
  <c r="DE53" i="8" s="1"/>
  <c r="DD53" i="8" s="1"/>
  <c r="CW53" i="8"/>
  <c r="CV53" i="8" s="1"/>
  <c r="CS53" i="8"/>
  <c r="CJ53" i="8"/>
  <c r="BT53" i="8"/>
  <c r="BQ53" i="8"/>
  <c r="BM53" i="8" s="1"/>
  <c r="BL53" i="8" s="1"/>
  <c r="BI53" i="8"/>
  <c r="BE53" i="8" s="1"/>
  <c r="BD53" i="8" s="1"/>
  <c r="AO53" i="8"/>
  <c r="AN53" i="8" s="1"/>
  <c r="X53" i="8"/>
  <c r="KG52" i="8"/>
  <c r="KF52" i="8" s="1"/>
  <c r="JE52" i="8"/>
  <c r="JD52" i="8" s="1"/>
  <c r="IS52" i="8"/>
  <c r="IR52" i="8" s="1"/>
  <c r="HU52" i="8"/>
  <c r="HT52" i="8" s="1"/>
  <c r="HI52" i="8"/>
  <c r="HH52" i="8" s="1"/>
  <c r="GW52" i="8"/>
  <c r="GV52" i="8" s="1"/>
  <c r="GK52" i="8"/>
  <c r="GJ52" i="8" s="1"/>
  <c r="FA52" i="8"/>
  <c r="EZ52" i="8" s="1"/>
  <c r="ES52" i="8"/>
  <c r="ER52" i="8" s="1"/>
  <c r="EK52" i="8"/>
  <c r="EJ52" i="8" s="1"/>
  <c r="DD52" i="8"/>
  <c r="CW52" i="8"/>
  <c r="CV52" i="8" s="1"/>
  <c r="CO52" i="8"/>
  <c r="CK52" i="8" s="1"/>
  <c r="CJ52" i="8" s="1"/>
  <c r="CC52" i="8"/>
  <c r="BT52" i="8"/>
  <c r="BM52" i="8"/>
  <c r="BL52" i="8" s="1"/>
  <c r="BE52" i="8"/>
  <c r="BD52" i="8" s="1"/>
  <c r="AO52" i="8"/>
  <c r="AN52" i="8" s="1"/>
  <c r="Y52" i="8"/>
  <c r="X52" i="8" s="1"/>
  <c r="U52" i="8"/>
  <c r="H52" i="8"/>
  <c r="HT51" i="8"/>
  <c r="ES51" i="8"/>
  <c r="CW51" i="8"/>
  <c r="CV51" i="8" s="1"/>
  <c r="KO50" i="8"/>
  <c r="KG50" i="8" s="1"/>
  <c r="KF50" i="8" s="1"/>
  <c r="JE50" i="8"/>
  <c r="JD50" i="8" s="1"/>
  <c r="IS50" i="8"/>
  <c r="IR50" i="8" s="1"/>
  <c r="HU50" i="8"/>
  <c r="HT50" i="8" s="1"/>
  <c r="HI50" i="8"/>
  <c r="HH50" i="8" s="1"/>
  <c r="GV50" i="8"/>
  <c r="GJ50" i="8"/>
  <c r="FA50" i="8"/>
  <c r="EZ50" i="8" s="1"/>
  <c r="ES50" i="8"/>
  <c r="ER50" i="8" s="1"/>
  <c r="EK50" i="8"/>
  <c r="EJ50" i="8" s="1"/>
  <c r="DM50" i="8"/>
  <c r="DI50" i="8"/>
  <c r="CW50" i="8"/>
  <c r="CV50" i="8" s="1"/>
  <c r="CS50" i="8"/>
  <c r="CJ50" i="8"/>
  <c r="BT50" i="8"/>
  <c r="BQ50" i="8"/>
  <c r="BM50" i="8" s="1"/>
  <c r="BL50" i="8" s="1"/>
  <c r="BI50" i="8"/>
  <c r="BE50" i="8" s="1"/>
  <c r="BD50" i="8" s="1"/>
  <c r="AO50" i="8"/>
  <c r="AN50" i="8" s="1"/>
  <c r="Y50" i="8"/>
  <c r="X50" i="8" s="1"/>
  <c r="KO49" i="8"/>
  <c r="KG49" i="8" s="1"/>
  <c r="KF49" i="8" s="1"/>
  <c r="JE49" i="8"/>
  <c r="JD49" i="8" s="1"/>
  <c r="IS49" i="8"/>
  <c r="IR49" i="8" s="1"/>
  <c r="HU49" i="8"/>
  <c r="HT49" i="8" s="1"/>
  <c r="HI49" i="8"/>
  <c r="HH49" i="8" s="1"/>
  <c r="GW49" i="8"/>
  <c r="GV49" i="8" s="1"/>
  <c r="GJ49" i="8"/>
  <c r="FA49" i="8"/>
  <c r="EZ49" i="8" s="1"/>
  <c r="ES49" i="8"/>
  <c r="ER49" i="8" s="1"/>
  <c r="EK49" i="8"/>
  <c r="EJ49" i="8" s="1"/>
  <c r="DN49" i="8"/>
  <c r="DM49" i="8"/>
  <c r="DJ49" i="8"/>
  <c r="DI49" i="8"/>
  <c r="CW49" i="8"/>
  <c r="CV49" i="8" s="1"/>
  <c r="CS49" i="8"/>
  <c r="CJ49" i="8"/>
  <c r="BT49" i="8"/>
  <c r="BQ49" i="8"/>
  <c r="BM49" i="8" s="1"/>
  <c r="BL49" i="8" s="1"/>
  <c r="BI49" i="8"/>
  <c r="BE49" i="8" s="1"/>
  <c r="BD49" i="8" s="1"/>
  <c r="AO49" i="8"/>
  <c r="AN49" i="8" s="1"/>
  <c r="Y49" i="8"/>
  <c r="X49" i="8" s="1"/>
  <c r="KO48" i="8"/>
  <c r="KF48" i="8"/>
  <c r="JE48" i="8"/>
  <c r="JD48" i="8" s="1"/>
  <c r="IR48" i="8"/>
  <c r="HU48" i="8"/>
  <c r="HT48" i="8" s="1"/>
  <c r="HH48" i="8"/>
  <c r="GV48" i="8"/>
  <c r="GK48" i="8"/>
  <c r="GJ48" i="8" s="1"/>
  <c r="FA48" i="8"/>
  <c r="EZ48" i="8" s="1"/>
  <c r="ES48" i="8"/>
  <c r="ER48" i="8" s="1"/>
  <c r="EK48" i="8"/>
  <c r="EJ48" i="8" s="1"/>
  <c r="DM48" i="8"/>
  <c r="DI48" i="8"/>
  <c r="DD48" i="8"/>
  <c r="CW48" i="8"/>
  <c r="CV48" i="8" s="1"/>
  <c r="CS48" i="8"/>
  <c r="CK48" i="8" s="1"/>
  <c r="CJ48" i="8" s="1"/>
  <c r="CC48" i="8"/>
  <c r="BT48" i="8"/>
  <c r="BQ48" i="8"/>
  <c r="BM48" i="8" s="1"/>
  <c r="BL48" i="8" s="1"/>
  <c r="BI48" i="8"/>
  <c r="BE48" i="8" s="1"/>
  <c r="BD48" i="8" s="1"/>
  <c r="AO48" i="8"/>
  <c r="AN48" i="8" s="1"/>
  <c r="Y48" i="8"/>
  <c r="X48" i="8" s="1"/>
  <c r="KO47" i="8"/>
  <c r="KG47" i="8" s="1"/>
  <c r="KF47" i="8" s="1"/>
  <c r="JE47" i="8"/>
  <c r="JD47" i="8" s="1"/>
  <c r="IS47" i="8"/>
  <c r="IR47" i="8" s="1"/>
  <c r="HU47" i="8"/>
  <c r="HT47" i="8" s="1"/>
  <c r="HI47" i="8"/>
  <c r="HH47" i="8" s="1"/>
  <c r="GW47" i="8"/>
  <c r="GV47" i="8" s="1"/>
  <c r="GK47" i="8"/>
  <c r="GJ47" i="8" s="1"/>
  <c r="FA47" i="8"/>
  <c r="EZ47" i="8" s="1"/>
  <c r="ES47" i="8"/>
  <c r="ER47" i="8" s="1"/>
  <c r="EK47" i="8"/>
  <c r="EJ47" i="8" s="1"/>
  <c r="DM47" i="8"/>
  <c r="DI47" i="8"/>
  <c r="DD47" i="8"/>
  <c r="CW47" i="8"/>
  <c r="CV47" i="8" s="1"/>
  <c r="CS47" i="8"/>
  <c r="CK47" i="8" s="1"/>
  <c r="CJ47" i="8" s="1"/>
  <c r="CC47" i="8"/>
  <c r="BT47" i="8"/>
  <c r="BQ47" i="8"/>
  <c r="BM47" i="8" s="1"/>
  <c r="BL47" i="8" s="1"/>
  <c r="BI47" i="8"/>
  <c r="BE47" i="8" s="1"/>
  <c r="BD47" i="8" s="1"/>
  <c r="AO47" i="8"/>
  <c r="AN47" i="8" s="1"/>
  <c r="Y47" i="8"/>
  <c r="X47" i="8" s="1"/>
  <c r="BE46" i="8"/>
  <c r="H46" i="8"/>
  <c r="KO45" i="8"/>
  <c r="KK45" i="8"/>
  <c r="JE45" i="8"/>
  <c r="JD45" i="8" s="1"/>
  <c r="IS45" i="8"/>
  <c r="IR45" i="8" s="1"/>
  <c r="HU45" i="8"/>
  <c r="HT45" i="8" s="1"/>
  <c r="HM45" i="8"/>
  <c r="HI45" i="8" s="1"/>
  <c r="HH45" i="8" s="1"/>
  <c r="GW45" i="8"/>
  <c r="GV45" i="8" s="1"/>
  <c r="GK45" i="8"/>
  <c r="GJ45" i="8" s="1"/>
  <c r="FA45" i="8"/>
  <c r="EZ45" i="8" s="1"/>
  <c r="ES45" i="8"/>
  <c r="ER45" i="8" s="1"/>
  <c r="EK45" i="8"/>
  <c r="EJ45" i="8" s="1"/>
  <c r="DM45" i="8"/>
  <c r="DI45" i="8"/>
  <c r="CW45" i="8"/>
  <c r="CV45" i="8" s="1"/>
  <c r="CS45" i="8"/>
  <c r="CK45" i="8" s="1"/>
  <c r="CJ45" i="8" s="1"/>
  <c r="CC45" i="8"/>
  <c r="BT45" i="8"/>
  <c r="BQ45" i="8"/>
  <c r="BM45" i="8" s="1"/>
  <c r="BL45" i="8" s="1"/>
  <c r="BI45" i="8"/>
  <c r="BE45" i="8" s="1"/>
  <c r="BD45" i="8" s="1"/>
  <c r="AO45" i="8"/>
  <c r="AN45" i="8" s="1"/>
  <c r="Y45" i="8"/>
  <c r="X45" i="8" s="1"/>
  <c r="KO44" i="8"/>
  <c r="KG44" i="8" s="1"/>
  <c r="KF44" i="8" s="1"/>
  <c r="JE44" i="8"/>
  <c r="JD44" i="8" s="1"/>
  <c r="IS44" i="8"/>
  <c r="IR44" i="8" s="1"/>
  <c r="HU44" i="8"/>
  <c r="HT44" i="8" s="1"/>
  <c r="HI44" i="8"/>
  <c r="HH44" i="8" s="1"/>
  <c r="GW44" i="8"/>
  <c r="GV44" i="8" s="1"/>
  <c r="GK44" i="8"/>
  <c r="GJ44" i="8" s="1"/>
  <c r="FA44" i="8"/>
  <c r="EZ44" i="8" s="1"/>
  <c r="ES44" i="8"/>
  <c r="ER44" i="8" s="1"/>
  <c r="EK44" i="8"/>
  <c r="EJ44" i="8" s="1"/>
  <c r="DM44" i="8"/>
  <c r="DI44" i="8"/>
  <c r="CW44" i="8"/>
  <c r="CV44" i="8" s="1"/>
  <c r="CS44" i="8"/>
  <c r="CK44" i="8" s="1"/>
  <c r="CJ44" i="8" s="1"/>
  <c r="BT44" i="8"/>
  <c r="BQ44" i="8"/>
  <c r="BM44" i="8" s="1"/>
  <c r="BL44" i="8" s="1"/>
  <c r="BI44" i="8"/>
  <c r="BE44" i="8" s="1"/>
  <c r="BD44" i="8" s="1"/>
  <c r="AO44" i="8"/>
  <c r="AN44" i="8" s="1"/>
  <c r="Y44" i="8"/>
  <c r="X44" i="8" s="1"/>
  <c r="U44" i="8"/>
  <c r="KO43" i="8"/>
  <c r="KG43" i="8" s="1"/>
  <c r="KF43" i="8" s="1"/>
  <c r="JE43" i="8"/>
  <c r="JD43" i="8" s="1"/>
  <c r="IS43" i="8"/>
  <c r="IR43" i="8" s="1"/>
  <c r="HU43" i="8"/>
  <c r="HT43" i="8" s="1"/>
  <c r="HI43" i="8"/>
  <c r="HH43" i="8" s="1"/>
  <c r="GW43" i="8"/>
  <c r="GV43" i="8" s="1"/>
  <c r="GK43" i="8"/>
  <c r="GJ43" i="8" s="1"/>
  <c r="FA43" i="8"/>
  <c r="EZ43" i="8" s="1"/>
  <c r="ES43" i="8"/>
  <c r="ER43" i="8" s="1"/>
  <c r="EK43" i="8"/>
  <c r="EJ43" i="8" s="1"/>
  <c r="DM43" i="8"/>
  <c r="DI43" i="8"/>
  <c r="CW43" i="8"/>
  <c r="CV43" i="8" s="1"/>
  <c r="CS43" i="8"/>
  <c r="CJ43" i="8"/>
  <c r="CC43" i="8"/>
  <c r="BT43" i="8"/>
  <c r="BQ43" i="8"/>
  <c r="BM43" i="8" s="1"/>
  <c r="BL43" i="8" s="1"/>
  <c r="BI43" i="8"/>
  <c r="BE43" i="8" s="1"/>
  <c r="BD43" i="8" s="1"/>
  <c r="AO43" i="8"/>
  <c r="AN43" i="8" s="1"/>
  <c r="Y43" i="8"/>
  <c r="X43" i="8" s="1"/>
  <c r="U43" i="8"/>
  <c r="H43" i="8"/>
  <c r="KO42" i="8"/>
  <c r="KG42" i="8" s="1"/>
  <c r="KF42" i="8" s="1"/>
  <c r="JE42" i="8"/>
  <c r="JD42" i="8" s="1"/>
  <c r="IR42" i="8"/>
  <c r="HU42" i="8"/>
  <c r="HT42" i="8" s="1"/>
  <c r="HI42" i="8"/>
  <c r="HH42" i="8" s="1"/>
  <c r="GV42" i="8"/>
  <c r="GK42" i="8"/>
  <c r="GJ42" i="8" s="1"/>
  <c r="FA42" i="8"/>
  <c r="EZ42" i="8" s="1"/>
  <c r="ES42" i="8"/>
  <c r="ER42" i="8" s="1"/>
  <c r="EK42" i="8"/>
  <c r="EJ42" i="8" s="1"/>
  <c r="DM42" i="8"/>
  <c r="DI42" i="8"/>
  <c r="CW42" i="8"/>
  <c r="CV42" i="8" s="1"/>
  <c r="CS42" i="8"/>
  <c r="CJ42" i="8"/>
  <c r="BT42" i="8"/>
  <c r="BQ42" i="8"/>
  <c r="BM42" i="8" s="1"/>
  <c r="BL42" i="8" s="1"/>
  <c r="BI42" i="8"/>
  <c r="BE42" i="8" s="1"/>
  <c r="BD42" i="8" s="1"/>
  <c r="AO42" i="8"/>
  <c r="AN42" i="8" s="1"/>
  <c r="Y42" i="8"/>
  <c r="X42" i="8" s="1"/>
  <c r="KO41" i="8"/>
  <c r="KG41" i="8" s="1"/>
  <c r="KF41" i="8" s="1"/>
  <c r="JE41" i="8"/>
  <c r="JD41" i="8" s="1"/>
  <c r="IR41" i="8"/>
  <c r="HU41" i="8"/>
  <c r="HT41" i="8" s="1"/>
  <c r="HI41" i="8"/>
  <c r="HH41" i="8" s="1"/>
  <c r="GV41" i="8"/>
  <c r="GK41" i="8"/>
  <c r="GJ41" i="8" s="1"/>
  <c r="FA41" i="8"/>
  <c r="EZ41" i="8" s="1"/>
  <c r="ES41" i="8"/>
  <c r="ER41" i="8" s="1"/>
  <c r="EK41" i="8"/>
  <c r="EJ41" i="8" s="1"/>
  <c r="DM41" i="8"/>
  <c r="DI41" i="8"/>
  <c r="DD41" i="8"/>
  <c r="CW41" i="8"/>
  <c r="CV41" i="8" s="1"/>
  <c r="CS41" i="8"/>
  <c r="CK41" i="8" s="1"/>
  <c r="CJ41" i="8" s="1"/>
  <c r="CC41" i="8"/>
  <c r="BT41" i="8"/>
  <c r="BQ41" i="8"/>
  <c r="BM41" i="8" s="1"/>
  <c r="BL41" i="8" s="1"/>
  <c r="BI41" i="8"/>
  <c r="BE41" i="8" s="1"/>
  <c r="BD41" i="8" s="1"/>
  <c r="AO41" i="8"/>
  <c r="AN41" i="8" s="1"/>
  <c r="Y41" i="8"/>
  <c r="X41" i="8" s="1"/>
  <c r="JE40" i="8"/>
  <c r="DD40" i="8"/>
  <c r="BE40" i="8"/>
  <c r="KO39" i="8"/>
  <c r="KG39" i="8" s="1"/>
  <c r="KF39" i="8" s="1"/>
  <c r="JE39" i="8"/>
  <c r="JD39" i="8" s="1"/>
  <c r="IR39" i="8"/>
  <c r="HU39" i="8"/>
  <c r="HT39" i="8" s="1"/>
  <c r="HI39" i="8"/>
  <c r="HH39" i="8" s="1"/>
  <c r="GW39" i="8"/>
  <c r="GV39" i="8" s="1"/>
  <c r="GK39" i="8"/>
  <c r="GJ39" i="8" s="1"/>
  <c r="FA39" i="8"/>
  <c r="EZ39" i="8" s="1"/>
  <c r="ES39" i="8"/>
  <c r="ER39" i="8" s="1"/>
  <c r="EK39" i="8"/>
  <c r="EJ39" i="8" s="1"/>
  <c r="DM39" i="8"/>
  <c r="DI39" i="8"/>
  <c r="CW39" i="8"/>
  <c r="CV39" i="8" s="1"/>
  <c r="CS39" i="8"/>
  <c r="CK39" i="8" s="1"/>
  <c r="CJ39" i="8" s="1"/>
  <c r="BT39" i="8"/>
  <c r="BQ39" i="8"/>
  <c r="BM39" i="8" s="1"/>
  <c r="BL39" i="8" s="1"/>
  <c r="BI39" i="8"/>
  <c r="BE39" i="8" s="1"/>
  <c r="BD39" i="8" s="1"/>
  <c r="AO39" i="8"/>
  <c r="AN39" i="8" s="1"/>
  <c r="Y39" i="8"/>
  <c r="X39" i="8" s="1"/>
  <c r="KO38" i="8"/>
  <c r="KG38" i="8" s="1"/>
  <c r="KF38" i="8" s="1"/>
  <c r="JE38" i="8"/>
  <c r="JD38" i="8" s="1"/>
  <c r="IS38" i="8"/>
  <c r="IR38" i="8" s="1"/>
  <c r="HU38" i="8"/>
  <c r="HT38" i="8" s="1"/>
  <c r="HI38" i="8"/>
  <c r="HH38" i="8" s="1"/>
  <c r="GV38" i="8"/>
  <c r="GJ38" i="8"/>
  <c r="FA38" i="8"/>
  <c r="EZ38" i="8" s="1"/>
  <c r="ES38" i="8"/>
  <c r="ER38" i="8" s="1"/>
  <c r="EK38" i="8"/>
  <c r="EJ38" i="8" s="1"/>
  <c r="DM38" i="8"/>
  <c r="DI38" i="8"/>
  <c r="CW38" i="8"/>
  <c r="CV38" i="8" s="1"/>
  <c r="CS38" i="8"/>
  <c r="CK38" i="8" s="1"/>
  <c r="CJ38" i="8" s="1"/>
  <c r="BT38" i="8"/>
  <c r="BQ38" i="8"/>
  <c r="BM38" i="8" s="1"/>
  <c r="BL38" i="8" s="1"/>
  <c r="BI38" i="8"/>
  <c r="BE38" i="8" s="1"/>
  <c r="BD38" i="8" s="1"/>
  <c r="AO38" i="8"/>
  <c r="AN38" i="8" s="1"/>
  <c r="Y38" i="8"/>
  <c r="X38" i="8" s="1"/>
  <c r="KO37" i="8"/>
  <c r="KF37" i="8"/>
  <c r="JE37" i="8"/>
  <c r="JD37" i="8" s="1"/>
  <c r="IR37" i="8"/>
  <c r="HU37" i="8"/>
  <c r="HT37" i="8" s="1"/>
  <c r="HH37" i="8"/>
  <c r="GW37" i="8"/>
  <c r="GV37" i="8" s="1"/>
  <c r="GK37" i="8"/>
  <c r="GJ37" i="8" s="1"/>
  <c r="FA37" i="8"/>
  <c r="EZ37" i="8" s="1"/>
  <c r="ES37" i="8"/>
  <c r="ER37" i="8" s="1"/>
  <c r="EK37" i="8"/>
  <c r="EJ37" i="8" s="1"/>
  <c r="DM37" i="8"/>
  <c r="DI37" i="8"/>
  <c r="DD37" i="8"/>
  <c r="CW37" i="8"/>
  <c r="CV37" i="8" s="1"/>
  <c r="CS37" i="8"/>
  <c r="CJ37" i="8"/>
  <c r="BT37" i="8"/>
  <c r="BQ37" i="8"/>
  <c r="BM37" i="8" s="1"/>
  <c r="BL37" i="8" s="1"/>
  <c r="BI37" i="8"/>
  <c r="BE37" i="8" s="1"/>
  <c r="BD37" i="8" s="1"/>
  <c r="AO37" i="8"/>
  <c r="AN37" i="8" s="1"/>
  <c r="Y37" i="8"/>
  <c r="X37" i="8" s="1"/>
  <c r="KO36" i="8"/>
  <c r="KG36" i="8" s="1"/>
  <c r="KF36" i="8" s="1"/>
  <c r="JE36" i="8"/>
  <c r="JD36" i="8" s="1"/>
  <c r="IS36" i="8"/>
  <c r="IR36" i="8" s="1"/>
  <c r="HU36" i="8"/>
  <c r="HT36" i="8" s="1"/>
  <c r="HI36" i="8"/>
  <c r="HH36" i="8" s="1"/>
  <c r="GW36" i="8"/>
  <c r="GV36" i="8" s="1"/>
  <c r="GK36" i="8"/>
  <c r="GJ36" i="8" s="1"/>
  <c r="FA36" i="8"/>
  <c r="EZ36" i="8" s="1"/>
  <c r="ES36" i="8"/>
  <c r="ER36" i="8" s="1"/>
  <c r="EK36" i="8"/>
  <c r="EJ36" i="8" s="1"/>
  <c r="DM36" i="8"/>
  <c r="DI36" i="8"/>
  <c r="CW36" i="8"/>
  <c r="CV36" i="8" s="1"/>
  <c r="CS36" i="8"/>
  <c r="CK36" i="8" s="1"/>
  <c r="CJ36" i="8" s="1"/>
  <c r="BT36" i="8"/>
  <c r="BQ36" i="8"/>
  <c r="BM36" i="8" s="1"/>
  <c r="BL36" i="8" s="1"/>
  <c r="BI36" i="8"/>
  <c r="BE36" i="8" s="1"/>
  <c r="BD36" i="8" s="1"/>
  <c r="AO36" i="8"/>
  <c r="AN36" i="8" s="1"/>
  <c r="Y36" i="8"/>
  <c r="X36" i="8" s="1"/>
  <c r="KO35" i="8"/>
  <c r="KF35" i="8"/>
  <c r="JE35" i="8"/>
  <c r="JD35" i="8" s="1"/>
  <c r="IR35" i="8"/>
  <c r="HT35" i="8"/>
  <c r="HH35" i="8"/>
  <c r="GV35" i="8"/>
  <c r="GK35" i="8"/>
  <c r="GJ35" i="8" s="1"/>
  <c r="FA35" i="8"/>
  <c r="EZ35" i="8" s="1"/>
  <c r="ES35" i="8"/>
  <c r="ER35" i="8" s="1"/>
  <c r="EK35" i="8"/>
  <c r="EJ35" i="8" s="1"/>
  <c r="DM35" i="8"/>
  <c r="DI35" i="8"/>
  <c r="DD35" i="8"/>
  <c r="CW35" i="8"/>
  <c r="CV35" i="8" s="1"/>
  <c r="CS35" i="8"/>
  <c r="CJ35" i="8"/>
  <c r="BT35" i="8"/>
  <c r="BQ35" i="8"/>
  <c r="BM35" i="8" s="1"/>
  <c r="BL35" i="8" s="1"/>
  <c r="BI35" i="8"/>
  <c r="BE35" i="8" s="1"/>
  <c r="BD35" i="8" s="1"/>
  <c r="AN35" i="8"/>
  <c r="X35" i="8"/>
  <c r="KO34" i="8"/>
  <c r="KF34" i="8"/>
  <c r="JE34" i="8"/>
  <c r="JD34" i="8" s="1"/>
  <c r="IR34" i="8"/>
  <c r="HU34" i="8"/>
  <c r="HT34" i="8" s="1"/>
  <c r="HI34" i="8"/>
  <c r="HH34" i="8" s="1"/>
  <c r="GV34" i="8"/>
  <c r="GK34" i="8"/>
  <c r="GJ34" i="8" s="1"/>
  <c r="FA34" i="8"/>
  <c r="EZ34" i="8" s="1"/>
  <c r="ER34" i="8"/>
  <c r="EK34" i="8"/>
  <c r="EJ34" i="8" s="1"/>
  <c r="DM34" i="8"/>
  <c r="DI34" i="8"/>
  <c r="CW34" i="8"/>
  <c r="CV34" i="8" s="1"/>
  <c r="CS34" i="8"/>
  <c r="CK34" i="8" s="1"/>
  <c r="CJ34" i="8" s="1"/>
  <c r="CC34" i="8"/>
  <c r="BT34" i="8"/>
  <c r="BQ34" i="8"/>
  <c r="BM34" i="8" s="1"/>
  <c r="BL34" i="8" s="1"/>
  <c r="BI34" i="8"/>
  <c r="BE34" i="8" s="1"/>
  <c r="BD34" i="8" s="1"/>
  <c r="AO34" i="8"/>
  <c r="AN34" i="8" s="1"/>
  <c r="Y34" i="8"/>
  <c r="X34" i="8" s="1"/>
  <c r="KP33" i="8"/>
  <c r="KO33" i="8"/>
  <c r="KG33" i="8" s="1"/>
  <c r="KF33" i="8" s="1"/>
  <c r="JE33" i="8"/>
  <c r="JD33" i="8" s="1"/>
  <c r="IS33" i="8"/>
  <c r="IR33" i="8" s="1"/>
  <c r="HU33" i="8"/>
  <c r="HT33" i="8" s="1"/>
  <c r="HI33" i="8"/>
  <c r="HH33" i="8" s="1"/>
  <c r="GW33" i="8"/>
  <c r="GV33" i="8" s="1"/>
  <c r="GK33" i="8"/>
  <c r="GJ33" i="8" s="1"/>
  <c r="FA33" i="8"/>
  <c r="EZ33" i="8" s="1"/>
  <c r="ER33" i="8"/>
  <c r="EK33" i="8"/>
  <c r="EJ33" i="8" s="1"/>
  <c r="DM33" i="8"/>
  <c r="DI33" i="8"/>
  <c r="CW33" i="8"/>
  <c r="CV33" i="8" s="1"/>
  <c r="CS33" i="8"/>
  <c r="CK33" i="8" s="1"/>
  <c r="CJ33" i="8" s="1"/>
  <c r="CC33" i="8"/>
  <c r="BT33" i="8"/>
  <c r="BQ33" i="8"/>
  <c r="BM33" i="8" s="1"/>
  <c r="BL33" i="8" s="1"/>
  <c r="BI33" i="8"/>
  <c r="BE33" i="8" s="1"/>
  <c r="BD33" i="8" s="1"/>
  <c r="AO33" i="8"/>
  <c r="AN33" i="8" s="1"/>
  <c r="Y33" i="8"/>
  <c r="X33" i="8" s="1"/>
  <c r="KO32" i="8"/>
  <c r="KG32" i="8" s="1"/>
  <c r="KF32" i="8" s="1"/>
  <c r="JE32" i="8"/>
  <c r="JD32" i="8" s="1"/>
  <c r="IS32" i="8"/>
  <c r="IR32" i="8" s="1"/>
  <c r="HU32" i="8"/>
  <c r="HT32" i="8" s="1"/>
  <c r="HI32" i="8"/>
  <c r="HH32" i="8" s="1"/>
  <c r="GV32" i="8"/>
  <c r="GK32" i="8"/>
  <c r="GJ32" i="8" s="1"/>
  <c r="FA32" i="8"/>
  <c r="EZ32" i="8" s="1"/>
  <c r="ER32" i="8"/>
  <c r="EK32" i="8"/>
  <c r="EJ32" i="8" s="1"/>
  <c r="DM32" i="8"/>
  <c r="DI32" i="8"/>
  <c r="CW32" i="8"/>
  <c r="CV32" i="8" s="1"/>
  <c r="CS32" i="8"/>
  <c r="CK32" i="8" s="1"/>
  <c r="CJ32" i="8" s="1"/>
  <c r="CC32" i="8"/>
  <c r="BT32" i="8"/>
  <c r="BQ32" i="8"/>
  <c r="BM32" i="8" s="1"/>
  <c r="BL32" i="8" s="1"/>
  <c r="BI32" i="8"/>
  <c r="BE32" i="8" s="1"/>
  <c r="BD32" i="8" s="1"/>
  <c r="AO32" i="8"/>
  <c r="AN32" i="8" s="1"/>
  <c r="Y32" i="8"/>
  <c r="X32" i="8" s="1"/>
  <c r="KO31" i="8"/>
  <c r="KG31" i="8" s="1"/>
  <c r="KF31" i="8" s="1"/>
  <c r="JE31" i="8"/>
  <c r="JD31" i="8" s="1"/>
  <c r="IS31" i="8"/>
  <c r="IR31" i="8" s="1"/>
  <c r="HU31" i="8"/>
  <c r="HT31" i="8" s="1"/>
  <c r="HI31" i="8"/>
  <c r="HH31" i="8" s="1"/>
  <c r="GW31" i="8"/>
  <c r="GV31" i="8" s="1"/>
  <c r="GK31" i="8"/>
  <c r="GJ31" i="8" s="1"/>
  <c r="FA31" i="8"/>
  <c r="EZ31" i="8" s="1"/>
  <c r="ER31" i="8"/>
  <c r="EK31" i="8"/>
  <c r="EJ31" i="8" s="1"/>
  <c r="DM31" i="8"/>
  <c r="DI31" i="8"/>
  <c r="CW31" i="8"/>
  <c r="CV31" i="8" s="1"/>
  <c r="CS31" i="8"/>
  <c r="CK31" i="8" s="1"/>
  <c r="CJ31" i="8" s="1"/>
  <c r="CC31" i="8"/>
  <c r="BT31" i="8"/>
  <c r="BQ31" i="8"/>
  <c r="BM31" i="8" s="1"/>
  <c r="BL31" i="8" s="1"/>
  <c r="BI31" i="8"/>
  <c r="BE31" i="8" s="1"/>
  <c r="BD31" i="8" s="1"/>
  <c r="AO31" i="8"/>
  <c r="AN31" i="8" s="1"/>
  <c r="Y31" i="8"/>
  <c r="X31" i="8" s="1"/>
  <c r="H31" i="8"/>
  <c r="JE29" i="8"/>
  <c r="GK29" i="8"/>
  <c r="ES29" i="8"/>
  <c r="ER29" i="8" s="1"/>
  <c r="CV29" i="8"/>
  <c r="CJ29" i="8"/>
  <c r="CC29" i="8"/>
  <c r="BE29" i="8"/>
  <c r="AO29" i="8"/>
  <c r="Y29" i="8"/>
  <c r="H29" i="8"/>
  <c r="KP28" i="8"/>
  <c r="KO28" i="8"/>
  <c r="KG28" i="8" s="1"/>
  <c r="KF28" i="8" s="1"/>
  <c r="JE28" i="8"/>
  <c r="IS28" i="8"/>
  <c r="HU28" i="8"/>
  <c r="HA28" i="8"/>
  <c r="GW28" i="8" s="1"/>
  <c r="GN28" i="8"/>
  <c r="GK28" i="8" s="1"/>
  <c r="DR28" i="8"/>
  <c r="DJ28" i="8"/>
  <c r="DI28" i="8"/>
  <c r="DE28" i="8" s="1"/>
  <c r="CV28" i="8"/>
  <c r="CJ28" i="8"/>
  <c r="CC28" i="8"/>
  <c r="BE28" i="8"/>
  <c r="AO28" i="8"/>
  <c r="Y28" i="8"/>
  <c r="BE27" i="8"/>
  <c r="H27" i="8"/>
  <c r="KP26" i="8"/>
  <c r="KO26" i="8"/>
  <c r="KF26" i="8"/>
  <c r="JE26" i="8"/>
  <c r="HI26" i="8"/>
  <c r="GK26" i="8"/>
  <c r="GJ26" i="8" s="1"/>
  <c r="CV26" i="8"/>
  <c r="CJ26" i="8"/>
  <c r="CC26" i="8"/>
  <c r="BE26" i="8"/>
  <c r="AO26" i="8"/>
  <c r="Y26" i="8"/>
  <c r="KG25" i="8"/>
  <c r="JE25" i="8"/>
  <c r="IS25" i="8"/>
  <c r="HI25" i="8"/>
  <c r="HH25" i="8" s="1"/>
  <c r="GW25" i="8"/>
  <c r="GV25" i="8" s="1"/>
  <c r="GK25" i="8"/>
  <c r="GJ25" i="8" s="1"/>
  <c r="CV25" i="8"/>
  <c r="CT25" i="8"/>
  <c r="CS25" i="8"/>
  <c r="CJ25" i="8"/>
  <c r="CC25" i="8"/>
  <c r="BE25" i="8"/>
  <c r="AO25" i="8"/>
  <c r="Y25" i="8"/>
  <c r="KO24" i="8"/>
  <c r="KG24" i="8" s="1"/>
  <c r="KF24" i="8" s="1"/>
  <c r="JE24" i="8"/>
  <c r="HT24" i="8"/>
  <c r="HI24" i="8"/>
  <c r="GV24" i="8"/>
  <c r="GK24" i="8"/>
  <c r="GJ24" i="8" s="1"/>
  <c r="GC24" i="8"/>
  <c r="DR24" i="8"/>
  <c r="DJ24" i="8"/>
  <c r="DI24" i="8"/>
  <c r="CW24" i="8"/>
  <c r="CV24" i="8" s="1"/>
  <c r="CT24" i="8"/>
  <c r="FJ24" i="8" s="1"/>
  <c r="CS24" i="8"/>
  <c r="CJ24" i="8"/>
  <c r="BR24" i="8"/>
  <c r="BQ24" i="8"/>
  <c r="BM24" i="8" s="1"/>
  <c r="BE24" i="8"/>
  <c r="AO24" i="8"/>
  <c r="Y24" i="8"/>
  <c r="X24" i="8" s="1"/>
  <c r="KP23" i="8"/>
  <c r="KO23" i="8"/>
  <c r="KG23" i="8" s="1"/>
  <c r="KF23" i="8" s="1"/>
  <c r="JE23" i="8"/>
  <c r="IS23" i="8"/>
  <c r="HT23" i="8"/>
  <c r="HI23" i="8"/>
  <c r="HH23" i="8" s="1"/>
  <c r="GW23" i="8"/>
  <c r="GV23" i="8" s="1"/>
  <c r="GK23" i="8"/>
  <c r="GJ23" i="8" s="1"/>
  <c r="GC23" i="8"/>
  <c r="EK23" i="8"/>
  <c r="DR23" i="8"/>
  <c r="DJ23" i="8"/>
  <c r="DI23" i="8"/>
  <c r="CW23" i="8"/>
  <c r="CV23" i="8" s="1"/>
  <c r="CT23" i="8"/>
  <c r="FJ23" i="8" s="1"/>
  <c r="CS23" i="8"/>
  <c r="CJ23" i="8"/>
  <c r="BE23" i="8"/>
  <c r="AO23" i="8"/>
  <c r="Y23" i="8"/>
  <c r="X23" i="8" s="1"/>
  <c r="KF22" i="8"/>
  <c r="JE22" i="8"/>
  <c r="JD22" i="8" s="1"/>
  <c r="IS22" i="8"/>
  <c r="IR22" i="8" s="1"/>
  <c r="HT22" i="8"/>
  <c r="FA22" i="8"/>
  <c r="EZ22" i="8" s="1"/>
  <c r="ES22" i="8"/>
  <c r="ER22" i="8" s="1"/>
  <c r="EK22" i="8"/>
  <c r="EJ22" i="8" s="1"/>
  <c r="CV22" i="8"/>
  <c r="CJ22" i="8"/>
  <c r="BM22" i="8"/>
  <c r="BL22" i="8" s="1"/>
  <c r="BE22" i="8"/>
  <c r="BD22" i="8" s="1"/>
  <c r="AO22" i="8"/>
  <c r="AN22" i="8" s="1"/>
  <c r="Y22" i="8"/>
  <c r="X22" i="8" s="1"/>
  <c r="KG21" i="8"/>
  <c r="KF21" i="8" s="1"/>
  <c r="JE21" i="8"/>
  <c r="JD21" i="8" s="1"/>
  <c r="IS21" i="8"/>
  <c r="IR21" i="8" s="1"/>
  <c r="HT21" i="8"/>
  <c r="HI21" i="8"/>
  <c r="HH21" i="8" s="1"/>
  <c r="GW21" i="8"/>
  <c r="GV21" i="8" s="1"/>
  <c r="GK21" i="8"/>
  <c r="GJ21" i="8" s="1"/>
  <c r="DE21" i="8"/>
  <c r="DD21" i="8" s="1"/>
  <c r="CW21" i="8"/>
  <c r="CV21" i="8" s="1"/>
  <c r="CK21" i="8"/>
  <c r="CJ21" i="8" s="1"/>
  <c r="BM21" i="8"/>
  <c r="BL21" i="8" s="1"/>
  <c r="BE21" i="8"/>
  <c r="BD21" i="8" s="1"/>
  <c r="Y21" i="8"/>
  <c r="X21" i="8" s="1"/>
  <c r="U21" i="8"/>
  <c r="H21" i="8"/>
  <c r="KG20" i="8"/>
  <c r="KF20" i="8" s="1"/>
  <c r="JE20" i="8"/>
  <c r="JD20" i="8" s="1"/>
  <c r="HU20" i="8"/>
  <c r="HT20" i="8" s="1"/>
  <c r="HI20" i="8"/>
  <c r="HH20" i="8" s="1"/>
  <c r="GW20" i="8"/>
  <c r="GV20" i="8" s="1"/>
  <c r="GK20" i="8"/>
  <c r="GJ20" i="8" s="1"/>
  <c r="FA20" i="8"/>
  <c r="EZ20" i="8" s="1"/>
  <c r="CV20" i="8"/>
  <c r="CJ20" i="8"/>
  <c r="BU20" i="8"/>
  <c r="BM20" i="8"/>
  <c r="BL20" i="8" s="1"/>
  <c r="BE20" i="8"/>
  <c r="BD20" i="8" s="1"/>
  <c r="AO20" i="8"/>
  <c r="AN20" i="8" s="1"/>
  <c r="Y20" i="8"/>
  <c r="X20" i="8" s="1"/>
  <c r="H20" i="8"/>
  <c r="KG19" i="8"/>
  <c r="KF19" i="8" s="1"/>
  <c r="JE19" i="8"/>
  <c r="JD19" i="8" s="1"/>
  <c r="HT19" i="8"/>
  <c r="HI19" i="8"/>
  <c r="HH19" i="8" s="1"/>
  <c r="GJ19" i="8"/>
  <c r="DM19" i="8"/>
  <c r="CV19" i="8"/>
  <c r="CJ19" i="8"/>
  <c r="BE19" i="8"/>
  <c r="Y19" i="8"/>
  <c r="X19" i="8" s="1"/>
  <c r="KK18" i="8"/>
  <c r="KG18" i="8" s="1"/>
  <c r="KF18" i="8" s="1"/>
  <c r="JE18" i="8"/>
  <c r="JD18" i="8" s="1"/>
  <c r="HU18" i="8"/>
  <c r="HT18" i="8" s="1"/>
  <c r="HI18" i="8"/>
  <c r="HH18" i="8" s="1"/>
  <c r="GK18" i="8"/>
  <c r="ER18" i="8"/>
  <c r="EJ18" i="8"/>
  <c r="DI18" i="8"/>
  <c r="CW18" i="8"/>
  <c r="CV18" i="8" s="1"/>
  <c r="CS18" i="8"/>
  <c r="CK18" i="8" s="1"/>
  <c r="CJ18" i="8" s="1"/>
  <c r="BQ18" i="8"/>
  <c r="BL18" i="8"/>
  <c r="BI18" i="8"/>
  <c r="BE18" i="8" s="1"/>
  <c r="BD18" i="8" s="1"/>
  <c r="AO18" i="8"/>
  <c r="AN18" i="8" s="1"/>
  <c r="Y18" i="8"/>
  <c r="X18" i="8" s="1"/>
  <c r="H18" i="8"/>
  <c r="KG17" i="8"/>
  <c r="JE17" i="8"/>
  <c r="JD17" i="8" s="1"/>
  <c r="IS17" i="8"/>
  <c r="IR17" i="8" s="1"/>
  <c r="HI17" i="8"/>
  <c r="HH17" i="8" s="1"/>
  <c r="GK17" i="8"/>
  <c r="ES17" i="8"/>
  <c r="ER17" i="8" s="1"/>
  <c r="EK17" i="8"/>
  <c r="EJ17" i="8" s="1"/>
  <c r="DE17" i="8"/>
  <c r="CV17" i="8"/>
  <c r="CK17" i="8"/>
  <c r="CJ17" i="8" s="1"/>
  <c r="BL17" i="8"/>
  <c r="BE17" i="8"/>
  <c r="BD17" i="8" s="1"/>
  <c r="AO17" i="8"/>
  <c r="AN17" i="8" s="1"/>
  <c r="Y17" i="8"/>
  <c r="X17" i="8" s="1"/>
  <c r="H17" i="8"/>
  <c r="KG16" i="8"/>
  <c r="KF16" i="8" s="1"/>
  <c r="JE16" i="8"/>
  <c r="JD16" i="8" s="1"/>
  <c r="IS16" i="8"/>
  <c r="HU16" i="8"/>
  <c r="HI16" i="8"/>
  <c r="HH16" i="8" s="1"/>
  <c r="GW16" i="8"/>
  <c r="GV16" i="8" s="1"/>
  <c r="GK16" i="8"/>
  <c r="EW16" i="8"/>
  <c r="ES16" i="8" s="1"/>
  <c r="ER16" i="8" s="1"/>
  <c r="EO16" i="8"/>
  <c r="EK16" i="8" s="1"/>
  <c r="EJ16" i="8" s="1"/>
  <c r="CW16" i="8"/>
  <c r="CV16" i="8" s="1"/>
  <c r="CS16" i="8"/>
  <c r="CK16" i="8" s="1"/>
  <c r="CJ16" i="8" s="1"/>
  <c r="BL16" i="8"/>
  <c r="BI16" i="8"/>
  <c r="BE16" i="8" s="1"/>
  <c r="BD16" i="8" s="1"/>
  <c r="BA16" i="8"/>
  <c r="AW16" i="8"/>
  <c r="AS16" i="8"/>
  <c r="AK16" i="8"/>
  <c r="AG16" i="8"/>
  <c r="JE15" i="8"/>
  <c r="JD15" i="8" s="1"/>
  <c r="BE15" i="8"/>
  <c r="KG14" i="8"/>
  <c r="KF14" i="8" s="1"/>
  <c r="JE14" i="8"/>
  <c r="HU14" i="8"/>
  <c r="HI14" i="8"/>
  <c r="GW14" i="8"/>
  <c r="GV14" i="8" s="1"/>
  <c r="GK14" i="8"/>
  <c r="EW14" i="8"/>
  <c r="ES14" i="8"/>
  <c r="ER14" i="8" s="1"/>
  <c r="EO14" i="8"/>
  <c r="EK14" i="8"/>
  <c r="EJ14" i="8" s="1"/>
  <c r="CV14" i="8"/>
  <c r="CK14" i="8"/>
  <c r="CJ14" i="8" s="1"/>
  <c r="BL14" i="8"/>
  <c r="BE14" i="8"/>
  <c r="BD14" i="8" s="1"/>
  <c r="AO14" i="8"/>
  <c r="AN14" i="8" s="1"/>
  <c r="Y14" i="8"/>
  <c r="X14" i="8" s="1"/>
  <c r="H14" i="8"/>
  <c r="BE13" i="8"/>
  <c r="FP12" i="8"/>
  <c r="BE12" i="8"/>
  <c r="KF11" i="8"/>
  <c r="JE11" i="8"/>
  <c r="JD11" i="8" s="1"/>
  <c r="IS11" i="8"/>
  <c r="IR11" i="8" s="1"/>
  <c r="HU11" i="8"/>
  <c r="HI11" i="8"/>
  <c r="HH11" i="8" s="1"/>
  <c r="GW11" i="8"/>
  <c r="GK11" i="8"/>
  <c r="GJ11" i="8" s="1"/>
  <c r="ES11" i="8"/>
  <c r="ER11" i="8" s="1"/>
  <c r="EK11" i="8"/>
  <c r="EJ11" i="8" s="1"/>
  <c r="DE11" i="8"/>
  <c r="DD11" i="8" s="1"/>
  <c r="CW11" i="8"/>
  <c r="CV11" i="8" s="1"/>
  <c r="CT11" i="8"/>
  <c r="CS11" i="8"/>
  <c r="CJ11" i="8"/>
  <c r="BL11" i="8"/>
  <c r="BE11" i="8"/>
  <c r="BD11" i="8" s="1"/>
  <c r="AO11" i="8"/>
  <c r="AN11" i="8" s="1"/>
  <c r="Y11" i="8"/>
  <c r="X11" i="8" s="1"/>
  <c r="H11" i="8"/>
  <c r="KG10" i="8"/>
  <c r="KF10" i="8" s="1"/>
  <c r="JE10" i="8"/>
  <c r="IG10" i="8"/>
  <c r="HI10" i="8"/>
  <c r="GW10" i="8"/>
  <c r="GK10" i="8"/>
  <c r="GJ10" i="8" s="1"/>
  <c r="DN10" i="8"/>
  <c r="DM10" i="8"/>
  <c r="CJ10" i="8"/>
  <c r="BT10" i="8"/>
  <c r="BR10" i="8"/>
  <c r="BQ10" i="8"/>
  <c r="DI10" i="8" s="1"/>
  <c r="DE10" i="8" s="1"/>
  <c r="DD10" i="8" s="1"/>
  <c r="BJ10" i="8"/>
  <c r="BI10" i="8"/>
  <c r="CS10" i="8" s="1"/>
  <c r="AO10" i="8"/>
  <c r="AN10" i="8" s="1"/>
  <c r="Y10" i="8"/>
  <c r="X10" i="8" s="1"/>
  <c r="KG9" i="8"/>
  <c r="KF9" i="8" s="1"/>
  <c r="JE9" i="8"/>
  <c r="IS9" i="8"/>
  <c r="HU9" i="8"/>
  <c r="HI9" i="8"/>
  <c r="GW9" i="8"/>
  <c r="GK9" i="8"/>
  <c r="DE9" i="8"/>
  <c r="CJ9" i="8"/>
  <c r="CC9" i="8"/>
  <c r="BE9" i="8"/>
  <c r="AO9" i="8"/>
  <c r="Y9" i="8"/>
  <c r="H9" i="8"/>
  <c r="KG8" i="8"/>
  <c r="KF8" i="8" s="1"/>
  <c r="JE8" i="8"/>
  <c r="IS8" i="8"/>
  <c r="IR8" i="8" s="1"/>
  <c r="IG8" i="8"/>
  <c r="HT8" i="8"/>
  <c r="CK8" i="8"/>
  <c r="CJ8" i="8" s="1"/>
  <c r="BE8" i="8"/>
  <c r="AO8" i="8"/>
  <c r="Y8" i="8"/>
  <c r="X8" i="8" s="1"/>
  <c r="KG7" i="8"/>
  <c r="KF7" i="8" s="1"/>
  <c r="JE7" i="8"/>
  <c r="IS7" i="8"/>
  <c r="IG7" i="8"/>
  <c r="HT7" i="8"/>
  <c r="HI7" i="8"/>
  <c r="GK7" i="8"/>
  <c r="FA7" i="8"/>
  <c r="EZ7" i="8" s="1"/>
  <c r="EK7" i="8"/>
  <c r="EJ7" i="8" s="1"/>
  <c r="DE7" i="8"/>
  <c r="CJ7" i="8"/>
  <c r="BT7" i="8"/>
  <c r="BI7" i="8"/>
  <c r="BE7" i="8" s="1"/>
  <c r="BD7" i="8" s="1"/>
  <c r="AO7" i="8"/>
  <c r="AN7" i="8" s="1"/>
  <c r="Y7" i="8"/>
  <c r="X7" i="8" s="1"/>
  <c r="H7" i="8"/>
  <c r="KG6" i="8"/>
  <c r="KF6" i="8" s="1"/>
  <c r="JE6" i="8"/>
  <c r="IS6" i="8"/>
  <c r="IG6" i="8"/>
  <c r="HU6" i="8"/>
  <c r="HT6" i="8" s="1"/>
  <c r="HI6" i="8"/>
  <c r="GW6" i="8"/>
  <c r="GV6" i="8" s="1"/>
  <c r="GK6" i="8"/>
  <c r="ES6" i="8"/>
  <c r="ER6" i="8" s="1"/>
  <c r="EK6" i="8"/>
  <c r="EJ6" i="8" s="1"/>
  <c r="DE6" i="8"/>
  <c r="CK6" i="8"/>
  <c r="CJ6" i="8" s="1"/>
  <c r="BQ6" i="8"/>
  <c r="BM6" i="8" s="1"/>
  <c r="BL6" i="8" s="1"/>
  <c r="BI6" i="8"/>
  <c r="BE6" i="8" s="1"/>
  <c r="BD6" i="8" s="1"/>
  <c r="AO6" i="8"/>
  <c r="AN6" i="8" s="1"/>
  <c r="Y6" i="8"/>
  <c r="X6" i="8" s="1"/>
  <c r="KP5" i="8"/>
  <c r="KO5" i="8"/>
  <c r="KG5" i="8" s="1"/>
  <c r="KF5" i="8" s="1"/>
  <c r="JE5" i="8"/>
  <c r="IS5" i="8"/>
  <c r="HU5" i="8"/>
  <c r="HT5" i="8" s="1"/>
  <c r="GW5" i="8"/>
  <c r="GV5" i="8" s="1"/>
  <c r="GK5" i="8"/>
  <c r="DE5" i="8"/>
  <c r="CS5" i="8"/>
  <c r="CK5" i="8" s="1"/>
  <c r="CJ5" i="8" s="1"/>
  <c r="BJ5" i="8"/>
  <c r="BE5" i="8"/>
  <c r="AO5" i="8"/>
  <c r="Y5" i="8"/>
  <c r="H5" i="8"/>
  <c r="KG4" i="8"/>
  <c r="KF4" i="8" s="1"/>
  <c r="JE4" i="8"/>
  <c r="IS4" i="8"/>
  <c r="HT4" i="8"/>
  <c r="HI4" i="8"/>
  <c r="GW4" i="8"/>
  <c r="GV4" i="8" s="1"/>
  <c r="FA4" i="8"/>
  <c r="DE4" i="8"/>
  <c r="CS4" i="8"/>
  <c r="CK4" i="8" s="1"/>
  <c r="CJ4" i="8" s="1"/>
  <c r="BE4" i="8"/>
  <c r="AO4" i="8"/>
  <c r="Y4" i="8"/>
  <c r="H4" i="8"/>
  <c r="JD16" i="9"/>
  <c r="BT16" i="9"/>
  <c r="BL16" i="9"/>
  <c r="BE16" i="9"/>
  <c r="BD16" i="9" s="1"/>
  <c r="X16" i="9"/>
  <c r="H16" i="9"/>
  <c r="KG167" i="4"/>
  <c r="KF167" i="4" s="1"/>
  <c r="JE167" i="4"/>
  <c r="JD167" i="4" s="1"/>
  <c r="IS167" i="4"/>
  <c r="IR167" i="4" s="1"/>
  <c r="HT167" i="4"/>
  <c r="HI167" i="4"/>
  <c r="HH167" i="4" s="1"/>
  <c r="GW167" i="4"/>
  <c r="GV167" i="4" s="1"/>
  <c r="GK167" i="4"/>
  <c r="GJ167" i="4" s="1"/>
  <c r="GC167" i="4"/>
  <c r="FA167" i="4"/>
  <c r="EZ167" i="4" s="1"/>
  <c r="ES167" i="4"/>
  <c r="ER167" i="4" s="1"/>
  <c r="EK167" i="4"/>
  <c r="EJ167" i="4" s="1"/>
  <c r="DM167" i="4"/>
  <c r="DJ167" i="4"/>
  <c r="DI167" i="4"/>
  <c r="CW167" i="4"/>
  <c r="CV167" i="4" s="1"/>
  <c r="CT167" i="4"/>
  <c r="CS167" i="4"/>
  <c r="CK167" i="4" s="1"/>
  <c r="CJ167" i="4" s="1"/>
  <c r="BU167" i="4"/>
  <c r="BT167" i="4" s="1"/>
  <c r="BQ167" i="4"/>
  <c r="BM167" i="4" s="1"/>
  <c r="BL167" i="4" s="1"/>
  <c r="BI167" i="4"/>
  <c r="BE167" i="4" s="1"/>
  <c r="BD167" i="4" s="1"/>
  <c r="AO167" i="4"/>
  <c r="AN167" i="4" s="1"/>
  <c r="Y167" i="4"/>
  <c r="X167" i="4" s="1"/>
  <c r="H167" i="4"/>
  <c r="KG166" i="4"/>
  <c r="KF166" i="4" s="1"/>
  <c r="JE166" i="4"/>
  <c r="JD166" i="4" s="1"/>
  <c r="IS166" i="4"/>
  <c r="IR166" i="4" s="1"/>
  <c r="HU166" i="4"/>
  <c r="HT166" i="4" s="1"/>
  <c r="HI166" i="4"/>
  <c r="HH166" i="4" s="1"/>
  <c r="GW166" i="4"/>
  <c r="GV166" i="4" s="1"/>
  <c r="GK166" i="4"/>
  <c r="GJ166" i="4" s="1"/>
  <c r="FA166" i="4"/>
  <c r="EZ166" i="4" s="1"/>
  <c r="ES166" i="4"/>
  <c r="ER166" i="4" s="1"/>
  <c r="EK166" i="4"/>
  <c r="EJ166" i="4" s="1"/>
  <c r="DN166" i="4"/>
  <c r="DM166" i="4"/>
  <c r="DJ166" i="4"/>
  <c r="DI166" i="4"/>
  <c r="DB166" i="4"/>
  <c r="CW166" i="4"/>
  <c r="CV166" i="4" s="1"/>
  <c r="CT166" i="4"/>
  <c r="CS166" i="4"/>
  <c r="CK166" i="4" s="1"/>
  <c r="CJ166" i="4" s="1"/>
  <c r="BU166" i="4"/>
  <c r="BT166" i="4" s="1"/>
  <c r="BM166" i="4"/>
  <c r="BL166" i="4" s="1"/>
  <c r="BE166" i="4"/>
  <c r="BD166" i="4" s="1"/>
  <c r="AO166" i="4"/>
  <c r="AN166" i="4" s="1"/>
  <c r="Y166" i="4"/>
  <c r="X166" i="4" s="1"/>
  <c r="U166" i="4"/>
  <c r="H166" i="4"/>
  <c r="KK165" i="4"/>
  <c r="KG165" i="4" s="1"/>
  <c r="KF165" i="4" s="1"/>
  <c r="JY165" i="4"/>
  <c r="JE165" i="4"/>
  <c r="JD165" i="4" s="1"/>
  <c r="IR165" i="4"/>
  <c r="HU165" i="4"/>
  <c r="HT165" i="4" s="1"/>
  <c r="HI165" i="4"/>
  <c r="HH165" i="4" s="1"/>
  <c r="GW165" i="4"/>
  <c r="GV165" i="4"/>
  <c r="GK165" i="4"/>
  <c r="GJ165" i="4" s="1"/>
  <c r="GC165" i="4"/>
  <c r="FA165" i="4"/>
  <c r="EZ165" i="4" s="1"/>
  <c r="ES165" i="4"/>
  <c r="ER165" i="4" s="1"/>
  <c r="EK165" i="4"/>
  <c r="EJ165" i="4" s="1"/>
  <c r="DN165" i="4"/>
  <c r="DM165" i="4"/>
  <c r="DJ165" i="4"/>
  <c r="DI165" i="4"/>
  <c r="CW165" i="4"/>
  <c r="CV165" i="4" s="1"/>
  <c r="CT165" i="4"/>
  <c r="CS165" i="4"/>
  <c r="CK165" i="4" s="1"/>
  <c r="CJ165" i="4" s="1"/>
  <c r="CC165" i="4"/>
  <c r="BU165" i="4"/>
  <c r="BT165" i="4" s="1"/>
  <c r="BR165" i="4"/>
  <c r="BQ165" i="4"/>
  <c r="BM165" i="4" s="1"/>
  <c r="BL165" i="4" s="1"/>
  <c r="BJ165" i="4"/>
  <c r="BI165" i="4"/>
  <c r="BE165" i="4" s="1"/>
  <c r="BD165" i="4" s="1"/>
  <c r="AO165" i="4"/>
  <c r="AN165" i="4" s="1"/>
  <c r="Y165" i="4"/>
  <c r="X165" i="4" s="1"/>
  <c r="H165" i="4"/>
  <c r="KG164" i="4"/>
  <c r="KF164" i="4" s="1"/>
  <c r="JE164" i="4"/>
  <c r="JD164" i="4" s="1"/>
  <c r="IS164" i="4"/>
  <c r="IR164" i="4" s="1"/>
  <c r="HU164" i="4"/>
  <c r="HT164" i="4" s="1"/>
  <c r="HI164" i="4"/>
  <c r="HH164" i="4" s="1"/>
  <c r="GW164" i="4"/>
  <c r="GV164" i="4" s="1"/>
  <c r="GK164" i="4"/>
  <c r="GJ164" i="4" s="1"/>
  <c r="FA164" i="4"/>
  <c r="EZ164" i="4" s="1"/>
  <c r="ES164" i="4"/>
  <c r="ER164" i="4" s="1"/>
  <c r="EK164" i="4"/>
  <c r="EJ164" i="4" s="1"/>
  <c r="DJ164" i="4"/>
  <c r="DI164" i="4"/>
  <c r="DE164" i="4" s="1"/>
  <c r="DD164" i="4" s="1"/>
  <c r="CW164" i="4"/>
  <c r="CV164" i="4" s="1"/>
  <c r="CT164" i="4"/>
  <c r="CS164" i="4"/>
  <c r="CJ164" i="4"/>
  <c r="BT164" i="4"/>
  <c r="BQ164" i="4"/>
  <c r="BM164" i="4" s="1"/>
  <c r="BL164" i="4" s="1"/>
  <c r="BI164" i="4"/>
  <c r="BE164" i="4" s="1"/>
  <c r="BD164" i="4" s="1"/>
  <c r="AO164" i="4"/>
  <c r="AN164" i="4" s="1"/>
  <c r="Y164" i="4"/>
  <c r="X164" i="4" s="1"/>
  <c r="H164" i="4"/>
  <c r="KK163" i="4"/>
  <c r="KG163" i="4" s="1"/>
  <c r="KF163" i="4" s="1"/>
  <c r="JE163" i="4"/>
  <c r="JD163" i="4" s="1"/>
  <c r="IS163" i="4"/>
  <c r="IR163" i="4" s="1"/>
  <c r="HU163" i="4"/>
  <c r="HT163" i="4" s="1"/>
  <c r="HI163" i="4"/>
  <c r="HH163" i="4" s="1"/>
  <c r="HA163" i="4"/>
  <c r="GW163" i="4" s="1"/>
  <c r="GV163" i="4" s="1"/>
  <c r="GK163" i="4"/>
  <c r="GJ163" i="4" s="1"/>
  <c r="FA163" i="4"/>
  <c r="EZ163" i="4" s="1"/>
  <c r="ES163" i="4"/>
  <c r="ER163" i="4" s="1"/>
  <c r="EK163" i="4"/>
  <c r="EJ163" i="4" s="1"/>
  <c r="DM163" i="4"/>
  <c r="DJ163" i="4"/>
  <c r="DI163" i="4"/>
  <c r="CW163" i="4"/>
  <c r="CV163" i="4" s="1"/>
  <c r="CT163" i="4"/>
  <c r="CS163" i="4"/>
  <c r="CK163" i="4" s="1"/>
  <c r="CJ163" i="4" s="1"/>
  <c r="BU163" i="4"/>
  <c r="BT163" i="4" s="1"/>
  <c r="BQ163" i="4"/>
  <c r="BM163" i="4" s="1"/>
  <c r="BL163" i="4" s="1"/>
  <c r="BI163" i="4"/>
  <c r="BE163" i="4" s="1"/>
  <c r="BD163" i="4" s="1"/>
  <c r="AO163" i="4"/>
  <c r="AN163" i="4" s="1"/>
  <c r="Y163" i="4"/>
  <c r="X163" i="4" s="1"/>
  <c r="H163" i="4"/>
  <c r="KG162" i="4"/>
  <c r="KF162" i="4" s="1"/>
  <c r="JY162" i="4"/>
  <c r="JE162" i="4"/>
  <c r="JD162" i="4" s="1"/>
  <c r="IS162" i="4"/>
  <c r="IR162" i="4" s="1"/>
  <c r="HT162" i="4"/>
  <c r="HI162" i="4"/>
  <c r="HH162" i="4" s="1"/>
  <c r="GW162" i="4"/>
  <c r="GV162" i="4" s="1"/>
  <c r="GK162" i="4"/>
  <c r="GJ162" i="4" s="1"/>
  <c r="GC162" i="4"/>
  <c r="FA162" i="4"/>
  <c r="EZ162" i="4" s="1"/>
  <c r="ES162" i="4"/>
  <c r="ER162" i="4" s="1"/>
  <c r="EK162" i="4"/>
  <c r="EJ162" i="4" s="1"/>
  <c r="DN162" i="4"/>
  <c r="DM162" i="4"/>
  <c r="DJ162" i="4"/>
  <c r="DI162" i="4"/>
  <c r="CW162" i="4"/>
  <c r="CV162" i="4" s="1"/>
  <c r="CT162" i="4"/>
  <c r="CS162" i="4"/>
  <c r="CJ162" i="4"/>
  <c r="CC162" i="4"/>
  <c r="BT162" i="4"/>
  <c r="BR162" i="4"/>
  <c r="BQ162" i="4"/>
  <c r="BM162" i="4" s="1"/>
  <c r="BL162" i="4" s="1"/>
  <c r="BJ162" i="4"/>
  <c r="BI162" i="4"/>
  <c r="BE162" i="4" s="1"/>
  <c r="BD162" i="4" s="1"/>
  <c r="AO162" i="4"/>
  <c r="AN162" i="4" s="1"/>
  <c r="Y162" i="4"/>
  <c r="X162" i="4" s="1"/>
  <c r="KK161" i="4"/>
  <c r="KG161" i="4" s="1"/>
  <c r="KF161" i="4" s="1"/>
  <c r="JE161" i="4"/>
  <c r="JD161" i="4" s="1"/>
  <c r="IS161" i="4"/>
  <c r="IR161" i="4" s="1"/>
  <c r="HU161" i="4"/>
  <c r="HT161" i="4" s="1"/>
  <c r="HI161" i="4"/>
  <c r="HH161" i="4" s="1"/>
  <c r="GW161" i="4"/>
  <c r="GV161" i="4" s="1"/>
  <c r="GK161" i="4"/>
  <c r="GJ161" i="4" s="1"/>
  <c r="FA161" i="4"/>
  <c r="EZ161" i="4" s="1"/>
  <c r="ES161" i="4"/>
  <c r="ER161" i="4" s="1"/>
  <c r="EK161" i="4"/>
  <c r="EJ161" i="4" s="1"/>
  <c r="DJ161" i="4"/>
  <c r="DI161" i="4"/>
  <c r="CW161" i="4"/>
  <c r="CV161" i="4" s="1"/>
  <c r="CT161" i="4"/>
  <c r="CS161" i="4"/>
  <c r="CK161" i="4" s="1"/>
  <c r="CJ161" i="4" s="1"/>
  <c r="BU161" i="4"/>
  <c r="BT161" i="4" s="1"/>
  <c r="BQ161" i="4"/>
  <c r="BM161" i="4" s="1"/>
  <c r="BL161" i="4" s="1"/>
  <c r="BI161" i="4"/>
  <c r="BE161" i="4" s="1"/>
  <c r="BD161" i="4" s="1"/>
  <c r="AO161" i="4"/>
  <c r="AN161" i="4" s="1"/>
  <c r="Y161" i="4"/>
  <c r="X161" i="4" s="1"/>
  <c r="H161" i="4"/>
  <c r="KG160" i="4"/>
  <c r="KF160" i="4" s="1"/>
  <c r="JE160" i="4"/>
  <c r="JD160" i="4" s="1"/>
  <c r="IS160" i="4"/>
  <c r="IR160" i="4" s="1"/>
  <c r="HU160" i="4"/>
  <c r="HT160" i="4" s="1"/>
  <c r="HI160" i="4"/>
  <c r="HH160" i="4" s="1"/>
  <c r="GW160" i="4"/>
  <c r="GV160" i="4" s="1"/>
  <c r="GK160" i="4"/>
  <c r="GJ160" i="4" s="1"/>
  <c r="GC160" i="4"/>
  <c r="FA160" i="4"/>
  <c r="EZ160" i="4" s="1"/>
  <c r="ES160" i="4"/>
  <c r="ER160" i="4" s="1"/>
  <c r="EK160" i="4"/>
  <c r="EJ160" i="4" s="1"/>
  <c r="DO160" i="4"/>
  <c r="DN160" i="4"/>
  <c r="DM160" i="4"/>
  <c r="DJ160" i="4"/>
  <c r="DI160" i="4"/>
  <c r="CW160" i="4"/>
  <c r="CV160" i="4" s="1"/>
  <c r="CK160" i="4"/>
  <c r="CJ160" i="4" s="1"/>
  <c r="BT160" i="4"/>
  <c r="BQ160" i="4"/>
  <c r="BM160" i="4" s="1"/>
  <c r="BL160" i="4" s="1"/>
  <c r="BI160" i="4"/>
  <c r="BE160" i="4" s="1"/>
  <c r="BD160" i="4" s="1"/>
  <c r="AO160" i="4"/>
  <c r="AN160" i="4" s="1"/>
  <c r="Y160" i="4"/>
  <c r="X160" i="4" s="1"/>
  <c r="H160" i="4"/>
  <c r="KG159" i="4"/>
  <c r="KF159" i="4" s="1"/>
  <c r="JY159" i="4"/>
  <c r="JE159" i="4"/>
  <c r="JD159" i="4" s="1"/>
  <c r="IS159" i="4"/>
  <c r="IR159" i="4" s="1"/>
  <c r="HT159" i="4"/>
  <c r="HI159" i="4"/>
  <c r="HH159" i="4" s="1"/>
  <c r="GW159" i="4"/>
  <c r="GV159" i="4" s="1"/>
  <c r="GK159" i="4"/>
  <c r="GJ159" i="4" s="1"/>
  <c r="FA159" i="4"/>
  <c r="EZ159" i="4" s="1"/>
  <c r="ES159" i="4"/>
  <c r="ER159" i="4" s="1"/>
  <c r="EK159" i="4"/>
  <c r="EJ159" i="4" s="1"/>
  <c r="DM159" i="4"/>
  <c r="DJ159" i="4"/>
  <c r="DI159" i="4"/>
  <c r="CW159" i="4"/>
  <c r="CV159" i="4" s="1"/>
  <c r="CT159" i="4"/>
  <c r="CS159" i="4"/>
  <c r="CJ159" i="4"/>
  <c r="BU159" i="4"/>
  <c r="BT159" i="4" s="1"/>
  <c r="BR159" i="4"/>
  <c r="BQ159" i="4"/>
  <c r="BM159" i="4" s="1"/>
  <c r="BL159" i="4" s="1"/>
  <c r="BJ159" i="4"/>
  <c r="BI159" i="4"/>
  <c r="BE159" i="4" s="1"/>
  <c r="BD159" i="4" s="1"/>
  <c r="AO159" i="4"/>
  <c r="AN159" i="4" s="1"/>
  <c r="Y159" i="4"/>
  <c r="X159" i="4" s="1"/>
  <c r="H159" i="4"/>
  <c r="KG158" i="4"/>
  <c r="KF158" i="4" s="1"/>
  <c r="JY158" i="4"/>
  <c r="JE158" i="4"/>
  <c r="JD158" i="4" s="1"/>
  <c r="IS158" i="4"/>
  <c r="IR158" i="4" s="1"/>
  <c r="HU158" i="4"/>
  <c r="HT158" i="4" s="1"/>
  <c r="HI158" i="4"/>
  <c r="HH158" i="4" s="1"/>
  <c r="GW158" i="4"/>
  <c r="GV158" i="4" s="1"/>
  <c r="GK158" i="4"/>
  <c r="GJ158" i="4" s="1"/>
  <c r="GC158" i="4"/>
  <c r="FA158" i="4"/>
  <c r="EZ158" i="4" s="1"/>
  <c r="ES158" i="4"/>
  <c r="ER158" i="4" s="1"/>
  <c r="EK158" i="4"/>
  <c r="EJ158" i="4" s="1"/>
  <c r="DM158" i="4"/>
  <c r="DJ158" i="4"/>
  <c r="DI158" i="4"/>
  <c r="DD158" i="4"/>
  <c r="CW158" i="4"/>
  <c r="CV158" i="4" s="1"/>
  <c r="CT158" i="4"/>
  <c r="CS158" i="4"/>
  <c r="CJ158" i="4"/>
  <c r="CC158" i="4"/>
  <c r="BU158" i="4"/>
  <c r="BT158" i="4" s="1"/>
  <c r="BR158" i="4"/>
  <c r="BQ158" i="4"/>
  <c r="BM158" i="4" s="1"/>
  <c r="BL158" i="4" s="1"/>
  <c r="BJ158" i="4"/>
  <c r="BI158" i="4"/>
  <c r="BE158" i="4" s="1"/>
  <c r="BD158" i="4" s="1"/>
  <c r="AO158" i="4"/>
  <c r="AN158" i="4" s="1"/>
  <c r="Y158" i="4"/>
  <c r="X158" i="4" s="1"/>
  <c r="H158" i="4"/>
  <c r="KG157" i="4"/>
  <c r="KF157" i="4" s="1"/>
  <c r="JE157" i="4"/>
  <c r="JD157" i="4" s="1"/>
  <c r="IS157" i="4"/>
  <c r="IR157" i="4" s="1"/>
  <c r="HU157" i="4"/>
  <c r="HT157" i="4" s="1"/>
  <c r="HI157" i="4"/>
  <c r="HH157" i="4" s="1"/>
  <c r="GW157" i="4"/>
  <c r="GV157" i="4" s="1"/>
  <c r="FA157" i="4"/>
  <c r="EZ157" i="4" s="1"/>
  <c r="ES157" i="4"/>
  <c r="ER157" i="4" s="1"/>
  <c r="EK157" i="4"/>
  <c r="EJ157" i="4" s="1"/>
  <c r="DM157" i="4"/>
  <c r="DJ157" i="4"/>
  <c r="DI157" i="4"/>
  <c r="CW157" i="4"/>
  <c r="CV157" i="4" s="1"/>
  <c r="CT157" i="4"/>
  <c r="CS157" i="4"/>
  <c r="CK157" i="4" s="1"/>
  <c r="CJ157" i="4" s="1"/>
  <c r="BU157" i="4"/>
  <c r="BT157" i="4" s="1"/>
  <c r="BQ157" i="4"/>
  <c r="BM157" i="4" s="1"/>
  <c r="BL157" i="4" s="1"/>
  <c r="BI157" i="4"/>
  <c r="BE157" i="4" s="1"/>
  <c r="BD157" i="4" s="1"/>
  <c r="AO157" i="4"/>
  <c r="AN157" i="4" s="1"/>
  <c r="Y157" i="4"/>
  <c r="X157" i="4" s="1"/>
  <c r="H157" i="4"/>
  <c r="KG156" i="4"/>
  <c r="KF156" i="4" s="1"/>
  <c r="JY156" i="4"/>
  <c r="JE156" i="4"/>
  <c r="JD156" i="4" s="1"/>
  <c r="IS156" i="4"/>
  <c r="IR156" i="4" s="1"/>
  <c r="HU156" i="4"/>
  <c r="HT156" i="4" s="1"/>
  <c r="HI156" i="4"/>
  <c r="HH156" i="4" s="1"/>
  <c r="GW156" i="4"/>
  <c r="GV156" i="4" s="1"/>
  <c r="GK156" i="4"/>
  <c r="GJ156" i="4" s="1"/>
  <c r="GC156" i="4"/>
  <c r="FA156" i="4"/>
  <c r="EZ156" i="4" s="1"/>
  <c r="ES156" i="4"/>
  <c r="ER156" i="4" s="1"/>
  <c r="EK156" i="4"/>
  <c r="EJ156" i="4" s="1"/>
  <c r="DO156" i="4"/>
  <c r="DN156" i="4"/>
  <c r="DM156" i="4"/>
  <c r="DJ156" i="4"/>
  <c r="DI156" i="4"/>
  <c r="CW156" i="4"/>
  <c r="CV156" i="4" s="1"/>
  <c r="CT156" i="4"/>
  <c r="CS156" i="4"/>
  <c r="CJ156" i="4"/>
  <c r="CC156" i="4"/>
  <c r="BU156" i="4"/>
  <c r="BT156" i="4" s="1"/>
  <c r="BR156" i="4"/>
  <c r="BQ156" i="4"/>
  <c r="BM156" i="4" s="1"/>
  <c r="BL156" i="4" s="1"/>
  <c r="BJ156" i="4"/>
  <c r="BI156" i="4"/>
  <c r="BE156" i="4" s="1"/>
  <c r="BD156" i="4" s="1"/>
  <c r="AO156" i="4"/>
  <c r="AN156" i="4" s="1"/>
  <c r="Y156" i="4"/>
  <c r="X156" i="4" s="1"/>
  <c r="H156" i="4"/>
  <c r="KG155" i="4"/>
  <c r="KF155" i="4" s="1"/>
  <c r="JE155" i="4"/>
  <c r="JD155" i="4" s="1"/>
  <c r="IR155" i="4"/>
  <c r="HU155" i="4"/>
  <c r="HT155" i="4" s="1"/>
  <c r="HI155" i="4"/>
  <c r="HH155" i="4" s="1"/>
  <c r="GW155" i="4"/>
  <c r="GV155" i="4" s="1"/>
  <c r="GJ155" i="4"/>
  <c r="GC155" i="4"/>
  <c r="FA155" i="4"/>
  <c r="EZ155" i="4" s="1"/>
  <c r="ES155" i="4"/>
  <c r="ER155" i="4" s="1"/>
  <c r="EK155" i="4"/>
  <c r="EJ155" i="4" s="1"/>
  <c r="DE155" i="4"/>
  <c r="DD155" i="4" s="1"/>
  <c r="CW155" i="4"/>
  <c r="CV155" i="4" s="1"/>
  <c r="CK155" i="4"/>
  <c r="CJ155" i="4" s="1"/>
  <c r="BU155" i="4"/>
  <c r="BT155" i="4" s="1"/>
  <c r="BM155" i="4"/>
  <c r="BL155" i="4" s="1"/>
  <c r="BE155" i="4"/>
  <c r="BD155" i="4" s="1"/>
  <c r="AO155" i="4"/>
  <c r="AN155" i="4" s="1"/>
  <c r="Y155" i="4"/>
  <c r="X155" i="4" s="1"/>
  <c r="KG154" i="4"/>
  <c r="KF154" i="4" s="1"/>
  <c r="JE154" i="4"/>
  <c r="JD154" i="4" s="1"/>
  <c r="IS154" i="4"/>
  <c r="IR154" i="4" s="1"/>
  <c r="HU154" i="4"/>
  <c r="HT154" i="4" s="1"/>
  <c r="HI154" i="4"/>
  <c r="HH154" i="4" s="1"/>
  <c r="GW154" i="4"/>
  <c r="GV154" i="4" s="1"/>
  <c r="GJ154" i="4"/>
  <c r="GC154" i="4"/>
  <c r="FA154" i="4"/>
  <c r="EZ154" i="4" s="1"/>
  <c r="ES154" i="4"/>
  <c r="ER154" i="4" s="1"/>
  <c r="EK154" i="4"/>
  <c r="EJ154" i="4" s="1"/>
  <c r="DM154" i="4"/>
  <c r="DE154" i="4" s="1"/>
  <c r="DD154" i="4" s="1"/>
  <c r="CW154" i="4"/>
  <c r="CV154" i="4" s="1"/>
  <c r="CK154" i="4"/>
  <c r="CJ154" i="4" s="1"/>
  <c r="BU154" i="4"/>
  <c r="BT154" i="4" s="1"/>
  <c r="BM154" i="4"/>
  <c r="BL154" i="4" s="1"/>
  <c r="BE154" i="4"/>
  <c r="BD154" i="4" s="1"/>
  <c r="AO154" i="4"/>
  <c r="AN154" i="4" s="1"/>
  <c r="Y154" i="4"/>
  <c r="X154" i="4" s="1"/>
  <c r="KG153" i="4"/>
  <c r="KF153" i="4" s="1"/>
  <c r="JE153" i="4"/>
  <c r="JD153" i="4" s="1"/>
  <c r="IS153" i="4"/>
  <c r="IR153" i="4" s="1"/>
  <c r="HU153" i="4"/>
  <c r="HT153" i="4" s="1"/>
  <c r="HH153" i="4"/>
  <c r="GV153" i="4"/>
  <c r="GK153" i="4"/>
  <c r="GJ153" i="4" s="1"/>
  <c r="FA153" i="4"/>
  <c r="EZ153" i="4" s="1"/>
  <c r="ES153" i="4"/>
  <c r="ER153" i="4" s="1"/>
  <c r="EK153" i="4"/>
  <c r="EJ153" i="4" s="1"/>
  <c r="DE153" i="4"/>
  <c r="DD153" i="4" s="1"/>
  <c r="CW153" i="4"/>
  <c r="CV153" i="4" s="1"/>
  <c r="CK153" i="4"/>
  <c r="CJ153" i="4" s="1"/>
  <c r="BU153" i="4"/>
  <c r="BT153" i="4" s="1"/>
  <c r="BM153" i="4"/>
  <c r="BL153" i="4" s="1"/>
  <c r="BE153" i="4"/>
  <c r="BD153" i="4" s="1"/>
  <c r="AN153" i="4"/>
  <c r="X153" i="4"/>
  <c r="KG152" i="4"/>
  <c r="KF152" i="4" s="1"/>
  <c r="JE152" i="4"/>
  <c r="JD152" i="4" s="1"/>
  <c r="IS152" i="4"/>
  <c r="IR152" i="4" s="1"/>
  <c r="HU152" i="4"/>
  <c r="HT152" i="4" s="1"/>
  <c r="HI152" i="4"/>
  <c r="HH152" i="4" s="1"/>
  <c r="GW152" i="4"/>
  <c r="GV152" i="4" s="1"/>
  <c r="GK152" i="4"/>
  <c r="GJ152" i="4" s="1"/>
  <c r="ES152" i="4"/>
  <c r="ER152" i="4" s="1"/>
  <c r="EK152" i="4"/>
  <c r="EJ152" i="4" s="1"/>
  <c r="DE152" i="4"/>
  <c r="DD152" i="4" s="1"/>
  <c r="CW152" i="4"/>
  <c r="CV152" i="4" s="1"/>
  <c r="CK152" i="4"/>
  <c r="BU152" i="4"/>
  <c r="BT152" i="4" s="1"/>
  <c r="BM152" i="4"/>
  <c r="BL152" i="4" s="1"/>
  <c r="BE152" i="4"/>
  <c r="BD152" i="4" s="1"/>
  <c r="AO152" i="4"/>
  <c r="AN152" i="4" s="1"/>
  <c r="Y152" i="4"/>
  <c r="X152" i="4" s="1"/>
  <c r="KG151" i="4"/>
  <c r="KF151" i="4" s="1"/>
  <c r="JE151" i="4"/>
  <c r="JD151" i="4" s="1"/>
  <c r="IR151" i="4"/>
  <c r="HU151" i="4"/>
  <c r="HT151" i="4" s="1"/>
  <c r="HI151" i="4"/>
  <c r="HH151" i="4" s="1"/>
  <c r="GV151" i="4"/>
  <c r="FA151" i="4"/>
  <c r="EZ151" i="4" s="1"/>
  <c r="ES151" i="4"/>
  <c r="ER151" i="4" s="1"/>
  <c r="EK151" i="4"/>
  <c r="EJ151" i="4" s="1"/>
  <c r="DE151" i="4"/>
  <c r="DD151" i="4" s="1"/>
  <c r="CV151" i="4"/>
  <c r="CK151" i="4"/>
  <c r="CC151" i="4"/>
  <c r="BU151" i="4"/>
  <c r="BT151" i="4" s="1"/>
  <c r="BM151" i="4"/>
  <c r="BL151" i="4" s="1"/>
  <c r="BE151" i="4"/>
  <c r="BD151" i="4" s="1"/>
  <c r="AN151" i="4"/>
  <c r="X151" i="4"/>
  <c r="KG150" i="4"/>
  <c r="KF150" i="4" s="1"/>
  <c r="JE150" i="4"/>
  <c r="JD150" i="4" s="1"/>
  <c r="IS150" i="4"/>
  <c r="IR150" i="4" s="1"/>
  <c r="HU150" i="4"/>
  <c r="HT150" i="4" s="1"/>
  <c r="HI150" i="4"/>
  <c r="HH150" i="4" s="1"/>
  <c r="GW150" i="4"/>
  <c r="GV150" i="4" s="1"/>
  <c r="GK150" i="4"/>
  <c r="GJ150" i="4" s="1"/>
  <c r="FA150" i="4"/>
  <c r="EZ150" i="4" s="1"/>
  <c r="ES150" i="4"/>
  <c r="ER150" i="4" s="1"/>
  <c r="EK150" i="4"/>
  <c r="EJ150" i="4" s="1"/>
  <c r="DE150" i="4"/>
  <c r="DD150" i="4" s="1"/>
  <c r="CW150" i="4"/>
  <c r="CV150" i="4" s="1"/>
  <c r="CK150" i="4"/>
  <c r="CJ150" i="4" s="1"/>
  <c r="BU150" i="4"/>
  <c r="BT150" i="4" s="1"/>
  <c r="BM150" i="4"/>
  <c r="BL150" i="4" s="1"/>
  <c r="BE150" i="4"/>
  <c r="BD150" i="4" s="1"/>
  <c r="AO150" i="4"/>
  <c r="AN150" i="4" s="1"/>
  <c r="Y150" i="4"/>
  <c r="X150" i="4" s="1"/>
  <c r="KG149" i="4"/>
  <c r="KF149" i="4" s="1"/>
  <c r="JE149" i="4"/>
  <c r="JD149" i="4" s="1"/>
  <c r="IS149" i="4"/>
  <c r="IR149" i="4" s="1"/>
  <c r="HU149" i="4"/>
  <c r="HT149" i="4" s="1"/>
  <c r="HI149" i="4"/>
  <c r="HH149" i="4" s="1"/>
  <c r="GW149" i="4"/>
  <c r="GV149" i="4" s="1"/>
  <c r="GC149" i="4"/>
  <c r="FA149" i="4"/>
  <c r="EZ149" i="4" s="1"/>
  <c r="ES149" i="4"/>
  <c r="ER149" i="4" s="1"/>
  <c r="EK149" i="4"/>
  <c r="EJ149" i="4" s="1"/>
  <c r="DE149" i="4"/>
  <c r="DD149" i="4" s="1"/>
  <c r="CW149" i="4"/>
  <c r="CV149" i="4" s="1"/>
  <c r="CK149" i="4"/>
  <c r="CJ149" i="4" s="1"/>
  <c r="BU149" i="4"/>
  <c r="BT149" i="4" s="1"/>
  <c r="BM149" i="4"/>
  <c r="BL149" i="4" s="1"/>
  <c r="BE149" i="4"/>
  <c r="BD149" i="4" s="1"/>
  <c r="AO149" i="4"/>
  <c r="AN149" i="4" s="1"/>
  <c r="Y149" i="4"/>
  <c r="X149" i="4" s="1"/>
  <c r="KF148" i="4"/>
  <c r="JE148" i="4"/>
  <c r="JD148" i="4" s="1"/>
  <c r="IR148" i="4"/>
  <c r="HU148" i="4"/>
  <c r="HT148" i="4" s="1"/>
  <c r="HH148" i="4"/>
  <c r="GV148" i="4"/>
  <c r="GK148" i="4"/>
  <c r="GJ148" i="4" s="1"/>
  <c r="FA148" i="4"/>
  <c r="ES148" i="4"/>
  <c r="ER148" i="4" s="1"/>
  <c r="EK148" i="4"/>
  <c r="EJ148" i="4" s="1"/>
  <c r="DM148" i="4"/>
  <c r="DD148" i="4"/>
  <c r="CW148" i="4"/>
  <c r="CV148" i="4" s="1"/>
  <c r="CJ148" i="4"/>
  <c r="BU148" i="4"/>
  <c r="BT148" i="4" s="1"/>
  <c r="BM148" i="4"/>
  <c r="BL148" i="4" s="1"/>
  <c r="BE148" i="4"/>
  <c r="BD148" i="4" s="1"/>
  <c r="AN148" i="4"/>
  <c r="X148" i="4"/>
  <c r="KG147" i="4"/>
  <c r="KF147" i="4" s="1"/>
  <c r="JE147" i="4"/>
  <c r="JD147" i="4" s="1"/>
  <c r="IS147" i="4"/>
  <c r="IR147" i="4" s="1"/>
  <c r="HU147" i="4"/>
  <c r="HT147" i="4" s="1"/>
  <c r="HI147" i="4"/>
  <c r="HH147" i="4" s="1"/>
  <c r="GW147" i="4"/>
  <c r="GV147" i="4" s="1"/>
  <c r="GK147" i="4"/>
  <c r="GJ147" i="4" s="1"/>
  <c r="FA147" i="4"/>
  <c r="EZ147" i="4" s="1"/>
  <c r="ES147" i="4"/>
  <c r="ER147" i="4" s="1"/>
  <c r="EK147" i="4"/>
  <c r="EJ147" i="4" s="1"/>
  <c r="DE147" i="4"/>
  <c r="DD147" i="4" s="1"/>
  <c r="CW147" i="4"/>
  <c r="CV147" i="4" s="1"/>
  <c r="CK147" i="4"/>
  <c r="CJ147" i="4" s="1"/>
  <c r="BU147" i="4"/>
  <c r="BT147" i="4" s="1"/>
  <c r="BM147" i="4"/>
  <c r="BL147" i="4" s="1"/>
  <c r="BE147" i="4"/>
  <c r="BD147" i="4" s="1"/>
  <c r="AO147" i="4"/>
  <c r="AN147" i="4" s="1"/>
  <c r="Y147" i="4"/>
  <c r="X147" i="4" s="1"/>
  <c r="KG146" i="4"/>
  <c r="KF146" i="4" s="1"/>
  <c r="JE146" i="4"/>
  <c r="JD146" i="4" s="1"/>
  <c r="HU146" i="4"/>
  <c r="HT146" i="4" s="1"/>
  <c r="HI146" i="4"/>
  <c r="HH146" i="4" s="1"/>
  <c r="GW146" i="4"/>
  <c r="GV146" i="4" s="1"/>
  <c r="GK146" i="4"/>
  <c r="GJ146" i="4" s="1"/>
  <c r="FA146" i="4"/>
  <c r="EZ146" i="4" s="1"/>
  <c r="ES146" i="4"/>
  <c r="ER146" i="4" s="1"/>
  <c r="EK146" i="4"/>
  <c r="EJ146" i="4" s="1"/>
  <c r="CW146" i="4"/>
  <c r="CV146" i="4" s="1"/>
  <c r="CT146" i="4"/>
  <c r="CS146" i="4"/>
  <c r="CK146" i="4" s="1"/>
  <c r="CC146" i="4"/>
  <c r="BU146" i="4"/>
  <c r="BT146" i="4" s="1"/>
  <c r="BR146" i="4"/>
  <c r="DJ146" i="4" s="1"/>
  <c r="BQ146" i="4"/>
  <c r="DI146" i="4" s="1"/>
  <c r="DE146" i="4" s="1"/>
  <c r="DD146" i="4" s="1"/>
  <c r="BJ146" i="4"/>
  <c r="BI146" i="4"/>
  <c r="BE146" i="4" s="1"/>
  <c r="BD146" i="4" s="1"/>
  <c r="AO146" i="4"/>
  <c r="AN146" i="4" s="1"/>
  <c r="Y146" i="4"/>
  <c r="X146" i="4" s="1"/>
  <c r="KG145" i="4"/>
  <c r="KF145" i="4" s="1"/>
  <c r="JE145" i="4"/>
  <c r="JD145" i="4" s="1"/>
  <c r="IS145" i="4"/>
  <c r="IR145" i="4" s="1"/>
  <c r="HU145" i="4"/>
  <c r="HT145" i="4" s="1"/>
  <c r="HI145" i="4"/>
  <c r="HH145" i="4" s="1"/>
  <c r="GW145" i="4"/>
  <c r="GV145" i="4" s="1"/>
  <c r="GK145" i="4"/>
  <c r="GJ145" i="4" s="1"/>
  <c r="FA145" i="4"/>
  <c r="EZ145" i="4" s="1"/>
  <c r="ES145" i="4"/>
  <c r="ER145" i="4" s="1"/>
  <c r="EK145" i="4"/>
  <c r="EJ145" i="4" s="1"/>
  <c r="CW145" i="4"/>
  <c r="CV145" i="4" s="1"/>
  <c r="CS145" i="4"/>
  <c r="CK145" i="4" s="1"/>
  <c r="CJ145" i="4" s="1"/>
  <c r="BU145" i="4"/>
  <c r="BT145" i="4" s="1"/>
  <c r="BQ145" i="4"/>
  <c r="DI145" i="4" s="1"/>
  <c r="DE145" i="4" s="1"/>
  <c r="DD145" i="4" s="1"/>
  <c r="BI145" i="4"/>
  <c r="BE145" i="4" s="1"/>
  <c r="BD145" i="4" s="1"/>
  <c r="AO145" i="4"/>
  <c r="AN145" i="4" s="1"/>
  <c r="Y145" i="4"/>
  <c r="X145" i="4" s="1"/>
  <c r="KG144" i="4"/>
  <c r="KF144" i="4" s="1"/>
  <c r="JE144" i="4"/>
  <c r="JD144" i="4" s="1"/>
  <c r="IS144" i="4"/>
  <c r="IR144" i="4" s="1"/>
  <c r="HU144" i="4"/>
  <c r="HT144" i="4" s="1"/>
  <c r="HM144" i="4"/>
  <c r="HI144" i="4" s="1"/>
  <c r="HH144" i="4" s="1"/>
  <c r="GW144" i="4"/>
  <c r="GV144" i="4" s="1"/>
  <c r="GK144" i="4"/>
  <c r="GJ144" i="4" s="1"/>
  <c r="FA144" i="4"/>
  <c r="EZ144" i="4" s="1"/>
  <c r="ES144" i="4"/>
  <c r="ER144" i="4" s="1"/>
  <c r="EK144" i="4"/>
  <c r="EJ144" i="4" s="1"/>
  <c r="DE144" i="4"/>
  <c r="DD144" i="4" s="1"/>
  <c r="CW144" i="4"/>
  <c r="CV144" i="4" s="1"/>
  <c r="CJ144" i="4"/>
  <c r="BU144" i="4"/>
  <c r="BT144" i="4" s="1"/>
  <c r="BM144" i="4"/>
  <c r="BL144" i="4" s="1"/>
  <c r="BE144" i="4"/>
  <c r="BD144" i="4" s="1"/>
  <c r="AO144" i="4"/>
  <c r="AN144" i="4" s="1"/>
  <c r="Y144" i="4"/>
  <c r="X144" i="4" s="1"/>
  <c r="U144" i="4"/>
  <c r="H144" i="4"/>
  <c r="KF143" i="4"/>
  <c r="JE143" i="4"/>
  <c r="JD143" i="4" s="1"/>
  <c r="IR143" i="4"/>
  <c r="HI143" i="4"/>
  <c r="HH143" i="4" s="1"/>
  <c r="GW143" i="4"/>
  <c r="GV143" i="4" s="1"/>
  <c r="GN143" i="4"/>
  <c r="GK143" i="4" s="1"/>
  <c r="GJ143" i="4" s="1"/>
  <c r="FA143" i="4"/>
  <c r="EZ143" i="4" s="1"/>
  <c r="ES143" i="4"/>
  <c r="ER143" i="4" s="1"/>
  <c r="EK143" i="4"/>
  <c r="EJ143" i="4" s="1"/>
  <c r="CW143" i="4"/>
  <c r="CV143" i="4" s="1"/>
  <c r="CJ143" i="4"/>
  <c r="BT143" i="4"/>
  <c r="BM143" i="4"/>
  <c r="BL143" i="4" s="1"/>
  <c r="BE143" i="4"/>
  <c r="BD143" i="4" s="1"/>
  <c r="AO143" i="4"/>
  <c r="AN143" i="4" s="1"/>
  <c r="Y143" i="4"/>
  <c r="X143" i="4" s="1"/>
  <c r="H143" i="4"/>
  <c r="KG142" i="4"/>
  <c r="KF142" i="4" s="1"/>
  <c r="JE142" i="4"/>
  <c r="JD142" i="4" s="1"/>
  <c r="IR142" i="4"/>
  <c r="HT142" i="4"/>
  <c r="HI142" i="4"/>
  <c r="HH142" i="4" s="1"/>
  <c r="GV142" i="4"/>
  <c r="GK142" i="4"/>
  <c r="GJ142" i="4" s="1"/>
  <c r="ES142" i="4"/>
  <c r="ER142" i="4" s="1"/>
  <c r="EK142" i="4"/>
  <c r="EJ142" i="4" s="1"/>
  <c r="DM142" i="4"/>
  <c r="DI142" i="4"/>
  <c r="DD142" i="4"/>
  <c r="CW142" i="4"/>
  <c r="CV142" i="4" s="1"/>
  <c r="CS142" i="4"/>
  <c r="CK142" i="4" s="1"/>
  <c r="CJ142" i="4" s="1"/>
  <c r="BU142" i="4"/>
  <c r="BT142" i="4" s="1"/>
  <c r="BQ142" i="4"/>
  <c r="BM142" i="4" s="1"/>
  <c r="BL142" i="4" s="1"/>
  <c r="BI142" i="4"/>
  <c r="BE142" i="4" s="1"/>
  <c r="BD142" i="4" s="1"/>
  <c r="AO142" i="4"/>
  <c r="AN142" i="4" s="1"/>
  <c r="Y142" i="4"/>
  <c r="X142" i="4" s="1"/>
  <c r="KG141" i="4"/>
  <c r="KF141" i="4" s="1"/>
  <c r="JE141" i="4"/>
  <c r="JD141" i="4" s="1"/>
  <c r="IS141" i="4"/>
  <c r="IR141" i="4" s="1"/>
  <c r="HT141" i="4"/>
  <c r="HI141" i="4"/>
  <c r="HH141" i="4" s="1"/>
  <c r="GW141" i="4"/>
  <c r="GV141" i="4" s="1"/>
  <c r="GK141" i="4"/>
  <c r="GJ141" i="4" s="1"/>
  <c r="FA141" i="4"/>
  <c r="EZ141" i="4" s="1"/>
  <c r="ER141" i="4"/>
  <c r="EK141" i="4"/>
  <c r="EJ141" i="4" s="1"/>
  <c r="DE141" i="4"/>
  <c r="DD141" i="4" s="1"/>
  <c r="CW141" i="4"/>
  <c r="CV141" i="4" s="1"/>
  <c r="CK141" i="4"/>
  <c r="CJ141" i="4" s="1"/>
  <c r="BU141" i="4"/>
  <c r="BT141" i="4" s="1"/>
  <c r="BQ141" i="4"/>
  <c r="BM141" i="4" s="1"/>
  <c r="BL141" i="4" s="1"/>
  <c r="BI141" i="4"/>
  <c r="BE141" i="4" s="1"/>
  <c r="BD141" i="4" s="1"/>
  <c r="AO141" i="4"/>
  <c r="AN141" i="4" s="1"/>
  <c r="Y141" i="4"/>
  <c r="X141" i="4" s="1"/>
  <c r="KG140" i="4"/>
  <c r="KF140" i="4" s="1"/>
  <c r="JE140" i="4"/>
  <c r="JD140" i="4" s="1"/>
  <c r="IS140" i="4"/>
  <c r="IR140" i="4" s="1"/>
  <c r="HT140" i="4"/>
  <c r="HI140" i="4"/>
  <c r="HH140" i="4" s="1"/>
  <c r="GW140" i="4"/>
  <c r="GV140" i="4" s="1"/>
  <c r="GN140" i="4"/>
  <c r="GK140" i="4" s="1"/>
  <c r="GJ140" i="4" s="1"/>
  <c r="FA140" i="4"/>
  <c r="EZ140" i="4" s="1"/>
  <c r="ES140" i="4"/>
  <c r="ER140" i="4" s="1"/>
  <c r="EK140" i="4"/>
  <c r="EJ140" i="4" s="1"/>
  <c r="DI140" i="4"/>
  <c r="DE140" i="4" s="1"/>
  <c r="DD140" i="4" s="1"/>
  <c r="CW140" i="4"/>
  <c r="CV140" i="4" s="1"/>
  <c r="CO140" i="4"/>
  <c r="CK140" i="4" s="1"/>
  <c r="CJ140" i="4" s="1"/>
  <c r="BU140" i="4"/>
  <c r="BT140" i="4" s="1"/>
  <c r="BQ140" i="4"/>
  <c r="BM140" i="4" s="1"/>
  <c r="BL140" i="4" s="1"/>
  <c r="BI140" i="4"/>
  <c r="BE140" i="4" s="1"/>
  <c r="BD140" i="4" s="1"/>
  <c r="AO140" i="4"/>
  <c r="AN140" i="4" s="1"/>
  <c r="Y140" i="4"/>
  <c r="X140" i="4" s="1"/>
  <c r="H140" i="4"/>
  <c r="KF139" i="4"/>
  <c r="JE139" i="4"/>
  <c r="JD139" i="4" s="1"/>
  <c r="IS139" i="4"/>
  <c r="IR139" i="4" s="1"/>
  <c r="GK139" i="4"/>
  <c r="GJ139" i="4" s="1"/>
  <c r="GC139" i="4"/>
  <c r="FA139" i="4"/>
  <c r="EZ139" i="4" s="1"/>
  <c r="ES139" i="4"/>
  <c r="ER139" i="4" s="1"/>
  <c r="EK139" i="4"/>
  <c r="EJ139" i="4" s="1"/>
  <c r="CW139" i="4"/>
  <c r="CV139" i="4" s="1"/>
  <c r="CJ139" i="4"/>
  <c r="BT139" i="4"/>
  <c r="BM139" i="4"/>
  <c r="BL139" i="4" s="1"/>
  <c r="BE139" i="4"/>
  <c r="BD139" i="4" s="1"/>
  <c r="AO139" i="4"/>
  <c r="AN139" i="4" s="1"/>
  <c r="Y139" i="4"/>
  <c r="X139" i="4" s="1"/>
  <c r="KG138" i="4"/>
  <c r="KF138" i="4" s="1"/>
  <c r="JE138" i="4"/>
  <c r="JD138" i="4" s="1"/>
  <c r="IS138" i="4"/>
  <c r="IR138" i="4" s="1"/>
  <c r="HT138" i="4"/>
  <c r="HI138" i="4"/>
  <c r="HH138" i="4" s="1"/>
  <c r="GW138" i="4"/>
  <c r="GV138" i="4" s="1"/>
  <c r="GK138" i="4"/>
  <c r="GJ138" i="4" s="1"/>
  <c r="GC138" i="4"/>
  <c r="FA138" i="4"/>
  <c r="EZ138" i="4" s="1"/>
  <c r="ES138" i="4"/>
  <c r="ER138" i="4" s="1"/>
  <c r="EK138" i="4"/>
  <c r="EJ138" i="4" s="1"/>
  <c r="CW138" i="4"/>
  <c r="CV138" i="4" s="1"/>
  <c r="CK138" i="4"/>
  <c r="CJ138" i="4" s="1"/>
  <c r="BU138" i="4"/>
  <c r="BT138" i="4" s="1"/>
  <c r="BM138" i="4"/>
  <c r="BL138" i="4" s="1"/>
  <c r="BE138" i="4"/>
  <c r="BD138" i="4" s="1"/>
  <c r="AO138" i="4"/>
  <c r="AN138" i="4" s="1"/>
  <c r="Y138" i="4"/>
  <c r="X138" i="4" s="1"/>
  <c r="H138" i="4"/>
  <c r="KG137" i="4"/>
  <c r="KF137" i="4" s="1"/>
  <c r="JE137" i="4"/>
  <c r="JD137" i="4" s="1"/>
  <c r="IS137" i="4"/>
  <c r="IR137" i="4" s="1"/>
  <c r="HU137" i="4"/>
  <c r="HT137" i="4" s="1"/>
  <c r="HI137" i="4"/>
  <c r="HH137" i="4" s="1"/>
  <c r="GW137" i="4"/>
  <c r="GV137" i="4" s="1"/>
  <c r="GK137" i="4"/>
  <c r="GJ137" i="4" s="1"/>
  <c r="FA137" i="4"/>
  <c r="EZ137" i="4" s="1"/>
  <c r="ES137" i="4"/>
  <c r="ER137" i="4" s="1"/>
  <c r="EK137" i="4"/>
  <c r="EJ137" i="4" s="1"/>
  <c r="DM137" i="4"/>
  <c r="DE137" i="4" s="1"/>
  <c r="DD137" i="4" s="1"/>
  <c r="CW137" i="4"/>
  <c r="CV137" i="4" s="1"/>
  <c r="CS137" i="4"/>
  <c r="CJ137" i="4"/>
  <c r="BU137" i="4"/>
  <c r="BT137" i="4" s="1"/>
  <c r="BQ137" i="4"/>
  <c r="BM137" i="4" s="1"/>
  <c r="BL137" i="4" s="1"/>
  <c r="BI137" i="4"/>
  <c r="BE137" i="4" s="1"/>
  <c r="BD137" i="4" s="1"/>
  <c r="AO137" i="4"/>
  <c r="AN137" i="4" s="1"/>
  <c r="Y137" i="4"/>
  <c r="X137" i="4" s="1"/>
  <c r="H137" i="4"/>
  <c r="KG136" i="4"/>
  <c r="KF136" i="4" s="1"/>
  <c r="JE136" i="4"/>
  <c r="JD136" i="4" s="1"/>
  <c r="IS136" i="4"/>
  <c r="IR136" i="4" s="1"/>
  <c r="HU136" i="4"/>
  <c r="HT136" i="4" s="1"/>
  <c r="HI136" i="4"/>
  <c r="HH136" i="4" s="1"/>
  <c r="GW136" i="4"/>
  <c r="GV136" i="4" s="1"/>
  <c r="GK136" i="4"/>
  <c r="GJ136" i="4" s="1"/>
  <c r="FA136" i="4"/>
  <c r="EZ136" i="4" s="1"/>
  <c r="ES136" i="4"/>
  <c r="ER136" i="4" s="1"/>
  <c r="EK136" i="4"/>
  <c r="EJ136" i="4" s="1"/>
  <c r="DM136" i="4"/>
  <c r="DI136" i="4"/>
  <c r="CW136" i="4"/>
  <c r="CV136" i="4" s="1"/>
  <c r="CS136" i="4"/>
  <c r="CJ136" i="4"/>
  <c r="BU136" i="4"/>
  <c r="BT136" i="4" s="1"/>
  <c r="BM136" i="4"/>
  <c r="BL136" i="4" s="1"/>
  <c r="BE136" i="4"/>
  <c r="BD136" i="4" s="1"/>
  <c r="AO136" i="4"/>
  <c r="AN136" i="4" s="1"/>
  <c r="Y136" i="4"/>
  <c r="X136" i="4" s="1"/>
  <c r="H136" i="4"/>
  <c r="KG135" i="4"/>
  <c r="KF135" i="4" s="1"/>
  <c r="JE135" i="4"/>
  <c r="JD135" i="4" s="1"/>
  <c r="HU135" i="4"/>
  <c r="HT135" i="4" s="1"/>
  <c r="GK135" i="4"/>
  <c r="GJ135" i="4" s="1"/>
  <c r="FA135" i="4"/>
  <c r="EZ135" i="4" s="1"/>
  <c r="ES135" i="4"/>
  <c r="ER135" i="4" s="1"/>
  <c r="EJ135" i="4"/>
  <c r="CW135" i="4"/>
  <c r="CV135" i="4" s="1"/>
  <c r="CK135" i="4"/>
  <c r="CJ135" i="4" s="1"/>
  <c r="BT135" i="4"/>
  <c r="BM135" i="4"/>
  <c r="BL135" i="4" s="1"/>
  <c r="BE135" i="4"/>
  <c r="BD135" i="4" s="1"/>
  <c r="AO135" i="4"/>
  <c r="AN135" i="4" s="1"/>
  <c r="Y135" i="4"/>
  <c r="X135" i="4" s="1"/>
  <c r="KG134" i="4"/>
  <c r="KF134" i="4" s="1"/>
  <c r="JE134" i="4"/>
  <c r="JD134" i="4" s="1"/>
  <c r="IS134" i="4"/>
  <c r="IR134" i="4" s="1"/>
  <c r="HU134" i="4"/>
  <c r="HT134" i="4" s="1"/>
  <c r="HI134" i="4"/>
  <c r="HH134" i="4" s="1"/>
  <c r="GW134" i="4"/>
  <c r="GV134" i="4" s="1"/>
  <c r="GK134" i="4"/>
  <c r="GJ134" i="4" s="1"/>
  <c r="GC134" i="4"/>
  <c r="FA134" i="4"/>
  <c r="EZ134" i="4" s="1"/>
  <c r="ES134" i="4"/>
  <c r="ER134" i="4" s="1"/>
  <c r="EK134" i="4"/>
  <c r="EJ134" i="4" s="1"/>
  <c r="DI134" i="4"/>
  <c r="DE134" i="4" s="1"/>
  <c r="DD134" i="4" s="1"/>
  <c r="CW134" i="4"/>
  <c r="CV134" i="4" s="1"/>
  <c r="CS134" i="4"/>
  <c r="CJ134" i="4"/>
  <c r="BU134" i="4"/>
  <c r="BT134" i="4" s="1"/>
  <c r="BM134" i="4"/>
  <c r="BL134" i="4" s="1"/>
  <c r="BE134" i="4"/>
  <c r="BD134" i="4" s="1"/>
  <c r="AO134" i="4"/>
  <c r="AN134" i="4" s="1"/>
  <c r="Y134" i="4"/>
  <c r="X134" i="4" s="1"/>
  <c r="U134" i="4"/>
  <c r="H134" i="4"/>
  <c r="KG133" i="4"/>
  <c r="KF133" i="4" s="1"/>
  <c r="JE133" i="4"/>
  <c r="JD133" i="4" s="1"/>
  <c r="IS133" i="4"/>
  <c r="IR133" i="4" s="1"/>
  <c r="HU133" i="4"/>
  <c r="HT133" i="4" s="1"/>
  <c r="HI133" i="4"/>
  <c r="HH133" i="4" s="1"/>
  <c r="GW133" i="4"/>
  <c r="GV133" i="4" s="1"/>
  <c r="GK133" i="4"/>
  <c r="GJ133" i="4" s="1"/>
  <c r="FA133" i="4"/>
  <c r="EZ133" i="4" s="1"/>
  <c r="ES133" i="4"/>
  <c r="ER133" i="4" s="1"/>
  <c r="EK133" i="4"/>
  <c r="EJ133" i="4" s="1"/>
  <c r="DE133" i="4"/>
  <c r="DD133" i="4" s="1"/>
  <c r="CW133" i="4"/>
  <c r="CV133" i="4" s="1"/>
  <c r="CT133" i="4"/>
  <c r="CS133" i="4"/>
  <c r="CO133" i="4"/>
  <c r="CC133" i="4"/>
  <c r="BU133" i="4"/>
  <c r="BT133" i="4" s="1"/>
  <c r="BM133" i="4"/>
  <c r="BL133" i="4" s="1"/>
  <c r="BE133" i="4"/>
  <c r="BD133" i="4" s="1"/>
  <c r="AO133" i="4"/>
  <c r="AN133" i="4" s="1"/>
  <c r="Y133" i="4"/>
  <c r="X133" i="4" s="1"/>
  <c r="H133" i="4"/>
  <c r="KG132" i="4"/>
  <c r="KF132" i="4" s="1"/>
  <c r="JE132" i="4"/>
  <c r="JD132" i="4" s="1"/>
  <c r="IS132" i="4"/>
  <c r="IR132" i="4" s="1"/>
  <c r="HT132" i="4"/>
  <c r="HI132" i="4"/>
  <c r="HH132" i="4" s="1"/>
  <c r="GW132" i="4"/>
  <c r="GV132" i="4" s="1"/>
  <c r="GK132" i="4"/>
  <c r="GJ132" i="4" s="1"/>
  <c r="GC132" i="4"/>
  <c r="FE132" i="4"/>
  <c r="FA132" i="4" s="1"/>
  <c r="EZ132" i="4" s="1"/>
  <c r="ES132" i="4"/>
  <c r="ER132" i="4" s="1"/>
  <c r="EK132" i="4"/>
  <c r="EJ132" i="4" s="1"/>
  <c r="DM132" i="4"/>
  <c r="DJ132" i="4"/>
  <c r="DI132" i="4"/>
  <c r="CW132" i="4"/>
  <c r="CV132" i="4" s="1"/>
  <c r="CK132" i="4"/>
  <c r="CJ132" i="4" s="1"/>
  <c r="CC132" i="4"/>
  <c r="BU132" i="4"/>
  <c r="BT132" i="4" s="1"/>
  <c r="BM132" i="4"/>
  <c r="BL132" i="4" s="1"/>
  <c r="BE132" i="4"/>
  <c r="BD132" i="4" s="1"/>
  <c r="AO132" i="4"/>
  <c r="AN132" i="4" s="1"/>
  <c r="Y132" i="4"/>
  <c r="X132" i="4" s="1"/>
  <c r="KG131" i="4"/>
  <c r="KF131" i="4" s="1"/>
  <c r="KC131" i="4"/>
  <c r="JE131" i="4"/>
  <c r="JD131" i="4" s="1"/>
  <c r="IR131" i="4"/>
  <c r="HY131" i="4"/>
  <c r="HU131" i="4" s="1"/>
  <c r="HT131" i="4" s="1"/>
  <c r="HI131" i="4"/>
  <c r="HH131" i="4" s="1"/>
  <c r="GW131" i="4"/>
  <c r="GV131" i="4" s="1"/>
  <c r="GK131" i="4"/>
  <c r="GJ131" i="4" s="1"/>
  <c r="GC131" i="4"/>
  <c r="FA131" i="4"/>
  <c r="EZ131" i="4" s="1"/>
  <c r="ES131" i="4"/>
  <c r="ER131" i="4" s="1"/>
  <c r="EK131" i="4"/>
  <c r="EJ131" i="4" s="1"/>
  <c r="DM131" i="4"/>
  <c r="DE131" i="4" s="1"/>
  <c r="DD131" i="4" s="1"/>
  <c r="CW131" i="4"/>
  <c r="CV131" i="4" s="1"/>
  <c r="CT131" i="4"/>
  <c r="CS131" i="4"/>
  <c r="CK131" i="4" s="1"/>
  <c r="CJ131" i="4" s="1"/>
  <c r="BU131" i="4"/>
  <c r="BT131" i="4" s="1"/>
  <c r="BM131" i="4"/>
  <c r="BL131" i="4" s="1"/>
  <c r="BE131" i="4"/>
  <c r="BD131" i="4" s="1"/>
  <c r="AO131" i="4"/>
  <c r="AN131" i="4" s="1"/>
  <c r="Y131" i="4"/>
  <c r="X131" i="4" s="1"/>
  <c r="KG130" i="4"/>
  <c r="KF130" i="4" s="1"/>
  <c r="JE130" i="4"/>
  <c r="JD130" i="4" s="1"/>
  <c r="IS130" i="4"/>
  <c r="IR130" i="4" s="1"/>
  <c r="HU130" i="4"/>
  <c r="HT130" i="4" s="1"/>
  <c r="HI130" i="4"/>
  <c r="HH130" i="4" s="1"/>
  <c r="GW130" i="4"/>
  <c r="GV130" i="4" s="1"/>
  <c r="GK130" i="4"/>
  <c r="GJ130" i="4" s="1"/>
  <c r="GC130" i="4"/>
  <c r="FA130" i="4"/>
  <c r="EZ130" i="4" s="1"/>
  <c r="ES130" i="4"/>
  <c r="ER130" i="4" s="1"/>
  <c r="EK130" i="4"/>
  <c r="EJ130" i="4" s="1"/>
  <c r="DE130" i="4"/>
  <c r="DD130" i="4" s="1"/>
  <c r="CW130" i="4"/>
  <c r="CV130" i="4" s="1"/>
  <c r="CK130" i="4"/>
  <c r="CJ130" i="4" s="1"/>
  <c r="BT130" i="4"/>
  <c r="BM130" i="4"/>
  <c r="BL130" i="4" s="1"/>
  <c r="BE130" i="4"/>
  <c r="BD130" i="4" s="1"/>
  <c r="AO130" i="4"/>
  <c r="AN130" i="4" s="1"/>
  <c r="Y130" i="4"/>
  <c r="X130" i="4" s="1"/>
  <c r="KG129" i="4"/>
  <c r="KF129" i="4" s="1"/>
  <c r="JE129" i="4"/>
  <c r="JD129" i="4" s="1"/>
  <c r="IS129" i="4"/>
  <c r="IR129" i="4" s="1"/>
  <c r="HU129" i="4"/>
  <c r="HT129" i="4" s="1"/>
  <c r="HI129" i="4"/>
  <c r="HH129" i="4" s="1"/>
  <c r="GW129" i="4"/>
  <c r="GV129" i="4" s="1"/>
  <c r="GK129" i="4"/>
  <c r="GJ129" i="4" s="1"/>
  <c r="GC129" i="4"/>
  <c r="FA129" i="4"/>
  <c r="EZ129" i="4" s="1"/>
  <c r="ES129" i="4"/>
  <c r="ER129" i="4" s="1"/>
  <c r="EK129" i="4"/>
  <c r="EJ129" i="4" s="1"/>
  <c r="DN129" i="4"/>
  <c r="DM129" i="4"/>
  <c r="DJ129" i="4"/>
  <c r="DI129" i="4"/>
  <c r="CW129" i="4"/>
  <c r="CV129" i="4" s="1"/>
  <c r="CK129" i="4"/>
  <c r="CJ129" i="4" s="1"/>
  <c r="BU129" i="4"/>
  <c r="BT129" i="4" s="1"/>
  <c r="BM129" i="4"/>
  <c r="BL129" i="4" s="1"/>
  <c r="BE129" i="4"/>
  <c r="BD129" i="4" s="1"/>
  <c r="AO129" i="4"/>
  <c r="AN129" i="4" s="1"/>
  <c r="Y129" i="4"/>
  <c r="X129" i="4" s="1"/>
  <c r="KG128" i="4"/>
  <c r="KF128" i="4" s="1"/>
  <c r="JE128" i="4"/>
  <c r="JD128" i="4" s="1"/>
  <c r="IS128" i="4"/>
  <c r="IR128" i="4" s="1"/>
  <c r="HU128" i="4"/>
  <c r="HT128" i="4" s="1"/>
  <c r="HI128" i="4"/>
  <c r="HH128" i="4" s="1"/>
  <c r="GW128" i="4"/>
  <c r="GV128" i="4" s="1"/>
  <c r="GK128" i="4"/>
  <c r="GJ128" i="4" s="1"/>
  <c r="GC128" i="4"/>
  <c r="FA128" i="4"/>
  <c r="EZ128" i="4" s="1"/>
  <c r="ES128" i="4"/>
  <c r="ER128" i="4" s="1"/>
  <c r="EK128" i="4"/>
  <c r="EJ128" i="4" s="1"/>
  <c r="DN128" i="4"/>
  <c r="DM128" i="4"/>
  <c r="DJ128" i="4"/>
  <c r="DI128" i="4"/>
  <c r="CW128" i="4"/>
  <c r="CV128" i="4" s="1"/>
  <c r="CJ128" i="4"/>
  <c r="BT128" i="4"/>
  <c r="BM128" i="4"/>
  <c r="BL128" i="4" s="1"/>
  <c r="BE128" i="4"/>
  <c r="BD128" i="4" s="1"/>
  <c r="AO128" i="4"/>
  <c r="AN128" i="4" s="1"/>
  <c r="Y128" i="4"/>
  <c r="X128" i="4" s="1"/>
  <c r="BD127" i="4"/>
  <c r="H127" i="4"/>
  <c r="BD126" i="4"/>
  <c r="KG125" i="4"/>
  <c r="KF125" i="4" s="1"/>
  <c r="JE125" i="4"/>
  <c r="JD125" i="4" s="1"/>
  <c r="IR125" i="4"/>
  <c r="HU125" i="4"/>
  <c r="HT125" i="4" s="1"/>
  <c r="HI125" i="4"/>
  <c r="HH125" i="4" s="1"/>
  <c r="GV125" i="4"/>
  <c r="GK125" i="4"/>
  <c r="GJ125" i="4" s="1"/>
  <c r="FA125" i="4"/>
  <c r="EZ125" i="4" s="1"/>
  <c r="ES125" i="4"/>
  <c r="ER125" i="4" s="1"/>
  <c r="EK125" i="4"/>
  <c r="EJ125" i="4" s="1"/>
  <c r="DN125" i="4"/>
  <c r="DM125" i="4"/>
  <c r="CW125" i="4"/>
  <c r="CV125" i="4" s="1"/>
  <c r="CT125" i="4"/>
  <c r="CS125" i="4"/>
  <c r="CJ125" i="4"/>
  <c r="CC125" i="4"/>
  <c r="BT125" i="4"/>
  <c r="BR125" i="4"/>
  <c r="DJ125" i="4" s="1"/>
  <c r="BQ125" i="4"/>
  <c r="BM125" i="4" s="1"/>
  <c r="BL125" i="4" s="1"/>
  <c r="BJ125" i="4"/>
  <c r="BI125" i="4"/>
  <c r="BE125" i="4" s="1"/>
  <c r="BD125" i="4" s="1"/>
  <c r="AO125" i="4"/>
  <c r="AN125" i="4" s="1"/>
  <c r="Y125" i="4"/>
  <c r="X125" i="4" s="1"/>
  <c r="U125" i="4"/>
  <c r="H125" i="4"/>
  <c r="BD124" i="4"/>
  <c r="KG123" i="4"/>
  <c r="KF123" i="4" s="1"/>
  <c r="JE123" i="4"/>
  <c r="JD123" i="4" s="1"/>
  <c r="IS123" i="4"/>
  <c r="IR123" i="4" s="1"/>
  <c r="HU123" i="4"/>
  <c r="HT123" i="4" s="1"/>
  <c r="HI123" i="4"/>
  <c r="HH123" i="4" s="1"/>
  <c r="GV123" i="4"/>
  <c r="GN123" i="4"/>
  <c r="GK123" i="4" s="1"/>
  <c r="GJ123" i="4" s="1"/>
  <c r="EZ123" i="4"/>
  <c r="ER123" i="4"/>
  <c r="EK123" i="4"/>
  <c r="EJ123" i="4" s="1"/>
  <c r="DE123" i="4"/>
  <c r="DD123" i="4" s="1"/>
  <c r="CV123" i="4"/>
  <c r="CK123" i="4"/>
  <c r="CJ123" i="4" s="1"/>
  <c r="BT123" i="4"/>
  <c r="BM123" i="4"/>
  <c r="BL123" i="4" s="1"/>
  <c r="BE123" i="4"/>
  <c r="BD123" i="4" s="1"/>
  <c r="AO123" i="4"/>
  <c r="AN123" i="4" s="1"/>
  <c r="Y123" i="4"/>
  <c r="X123" i="4" s="1"/>
  <c r="KG122" i="4"/>
  <c r="KF122" i="4" s="1"/>
  <c r="JE122" i="4"/>
  <c r="JD122" i="4" s="1"/>
  <c r="IS122" i="4"/>
  <c r="IR122" i="4" s="1"/>
  <c r="HU122" i="4"/>
  <c r="HT122" i="4" s="1"/>
  <c r="HI122" i="4"/>
  <c r="HH122" i="4" s="1"/>
  <c r="GW122" i="4"/>
  <c r="GV122" i="4" s="1"/>
  <c r="GN122" i="4"/>
  <c r="GK122" i="4" s="1"/>
  <c r="GJ122" i="4" s="1"/>
  <c r="FA122" i="4"/>
  <c r="EZ122" i="4" s="1"/>
  <c r="ES122" i="4"/>
  <c r="ER122" i="4" s="1"/>
  <c r="EK122" i="4"/>
  <c r="EJ122" i="4" s="1"/>
  <c r="CW122" i="4"/>
  <c r="CV122" i="4" s="1"/>
  <c r="CT122" i="4"/>
  <c r="CS122" i="4"/>
  <c r="CK122" i="4" s="1"/>
  <c r="CJ122" i="4" s="1"/>
  <c r="BT122" i="4"/>
  <c r="BR122" i="4"/>
  <c r="DJ122" i="4" s="1"/>
  <c r="BQ122" i="4"/>
  <c r="DI122" i="4" s="1"/>
  <c r="DE122" i="4" s="1"/>
  <c r="DD122" i="4" s="1"/>
  <c r="BJ122" i="4"/>
  <c r="BI122" i="4"/>
  <c r="BE122" i="4" s="1"/>
  <c r="BD122" i="4" s="1"/>
  <c r="AO122" i="4"/>
  <c r="AN122" i="4" s="1"/>
  <c r="Y122" i="4"/>
  <c r="X122" i="4" s="1"/>
  <c r="H122" i="4"/>
  <c r="KG121" i="4"/>
  <c r="KF121" i="4" s="1"/>
  <c r="JE121" i="4"/>
  <c r="JD121" i="4" s="1"/>
  <c r="IR121" i="4"/>
  <c r="HU121" i="4"/>
  <c r="HI121" i="4"/>
  <c r="GW121" i="4"/>
  <c r="GV121" i="4" s="1"/>
  <c r="GN121" i="4"/>
  <c r="GK121" i="4" s="1"/>
  <c r="GJ121" i="4" s="1"/>
  <c r="FA121" i="4"/>
  <c r="EZ121" i="4" s="1"/>
  <c r="ES121" i="4"/>
  <c r="ER121" i="4" s="1"/>
  <c r="EK121" i="4"/>
  <c r="EJ121" i="4" s="1"/>
  <c r="DD121" i="4"/>
  <c r="CO121" i="4"/>
  <c r="CK121" i="4" s="1"/>
  <c r="CJ121" i="4" s="1"/>
  <c r="BT121" i="4"/>
  <c r="BM121" i="4"/>
  <c r="BL121" i="4" s="1"/>
  <c r="BE121" i="4"/>
  <c r="BD121" i="4" s="1"/>
  <c r="AO121" i="4"/>
  <c r="AN121" i="4" s="1"/>
  <c r="Y121" i="4"/>
  <c r="X121" i="4" s="1"/>
  <c r="H121" i="4"/>
  <c r="KG120" i="4"/>
  <c r="KF120" i="4" s="1"/>
  <c r="JE120" i="4"/>
  <c r="JD120" i="4" s="1"/>
  <c r="IS120" i="4"/>
  <c r="IR120" i="4" s="1"/>
  <c r="HU120" i="4"/>
  <c r="HT120" i="4" s="1"/>
  <c r="HI120" i="4"/>
  <c r="HH120" i="4" s="1"/>
  <c r="GW120" i="4"/>
  <c r="GV120" i="4" s="1"/>
  <c r="GK120" i="4"/>
  <c r="GJ120" i="4" s="1"/>
  <c r="GC120" i="4"/>
  <c r="FA120" i="4"/>
  <c r="EZ120" i="4" s="1"/>
  <c r="ES120" i="4"/>
  <c r="ER120" i="4" s="1"/>
  <c r="EK120" i="4"/>
  <c r="EJ120" i="4" s="1"/>
  <c r="DE120" i="4"/>
  <c r="DD120" i="4" s="1"/>
  <c r="CW120" i="4"/>
  <c r="CV120" i="4" s="1"/>
  <c r="CK120" i="4"/>
  <c r="CJ120" i="4" s="1"/>
  <c r="CC120" i="4"/>
  <c r="BU120" i="4"/>
  <c r="BT120" i="4" s="1"/>
  <c r="BM120" i="4"/>
  <c r="BL120" i="4" s="1"/>
  <c r="BE120" i="4"/>
  <c r="BD120" i="4" s="1"/>
  <c r="AO120" i="4"/>
  <c r="AN120" i="4" s="1"/>
  <c r="Y120" i="4"/>
  <c r="X120" i="4" s="1"/>
  <c r="U120" i="4"/>
  <c r="KG119" i="4"/>
  <c r="KF119" i="4" s="1"/>
  <c r="JE119" i="4"/>
  <c r="JD119" i="4" s="1"/>
  <c r="IS119" i="4"/>
  <c r="IR119" i="4" s="1"/>
  <c r="HU119" i="4"/>
  <c r="HT119" i="4" s="1"/>
  <c r="HI119" i="4"/>
  <c r="HH119" i="4" s="1"/>
  <c r="GV119" i="4"/>
  <c r="GK119" i="4"/>
  <c r="GJ119" i="4" s="1"/>
  <c r="FA119" i="4"/>
  <c r="EZ119" i="4" s="1"/>
  <c r="ER119" i="4"/>
  <c r="EJ119" i="4"/>
  <c r="DE119" i="4"/>
  <c r="DD119" i="4" s="1"/>
  <c r="CW119" i="4"/>
  <c r="CV119" i="4" s="1"/>
  <c r="CK119" i="4"/>
  <c r="CJ119" i="4" s="1"/>
  <c r="BT119" i="4"/>
  <c r="BM119" i="4"/>
  <c r="BL119" i="4" s="1"/>
  <c r="BE119" i="4"/>
  <c r="BD119" i="4" s="1"/>
  <c r="AO119" i="4"/>
  <c r="AN119" i="4" s="1"/>
  <c r="Y119" i="4"/>
  <c r="X119" i="4" s="1"/>
  <c r="JE118" i="4"/>
  <c r="JD118" i="4" s="1"/>
  <c r="GK118" i="4"/>
  <c r="GJ118" i="4" s="1"/>
  <c r="FA118" i="4"/>
  <c r="EZ118" i="4" s="1"/>
  <c r="ES118" i="4"/>
  <c r="ER118" i="4" s="1"/>
  <c r="EK118" i="4"/>
  <c r="EJ118" i="4" s="1"/>
  <c r="DM118" i="4"/>
  <c r="DD118" i="4"/>
  <c r="CW118" i="4"/>
  <c r="BU118" i="4"/>
  <c r="BT118" i="4" s="1"/>
  <c r="BR118" i="4"/>
  <c r="DJ118" i="4" s="1"/>
  <c r="BQ118" i="4"/>
  <c r="DI118" i="4" s="1"/>
  <c r="BJ118" i="4"/>
  <c r="CT118" i="4" s="1"/>
  <c r="BI118" i="4"/>
  <c r="CS118" i="4" s="1"/>
  <c r="AO118" i="4"/>
  <c r="AN118" i="4" s="1"/>
  <c r="Y118" i="4"/>
  <c r="X118" i="4" s="1"/>
  <c r="KG117" i="4"/>
  <c r="KF117" i="4" s="1"/>
  <c r="JE117" i="4"/>
  <c r="JD117" i="4" s="1"/>
  <c r="IS117" i="4"/>
  <c r="IR117" i="4" s="1"/>
  <c r="HU117" i="4"/>
  <c r="HT117" i="4" s="1"/>
  <c r="HI117" i="4"/>
  <c r="HH117" i="4" s="1"/>
  <c r="GW117" i="4"/>
  <c r="GV117" i="4" s="1"/>
  <c r="GK117" i="4"/>
  <c r="GJ117" i="4" s="1"/>
  <c r="FA117" i="4"/>
  <c r="EZ117" i="4" s="1"/>
  <c r="ER117" i="4"/>
  <c r="EJ117" i="4"/>
  <c r="DJ117" i="4"/>
  <c r="CW117" i="4"/>
  <c r="CV117" i="4" s="1"/>
  <c r="CS117" i="4"/>
  <c r="BU117" i="4"/>
  <c r="BT117" i="4" s="1"/>
  <c r="BQ117" i="4"/>
  <c r="DI117" i="4" s="1"/>
  <c r="DE117" i="4" s="1"/>
  <c r="DD117" i="4" s="1"/>
  <c r="BL117" i="4"/>
  <c r="BI117" i="4"/>
  <c r="BD117" i="4"/>
  <c r="AO117" i="4"/>
  <c r="AN117" i="4" s="1"/>
  <c r="Y117" i="4"/>
  <c r="X117" i="4" s="1"/>
  <c r="KG116" i="4"/>
  <c r="KF116" i="4" s="1"/>
  <c r="JE116" i="4"/>
  <c r="JD116" i="4" s="1"/>
  <c r="HU116" i="4"/>
  <c r="HT116" i="4" s="1"/>
  <c r="HI116" i="4"/>
  <c r="HH116" i="4" s="1"/>
  <c r="GW116" i="4"/>
  <c r="GV116" i="4" s="1"/>
  <c r="GK116" i="4"/>
  <c r="GJ116" i="4" s="1"/>
  <c r="FA116" i="4"/>
  <c r="EZ116" i="4" s="1"/>
  <c r="ER116" i="4"/>
  <c r="EJ116" i="4"/>
  <c r="DI116" i="4"/>
  <c r="DE116" i="4" s="1"/>
  <c r="DD116" i="4" s="1"/>
  <c r="CV116" i="4"/>
  <c r="CK116" i="4"/>
  <c r="CJ116" i="4" s="1"/>
  <c r="BU116" i="4"/>
  <c r="BT116" i="4" s="1"/>
  <c r="BQ116" i="4"/>
  <c r="BL116" i="4"/>
  <c r="BI116" i="4"/>
  <c r="BD116" i="4"/>
  <c r="AO116" i="4"/>
  <c r="AN116" i="4" s="1"/>
  <c r="Y116" i="4"/>
  <c r="X116" i="4" s="1"/>
  <c r="U116" i="4"/>
  <c r="H116" i="4"/>
  <c r="KG115" i="4"/>
  <c r="KF115" i="4" s="1"/>
  <c r="JE115" i="4"/>
  <c r="JD115" i="4" s="1"/>
  <c r="IS115" i="4"/>
  <c r="IR115" i="4" s="1"/>
  <c r="HU115" i="4"/>
  <c r="HT115" i="4" s="1"/>
  <c r="HI115" i="4"/>
  <c r="HH115" i="4" s="1"/>
  <c r="GW115" i="4"/>
  <c r="GV115" i="4" s="1"/>
  <c r="GK115" i="4"/>
  <c r="GJ115" i="4" s="1"/>
  <c r="GC115" i="4"/>
  <c r="FA115" i="4"/>
  <c r="EZ115" i="4" s="1"/>
  <c r="ES115" i="4"/>
  <c r="ER115" i="4" s="1"/>
  <c r="EK115" i="4"/>
  <c r="EJ115" i="4" s="1"/>
  <c r="DI115" i="4"/>
  <c r="DD115" i="4"/>
  <c r="CV115" i="4"/>
  <c r="CK115" i="4"/>
  <c r="CJ115" i="4" s="1"/>
  <c r="BT115" i="4"/>
  <c r="BQ115" i="4"/>
  <c r="BM115" i="4" s="1"/>
  <c r="BL115" i="4" s="1"/>
  <c r="BI115" i="4"/>
  <c r="BE115" i="4" s="1"/>
  <c r="BD115" i="4" s="1"/>
  <c r="AO115" i="4"/>
  <c r="AN115" i="4" s="1"/>
  <c r="Y115" i="4"/>
  <c r="X115" i="4" s="1"/>
  <c r="KG114" i="4"/>
  <c r="KF114" i="4" s="1"/>
  <c r="JE114" i="4"/>
  <c r="JD114" i="4" s="1"/>
  <c r="IR114" i="4"/>
  <c r="HU114" i="4"/>
  <c r="HT114" i="4" s="1"/>
  <c r="HI114" i="4"/>
  <c r="HH114" i="4" s="1"/>
  <c r="HA114" i="4"/>
  <c r="GW114" i="4" s="1"/>
  <c r="GV114" i="4" s="1"/>
  <c r="FA114" i="4"/>
  <c r="EZ114" i="4" s="1"/>
  <c r="ES114" i="4"/>
  <c r="ER114" i="4" s="1"/>
  <c r="EK114" i="4"/>
  <c r="EJ114" i="4" s="1"/>
  <c r="DE114" i="4"/>
  <c r="DD114" i="4" s="1"/>
  <c r="CW114" i="4"/>
  <c r="CV114" i="4" s="1"/>
  <c r="CS114" i="4"/>
  <c r="BT114" i="4"/>
  <c r="BQ114" i="4"/>
  <c r="BM114" i="4" s="1"/>
  <c r="BL114" i="4" s="1"/>
  <c r="BI114" i="4"/>
  <c r="BE114" i="4" s="1"/>
  <c r="BD114" i="4" s="1"/>
  <c r="AO114" i="4"/>
  <c r="AN114" i="4" s="1"/>
  <c r="Y114" i="4"/>
  <c r="X114" i="4" s="1"/>
  <c r="H114" i="4"/>
  <c r="KG113" i="4"/>
  <c r="KF113" i="4" s="1"/>
  <c r="JE113" i="4"/>
  <c r="JD113" i="4" s="1"/>
  <c r="IR113" i="4"/>
  <c r="HU113" i="4"/>
  <c r="HT113" i="4" s="1"/>
  <c r="HI113" i="4"/>
  <c r="HH113" i="4" s="1"/>
  <c r="GW113" i="4"/>
  <c r="GV113" i="4" s="1"/>
  <c r="GK113" i="4"/>
  <c r="GJ113" i="4" s="1"/>
  <c r="FA113" i="4"/>
  <c r="EZ113" i="4" s="1"/>
  <c r="ES113" i="4"/>
  <c r="ER113" i="4" s="1"/>
  <c r="EK113" i="4"/>
  <c r="EJ113" i="4" s="1"/>
  <c r="DE113" i="4"/>
  <c r="DD113" i="4" s="1"/>
  <c r="CW113" i="4"/>
  <c r="CV113" i="4" s="1"/>
  <c r="CS113" i="4"/>
  <c r="BT113" i="4"/>
  <c r="BQ113" i="4"/>
  <c r="BM113" i="4" s="1"/>
  <c r="BL113" i="4" s="1"/>
  <c r="BI113" i="4"/>
  <c r="BE113" i="4" s="1"/>
  <c r="BD113" i="4" s="1"/>
  <c r="AO113" i="4"/>
  <c r="AN113" i="4" s="1"/>
  <c r="Y113" i="4"/>
  <c r="X113" i="4" s="1"/>
  <c r="KG112" i="4"/>
  <c r="KF112" i="4" s="1"/>
  <c r="JE112" i="4"/>
  <c r="JD112" i="4" s="1"/>
  <c r="IS112" i="4"/>
  <c r="IR112" i="4" s="1"/>
  <c r="HU112" i="4"/>
  <c r="HT112" i="4" s="1"/>
  <c r="HI112" i="4"/>
  <c r="HH112" i="4" s="1"/>
  <c r="GW112" i="4"/>
  <c r="GV112" i="4" s="1"/>
  <c r="GK112" i="4"/>
  <c r="GJ112" i="4" s="1"/>
  <c r="FA112" i="4"/>
  <c r="EZ112" i="4" s="1"/>
  <c r="ES112" i="4"/>
  <c r="ER112" i="4" s="1"/>
  <c r="EK112" i="4"/>
  <c r="EJ112" i="4" s="1"/>
  <c r="DM112" i="4"/>
  <c r="CW112" i="4"/>
  <c r="CV112" i="4" s="1"/>
  <c r="CC112" i="4"/>
  <c r="BU112" i="4"/>
  <c r="BT112" i="4" s="1"/>
  <c r="BM112" i="4"/>
  <c r="BL112" i="4" s="1"/>
  <c r="BE112" i="4"/>
  <c r="BD112" i="4" s="1"/>
  <c r="AO112" i="4"/>
  <c r="Y112" i="4"/>
  <c r="X112" i="4" s="1"/>
  <c r="KG111" i="4"/>
  <c r="KF111" i="4" s="1"/>
  <c r="JE111" i="4"/>
  <c r="JD111" i="4" s="1"/>
  <c r="IR111" i="4"/>
  <c r="HU111" i="4"/>
  <c r="HT111" i="4" s="1"/>
  <c r="HI111" i="4"/>
  <c r="HH111" i="4" s="1"/>
  <c r="GV111" i="4"/>
  <c r="GK111" i="4"/>
  <c r="GJ111" i="4" s="1"/>
  <c r="FA111" i="4"/>
  <c r="EZ111" i="4" s="1"/>
  <c r="ES111" i="4"/>
  <c r="ER111" i="4" s="1"/>
  <c r="EK111" i="4"/>
  <c r="EJ111" i="4" s="1"/>
  <c r="DM111" i="4"/>
  <c r="DE111" i="4" s="1"/>
  <c r="DD111" i="4" s="1"/>
  <c r="DA111" i="4"/>
  <c r="CW111" i="4" s="1"/>
  <c r="CV111" i="4" s="1"/>
  <c r="BT111" i="4"/>
  <c r="BM111" i="4"/>
  <c r="BL111" i="4" s="1"/>
  <c r="BE111" i="4"/>
  <c r="BD111" i="4" s="1"/>
  <c r="AO111" i="4"/>
  <c r="AN111" i="4" s="1"/>
  <c r="Y111" i="4"/>
  <c r="X111" i="4" s="1"/>
  <c r="KG110" i="4"/>
  <c r="KF110" i="4" s="1"/>
  <c r="JE110" i="4"/>
  <c r="JD110" i="4" s="1"/>
  <c r="IS110" i="4"/>
  <c r="IR110" i="4" s="1"/>
  <c r="HU110" i="4"/>
  <c r="HT110" i="4" s="1"/>
  <c r="HI110" i="4"/>
  <c r="HH110" i="4" s="1"/>
  <c r="GW110" i="4"/>
  <c r="GV110" i="4" s="1"/>
  <c r="GK110" i="4"/>
  <c r="GJ110" i="4" s="1"/>
  <c r="FE110" i="4"/>
  <c r="EZ110" i="4"/>
  <c r="ER110" i="4"/>
  <c r="EJ110" i="4"/>
  <c r="DM110" i="4"/>
  <c r="DI110" i="4"/>
  <c r="DA110" i="4"/>
  <c r="CK110" i="4"/>
  <c r="CJ110" i="4" s="1"/>
  <c r="BT110" i="4"/>
  <c r="BQ110" i="4"/>
  <c r="BL110" i="4"/>
  <c r="BI110" i="4"/>
  <c r="BD110" i="4"/>
  <c r="AO110" i="4"/>
  <c r="AN110" i="4" s="1"/>
  <c r="Y110" i="4"/>
  <c r="X110" i="4" s="1"/>
  <c r="KG109" i="4"/>
  <c r="KF109" i="4" s="1"/>
  <c r="JE109" i="4"/>
  <c r="JD109" i="4" s="1"/>
  <c r="IS109" i="4"/>
  <c r="HU109" i="4"/>
  <c r="HT109" i="4" s="1"/>
  <c r="HI109" i="4"/>
  <c r="HH109" i="4" s="1"/>
  <c r="GW109" i="4"/>
  <c r="GV109" i="4" s="1"/>
  <c r="GK109" i="4"/>
  <c r="GJ109" i="4" s="1"/>
  <c r="FA109" i="4"/>
  <c r="EZ109" i="4" s="1"/>
  <c r="ER109" i="4"/>
  <c r="EJ109" i="4"/>
  <c r="DI109" i="4"/>
  <c r="DD109" i="4"/>
  <c r="CW109" i="4"/>
  <c r="CV109" i="4" s="1"/>
  <c r="CS109" i="4"/>
  <c r="CC109" i="4"/>
  <c r="BT109" i="4"/>
  <c r="BQ109" i="4"/>
  <c r="BL109" i="4"/>
  <c r="BI109" i="4"/>
  <c r="BD109" i="4"/>
  <c r="AO109" i="4"/>
  <c r="AN109" i="4" s="1"/>
  <c r="Y109" i="4"/>
  <c r="X109" i="4" s="1"/>
  <c r="U109" i="4"/>
  <c r="H109" i="4"/>
  <c r="JE108" i="4"/>
  <c r="JD108" i="4" s="1"/>
  <c r="HU108" i="4"/>
  <c r="HT108" i="4" s="1"/>
  <c r="GK108" i="4"/>
  <c r="GJ108" i="4" s="1"/>
  <c r="EZ108" i="4"/>
  <c r="ES108" i="4"/>
  <c r="ER108" i="4" s="1"/>
  <c r="EK108" i="4"/>
  <c r="EJ108" i="4" s="1"/>
  <c r="DD108" i="4"/>
  <c r="CV108" i="4"/>
  <c r="CJ108" i="4"/>
  <c r="BT108" i="4"/>
  <c r="BM108" i="4"/>
  <c r="BL108" i="4" s="1"/>
  <c r="BE108" i="4"/>
  <c r="BD108" i="4" s="1"/>
  <c r="AN108" i="4"/>
  <c r="Y108" i="4"/>
  <c r="X108" i="4" s="1"/>
  <c r="KG107" i="4"/>
  <c r="KF107" i="4" s="1"/>
  <c r="JE107" i="4"/>
  <c r="JD107" i="4" s="1"/>
  <c r="IS107" i="4"/>
  <c r="IR107" i="4" s="1"/>
  <c r="HU107" i="4"/>
  <c r="HT107" i="4" s="1"/>
  <c r="HI107" i="4"/>
  <c r="HH107" i="4" s="1"/>
  <c r="GV107" i="4"/>
  <c r="GK107" i="4"/>
  <c r="GJ107" i="4" s="1"/>
  <c r="GC107" i="4"/>
  <c r="FA107" i="4"/>
  <c r="EZ107" i="4" s="1"/>
  <c r="ES107" i="4"/>
  <c r="ER107" i="4" s="1"/>
  <c r="EK107" i="4"/>
  <c r="EJ107" i="4" s="1"/>
  <c r="DN107" i="4"/>
  <c r="DM107" i="4"/>
  <c r="DJ107" i="4"/>
  <c r="DI107" i="4"/>
  <c r="CW107" i="4"/>
  <c r="CV107" i="4" s="1"/>
  <c r="CK107" i="4"/>
  <c r="CJ107" i="4" s="1"/>
  <c r="BT107" i="4"/>
  <c r="BM107" i="4"/>
  <c r="BL107" i="4" s="1"/>
  <c r="BE107" i="4"/>
  <c r="BD107" i="4" s="1"/>
  <c r="AO107" i="4"/>
  <c r="AN107" i="4" s="1"/>
  <c r="Y107" i="4"/>
  <c r="X107" i="4" s="1"/>
  <c r="U107" i="4"/>
  <c r="H107" i="4"/>
  <c r="KG106" i="4"/>
  <c r="KF106" i="4" s="1"/>
  <c r="JE106" i="4"/>
  <c r="JD106" i="4" s="1"/>
  <c r="IS106" i="4"/>
  <c r="IR106" i="4" s="1"/>
  <c r="HU106" i="4"/>
  <c r="HT106" i="4" s="1"/>
  <c r="HI106" i="4"/>
  <c r="HH106" i="4" s="1"/>
  <c r="GV106" i="4"/>
  <c r="GK106" i="4"/>
  <c r="GJ106" i="4" s="1"/>
  <c r="FA106" i="4"/>
  <c r="ES106" i="4"/>
  <c r="ER106" i="4" s="1"/>
  <c r="EK106" i="4"/>
  <c r="EJ106" i="4" s="1"/>
  <c r="CW106" i="4"/>
  <c r="CV106" i="4" s="1"/>
  <c r="CT106" i="4"/>
  <c r="CS106" i="4"/>
  <c r="CK106" i="4" s="1"/>
  <c r="CJ106" i="4" s="1"/>
  <c r="BT106" i="4"/>
  <c r="BR106" i="4"/>
  <c r="DJ106" i="4" s="1"/>
  <c r="BQ106" i="4"/>
  <c r="DI106" i="4" s="1"/>
  <c r="DE106" i="4" s="1"/>
  <c r="DD106" i="4" s="1"/>
  <c r="BJ106" i="4"/>
  <c r="BI106" i="4"/>
  <c r="BE106" i="4" s="1"/>
  <c r="BD106" i="4" s="1"/>
  <c r="AO106" i="4"/>
  <c r="AN106" i="4" s="1"/>
  <c r="Y106" i="4"/>
  <c r="X106" i="4" s="1"/>
  <c r="KG105" i="4"/>
  <c r="KF105" i="4" s="1"/>
  <c r="JE105" i="4"/>
  <c r="JD105" i="4" s="1"/>
  <c r="IS105" i="4"/>
  <c r="IR105" i="4" s="1"/>
  <c r="HU105" i="4"/>
  <c r="HT105" i="4" s="1"/>
  <c r="HI105" i="4"/>
  <c r="HH105" i="4" s="1"/>
  <c r="GW105" i="4"/>
  <c r="GV105" i="4" s="1"/>
  <c r="GK105" i="4"/>
  <c r="GJ105" i="4" s="1"/>
  <c r="FA105" i="4"/>
  <c r="EZ105" i="4" s="1"/>
  <c r="ES105" i="4"/>
  <c r="ER105" i="4" s="1"/>
  <c r="EK105" i="4"/>
  <c r="EJ105" i="4" s="1"/>
  <c r="DM105" i="4"/>
  <c r="DI105" i="4"/>
  <c r="DD105" i="4"/>
  <c r="CW105" i="4"/>
  <c r="CV105" i="4" s="1"/>
  <c r="CS105" i="4"/>
  <c r="CJ105" i="4"/>
  <c r="BT105" i="4"/>
  <c r="BQ105" i="4"/>
  <c r="BM105" i="4" s="1"/>
  <c r="BL105" i="4" s="1"/>
  <c r="BI105" i="4"/>
  <c r="BE105" i="4" s="1"/>
  <c r="BD105" i="4" s="1"/>
  <c r="AN105" i="4"/>
  <c r="X105" i="4"/>
  <c r="H105" i="4"/>
  <c r="BL104" i="4"/>
  <c r="BD104" i="4"/>
  <c r="H104" i="4"/>
  <c r="BD103" i="4"/>
  <c r="KG102" i="4"/>
  <c r="KF102" i="4" s="1"/>
  <c r="JE102" i="4"/>
  <c r="JD102" i="4" s="1"/>
  <c r="IR102" i="4"/>
  <c r="HU102" i="4"/>
  <c r="HT102" i="4" s="1"/>
  <c r="HI102" i="4"/>
  <c r="HH102" i="4" s="1"/>
  <c r="GW102" i="4"/>
  <c r="GV102" i="4" s="1"/>
  <c r="GK102" i="4"/>
  <c r="GJ102" i="4" s="1"/>
  <c r="FE102" i="4"/>
  <c r="FA102" i="4" s="1"/>
  <c r="EZ102" i="4" s="1"/>
  <c r="EW102" i="4"/>
  <c r="ES102" i="4" s="1"/>
  <c r="ER102" i="4" s="1"/>
  <c r="EO102" i="4"/>
  <c r="EK102" i="4" s="1"/>
  <c r="EJ102" i="4" s="1"/>
  <c r="DM102" i="4"/>
  <c r="DI102" i="4"/>
  <c r="DD102" i="4"/>
  <c r="CW102" i="4"/>
  <c r="CV102" i="4" s="1"/>
  <c r="CS102" i="4"/>
  <c r="CK102" i="4" s="1"/>
  <c r="CJ102" i="4" s="1"/>
  <c r="BT102" i="4"/>
  <c r="BQ102" i="4"/>
  <c r="BM102" i="4" s="1"/>
  <c r="BL102" i="4" s="1"/>
  <c r="BI102" i="4"/>
  <c r="BE102" i="4" s="1"/>
  <c r="BD102" i="4" s="1"/>
  <c r="AO102" i="4"/>
  <c r="AN102" i="4" s="1"/>
  <c r="Y102" i="4"/>
  <c r="X102" i="4" s="1"/>
  <c r="U102" i="4"/>
  <c r="KG101" i="4"/>
  <c r="KF101" i="4" s="1"/>
  <c r="JE101" i="4"/>
  <c r="JD101" i="4" s="1"/>
  <c r="IS101" i="4"/>
  <c r="IR101" i="4" s="1"/>
  <c r="HU101" i="4"/>
  <c r="HT101" i="4" s="1"/>
  <c r="HI101" i="4"/>
  <c r="HH101" i="4" s="1"/>
  <c r="GW101" i="4"/>
  <c r="GV101" i="4" s="1"/>
  <c r="GK101" i="4"/>
  <c r="GJ101" i="4" s="1"/>
  <c r="FE101" i="4"/>
  <c r="FA101" i="4" s="1"/>
  <c r="EZ101" i="4" s="1"/>
  <c r="EW101" i="4"/>
  <c r="ES101" i="4" s="1"/>
  <c r="ER101" i="4" s="1"/>
  <c r="EO101" i="4"/>
  <c r="EK101" i="4" s="1"/>
  <c r="EJ101" i="4" s="1"/>
  <c r="DM101" i="4"/>
  <c r="DI101" i="4"/>
  <c r="CW101" i="4"/>
  <c r="CV101" i="4" s="1"/>
  <c r="CS101" i="4"/>
  <c r="CK101" i="4" s="1"/>
  <c r="CJ101" i="4" s="1"/>
  <c r="BU101" i="4"/>
  <c r="BT101" i="4" s="1"/>
  <c r="BQ101" i="4"/>
  <c r="BM101" i="4" s="1"/>
  <c r="BL101" i="4" s="1"/>
  <c r="BI101" i="4"/>
  <c r="BE101" i="4" s="1"/>
  <c r="BD101" i="4" s="1"/>
  <c r="AO101" i="4"/>
  <c r="AN101" i="4" s="1"/>
  <c r="Y101" i="4"/>
  <c r="X101" i="4" s="1"/>
  <c r="U101" i="4"/>
  <c r="KG100" i="4"/>
  <c r="KF100" i="4" s="1"/>
  <c r="JE100" i="4"/>
  <c r="JD100" i="4" s="1"/>
  <c r="IS100" i="4"/>
  <c r="IR100" i="4" s="1"/>
  <c r="HU100" i="4"/>
  <c r="HT100" i="4" s="1"/>
  <c r="HI100" i="4"/>
  <c r="HH100" i="4" s="1"/>
  <c r="GW100" i="4"/>
  <c r="GV100" i="4" s="1"/>
  <c r="GK100" i="4"/>
  <c r="GJ100" i="4" s="1"/>
  <c r="FA100" i="4"/>
  <c r="EZ100" i="4" s="1"/>
  <c r="ES100" i="4"/>
  <c r="ER100" i="4" s="1"/>
  <c r="EK100" i="4"/>
  <c r="EJ100" i="4" s="1"/>
  <c r="DI100" i="4"/>
  <c r="DE100" i="4" s="1"/>
  <c r="DD100" i="4" s="1"/>
  <c r="CW100" i="4"/>
  <c r="CV100" i="4" s="1"/>
  <c r="CS100" i="4"/>
  <c r="CK100" i="4" s="1"/>
  <c r="CJ100" i="4" s="1"/>
  <c r="CC100" i="4"/>
  <c r="BT100" i="4"/>
  <c r="BQ100" i="4"/>
  <c r="BM100" i="4" s="1"/>
  <c r="BL100" i="4" s="1"/>
  <c r="BI100" i="4"/>
  <c r="BE100" i="4" s="1"/>
  <c r="BD100" i="4" s="1"/>
  <c r="AO100" i="4"/>
  <c r="AN100" i="4" s="1"/>
  <c r="Y100" i="4"/>
  <c r="X100" i="4" s="1"/>
  <c r="U100" i="4"/>
  <c r="KG99" i="4"/>
  <c r="KF99" i="4" s="1"/>
  <c r="JE99" i="4"/>
  <c r="JD99" i="4" s="1"/>
  <c r="IR99" i="4"/>
  <c r="HU99" i="4"/>
  <c r="HT99" i="4" s="1"/>
  <c r="HI99" i="4"/>
  <c r="HH99" i="4" s="1"/>
  <c r="GV99" i="4"/>
  <c r="GK99" i="4"/>
  <c r="GJ99" i="4" s="1"/>
  <c r="GC99" i="4"/>
  <c r="EZ99" i="4"/>
  <c r="ES99" i="4"/>
  <c r="ER99" i="4" s="1"/>
  <c r="EJ99" i="4"/>
  <c r="DI99" i="4"/>
  <c r="DE99" i="4" s="1"/>
  <c r="DD99" i="4" s="1"/>
  <c r="CW99" i="4"/>
  <c r="CV99" i="4" s="1"/>
  <c r="CS99" i="4"/>
  <c r="CJ99" i="4"/>
  <c r="CC99" i="4"/>
  <c r="BT99" i="4"/>
  <c r="BQ99" i="4"/>
  <c r="BM99" i="4" s="1"/>
  <c r="BL99" i="4" s="1"/>
  <c r="BI99" i="4"/>
  <c r="BE99" i="4" s="1"/>
  <c r="BD99" i="4" s="1"/>
  <c r="AO99" i="4"/>
  <c r="AN99" i="4" s="1"/>
  <c r="Y99" i="4"/>
  <c r="X99" i="4" s="1"/>
  <c r="U99" i="4"/>
  <c r="H99" i="4"/>
  <c r="KF98" i="4"/>
  <c r="JE98" i="4"/>
  <c r="JD98" i="4" s="1"/>
  <c r="IR98" i="4"/>
  <c r="HT98" i="4"/>
  <c r="HH98" i="4"/>
  <c r="GV98" i="4"/>
  <c r="GK98" i="4"/>
  <c r="GJ98" i="4" s="1"/>
  <c r="GC98" i="4"/>
  <c r="FA98" i="4"/>
  <c r="EZ98" i="4" s="1"/>
  <c r="ES98" i="4"/>
  <c r="ER98" i="4" s="1"/>
  <c r="EK98" i="4"/>
  <c r="EJ98" i="4" s="1"/>
  <c r="DI98" i="4"/>
  <c r="DD98" i="4"/>
  <c r="CW98" i="4"/>
  <c r="CV98" i="4" s="1"/>
  <c r="CT98" i="4"/>
  <c r="CS98" i="4"/>
  <c r="CK98" i="4" s="1"/>
  <c r="CJ98" i="4" s="1"/>
  <c r="BT98" i="4"/>
  <c r="BR98" i="4"/>
  <c r="DJ98" i="4" s="1"/>
  <c r="BQ98" i="4"/>
  <c r="BM98" i="4" s="1"/>
  <c r="BL98" i="4" s="1"/>
  <c r="BJ98" i="4"/>
  <c r="BI98" i="4"/>
  <c r="BE98" i="4" s="1"/>
  <c r="BD98" i="4" s="1"/>
  <c r="AO98" i="4"/>
  <c r="AN98" i="4" s="1"/>
  <c r="Y98" i="4"/>
  <c r="X98" i="4" s="1"/>
  <c r="KF97" i="4"/>
  <c r="JE97" i="4"/>
  <c r="JD97" i="4" s="1"/>
  <c r="IR97" i="4"/>
  <c r="HU97" i="4"/>
  <c r="HT97" i="4" s="1"/>
  <c r="HI97" i="4"/>
  <c r="HH97" i="4" s="1"/>
  <c r="GW97" i="4"/>
  <c r="GV97" i="4" s="1"/>
  <c r="GK97" i="4"/>
  <c r="GJ97" i="4" s="1"/>
  <c r="GC97" i="4"/>
  <c r="FA97" i="4"/>
  <c r="EZ97" i="4" s="1"/>
  <c r="ES97" i="4"/>
  <c r="ER97" i="4" s="1"/>
  <c r="EK97" i="4"/>
  <c r="EJ97" i="4" s="1"/>
  <c r="DM97" i="4"/>
  <c r="DI97" i="4"/>
  <c r="DD97" i="4"/>
  <c r="CW97" i="4"/>
  <c r="CV97" i="4" s="1"/>
  <c r="CS97" i="4"/>
  <c r="CJ97" i="4"/>
  <c r="BT97" i="4"/>
  <c r="BQ97" i="4"/>
  <c r="BM97" i="4" s="1"/>
  <c r="BL97" i="4" s="1"/>
  <c r="BI97" i="4"/>
  <c r="BE97" i="4" s="1"/>
  <c r="BD97" i="4" s="1"/>
  <c r="AO97" i="4"/>
  <c r="AN97" i="4" s="1"/>
  <c r="Y97" i="4"/>
  <c r="X97" i="4" s="1"/>
  <c r="U97" i="4"/>
  <c r="H97" i="4"/>
  <c r="KF96" i="4"/>
  <c r="JE96" i="4"/>
  <c r="JD96" i="4" s="1"/>
  <c r="IR96" i="4"/>
  <c r="HT96" i="4"/>
  <c r="HH96" i="4"/>
  <c r="GV96" i="4"/>
  <c r="GK96" i="4"/>
  <c r="GJ96" i="4" s="1"/>
  <c r="GC96" i="4"/>
  <c r="EZ96" i="4"/>
  <c r="ER96" i="4"/>
  <c r="EJ96" i="4"/>
  <c r="DI96" i="4"/>
  <c r="DD96" i="4"/>
  <c r="CV96" i="4"/>
  <c r="CS96" i="4"/>
  <c r="CJ96" i="4"/>
  <c r="CC96" i="4"/>
  <c r="BT96" i="4"/>
  <c r="BQ96" i="4"/>
  <c r="BM96" i="4" s="1"/>
  <c r="BL96" i="4" s="1"/>
  <c r="BI96" i="4"/>
  <c r="BE96" i="4" s="1"/>
  <c r="BD96" i="4" s="1"/>
  <c r="AO96" i="4"/>
  <c r="AN96" i="4" s="1"/>
  <c r="Y96" i="4"/>
  <c r="X96" i="4" s="1"/>
  <c r="KF95" i="4"/>
  <c r="KC95" i="4"/>
  <c r="JE95" i="4"/>
  <c r="JD95" i="4" s="1"/>
  <c r="IS95" i="4"/>
  <c r="IR95" i="4" s="1"/>
  <c r="HU95" i="4"/>
  <c r="HT95" i="4" s="1"/>
  <c r="HI95" i="4"/>
  <c r="HH95" i="4" s="1"/>
  <c r="GW95" i="4"/>
  <c r="GV95" i="4" s="1"/>
  <c r="GK95" i="4"/>
  <c r="GJ95" i="4" s="1"/>
  <c r="GC95" i="4"/>
  <c r="EZ95" i="4"/>
  <c r="ES95" i="4"/>
  <c r="ER95" i="4" s="1"/>
  <c r="EK95" i="4"/>
  <c r="EJ95" i="4" s="1"/>
  <c r="DI95" i="4"/>
  <c r="DD95" i="4"/>
  <c r="CV95" i="4"/>
  <c r="CS95" i="4"/>
  <c r="CJ95" i="4"/>
  <c r="BT95" i="4"/>
  <c r="BR95" i="4"/>
  <c r="BQ95" i="4"/>
  <c r="BM95" i="4" s="1"/>
  <c r="BL95" i="4" s="1"/>
  <c r="BJ95" i="4"/>
  <c r="BI95" i="4"/>
  <c r="BD95" i="4"/>
  <c r="AO95" i="4"/>
  <c r="AN95" i="4" s="1"/>
  <c r="Y95" i="4"/>
  <c r="X95" i="4" s="1"/>
  <c r="H95" i="4"/>
  <c r="KG94" i="4"/>
  <c r="KF94" i="4" s="1"/>
  <c r="JE94" i="4"/>
  <c r="JD94" i="4" s="1"/>
  <c r="IS94" i="4"/>
  <c r="IR94" i="4" s="1"/>
  <c r="HU94" i="4"/>
  <c r="HT94" i="4" s="1"/>
  <c r="HI94" i="4"/>
  <c r="HH94" i="4" s="1"/>
  <c r="GW94" i="4"/>
  <c r="GV94" i="4" s="1"/>
  <c r="GK94" i="4"/>
  <c r="GJ94" i="4" s="1"/>
  <c r="GC94" i="4"/>
  <c r="FA94" i="4"/>
  <c r="EZ94" i="4" s="1"/>
  <c r="ER94" i="4"/>
  <c r="EK94" i="4"/>
  <c r="EJ94" i="4" s="1"/>
  <c r="DN94" i="4"/>
  <c r="DI94" i="4"/>
  <c r="DE94" i="4" s="1"/>
  <c r="DD94" i="4" s="1"/>
  <c r="DB94" i="4"/>
  <c r="CV94" i="4"/>
  <c r="CT94" i="4"/>
  <c r="CS94" i="4"/>
  <c r="CJ94" i="4"/>
  <c r="BT94" i="4"/>
  <c r="BQ94" i="4"/>
  <c r="BM94" i="4" s="1"/>
  <c r="BL94" i="4" s="1"/>
  <c r="BI94" i="4"/>
  <c r="BE94" i="4" s="1"/>
  <c r="BD94" i="4" s="1"/>
  <c r="AO94" i="4"/>
  <c r="AN94" i="4" s="1"/>
  <c r="Y94" i="4"/>
  <c r="X94" i="4" s="1"/>
  <c r="H94" i="4"/>
  <c r="KO93" i="4"/>
  <c r="KG93" i="4" s="1"/>
  <c r="KF93" i="4" s="1"/>
  <c r="JE93" i="4"/>
  <c r="JD93" i="4" s="1"/>
  <c r="IS93" i="4"/>
  <c r="IR93" i="4" s="1"/>
  <c r="HU93" i="4"/>
  <c r="HT93" i="4" s="1"/>
  <c r="HI93" i="4"/>
  <c r="HH93" i="4" s="1"/>
  <c r="GW93" i="4"/>
  <c r="GV93" i="4" s="1"/>
  <c r="GN93" i="4"/>
  <c r="GK93" i="4" s="1"/>
  <c r="GJ93" i="4" s="1"/>
  <c r="EZ93" i="4"/>
  <c r="ES93" i="4"/>
  <c r="ER93" i="4" s="1"/>
  <c r="EK93" i="4"/>
  <c r="EJ93" i="4" s="1"/>
  <c r="DN93" i="4"/>
  <c r="DI93" i="4"/>
  <c r="DA93" i="4"/>
  <c r="DM93" i="4" s="1"/>
  <c r="CS93" i="4"/>
  <c r="CO93" i="4"/>
  <c r="CC93" i="4"/>
  <c r="BT93" i="4"/>
  <c r="BQ93" i="4"/>
  <c r="BM93" i="4" s="1"/>
  <c r="BL93" i="4" s="1"/>
  <c r="BI93" i="4"/>
  <c r="BE93" i="4" s="1"/>
  <c r="BD93" i="4" s="1"/>
  <c r="AO93" i="4"/>
  <c r="AN93" i="4" s="1"/>
  <c r="Y93" i="4"/>
  <c r="X93" i="4" s="1"/>
  <c r="U93" i="4"/>
  <c r="H93" i="4"/>
  <c r="KG92" i="4"/>
  <c r="KF92" i="4" s="1"/>
  <c r="JE92" i="4"/>
  <c r="JD92" i="4" s="1"/>
  <c r="IS92" i="4"/>
  <c r="IR92" i="4" s="1"/>
  <c r="HU92" i="4"/>
  <c r="HT92" i="4" s="1"/>
  <c r="HI92" i="4"/>
  <c r="HH92" i="4" s="1"/>
  <c r="GW92" i="4"/>
  <c r="GV92" i="4" s="1"/>
  <c r="GK92" i="4"/>
  <c r="GJ92" i="4" s="1"/>
  <c r="EZ92" i="4"/>
  <c r="ES92" i="4"/>
  <c r="ER92" i="4" s="1"/>
  <c r="EK92" i="4"/>
  <c r="EJ92" i="4" s="1"/>
  <c r="DN92" i="4"/>
  <c r="DM92" i="4"/>
  <c r="DI92" i="4"/>
  <c r="CV92" i="4"/>
  <c r="CS92" i="4"/>
  <c r="CK92" i="4" s="1"/>
  <c r="CJ92" i="4" s="1"/>
  <c r="CC92" i="4"/>
  <c r="BT92" i="4"/>
  <c r="BQ92" i="4"/>
  <c r="BM92" i="4" s="1"/>
  <c r="BL92" i="4" s="1"/>
  <c r="BI92" i="4"/>
  <c r="BE92" i="4" s="1"/>
  <c r="BD92" i="4" s="1"/>
  <c r="AO92" i="4"/>
  <c r="AN92" i="4" s="1"/>
  <c r="Y92" i="4"/>
  <c r="X92" i="4" s="1"/>
  <c r="U92" i="4"/>
  <c r="KG91" i="4"/>
  <c r="KF91" i="4" s="1"/>
  <c r="JE91" i="4"/>
  <c r="JD91" i="4" s="1"/>
  <c r="IS91" i="4"/>
  <c r="IR91" i="4" s="1"/>
  <c r="HU91" i="4"/>
  <c r="HT91" i="4" s="1"/>
  <c r="HI91" i="4"/>
  <c r="HH91" i="4" s="1"/>
  <c r="GW91" i="4"/>
  <c r="GV91" i="4" s="1"/>
  <c r="GK91" i="4"/>
  <c r="GJ91" i="4" s="1"/>
  <c r="GC91" i="4"/>
  <c r="FA91" i="4"/>
  <c r="EZ91" i="4" s="1"/>
  <c r="ES91" i="4"/>
  <c r="ER91" i="4" s="1"/>
  <c r="EK91" i="4"/>
  <c r="EJ91" i="4" s="1"/>
  <c r="DM91" i="4"/>
  <c r="DI91" i="4"/>
  <c r="DD91" i="4"/>
  <c r="CW91" i="4"/>
  <c r="CV91" i="4" s="1"/>
  <c r="CS91" i="4"/>
  <c r="CJ91" i="4"/>
  <c r="CC91" i="4"/>
  <c r="BU91" i="4"/>
  <c r="BT91" i="4" s="1"/>
  <c r="BQ91" i="4"/>
  <c r="BL91" i="4"/>
  <c r="BI91" i="4"/>
  <c r="BD91" i="4"/>
  <c r="AN91" i="4"/>
  <c r="X91" i="4"/>
  <c r="KG90" i="4"/>
  <c r="KF90" i="4" s="1"/>
  <c r="KC90" i="4"/>
  <c r="JE90" i="4"/>
  <c r="JD90" i="4" s="1"/>
  <c r="IR90" i="4"/>
  <c r="HU90" i="4"/>
  <c r="HT90" i="4" s="1"/>
  <c r="HI90" i="4"/>
  <c r="HH90" i="4" s="1"/>
  <c r="GW90" i="4"/>
  <c r="GV90" i="4" s="1"/>
  <c r="GK90" i="4"/>
  <c r="GJ90" i="4" s="1"/>
  <c r="GC90" i="4"/>
  <c r="EZ90" i="4"/>
  <c r="ES90" i="4"/>
  <c r="ER90" i="4" s="1"/>
  <c r="EK90" i="4"/>
  <c r="EJ90" i="4" s="1"/>
  <c r="DI90" i="4"/>
  <c r="DD90" i="4"/>
  <c r="CW90" i="4"/>
  <c r="CV90" i="4" s="1"/>
  <c r="CS90" i="4"/>
  <c r="CK90" i="4" s="1"/>
  <c r="CJ90" i="4" s="1"/>
  <c r="BT90" i="4"/>
  <c r="BQ90" i="4"/>
  <c r="BM90" i="4" s="1"/>
  <c r="BL90" i="4" s="1"/>
  <c r="BI90" i="4"/>
  <c r="BE90" i="4" s="1"/>
  <c r="BD90" i="4" s="1"/>
  <c r="AO90" i="4"/>
  <c r="AN90" i="4" s="1"/>
  <c r="Y90" i="4"/>
  <c r="X90" i="4" s="1"/>
  <c r="U90" i="4"/>
  <c r="H90" i="4"/>
  <c r="KG89" i="4"/>
  <c r="KF89" i="4" s="1"/>
  <c r="JE89" i="4"/>
  <c r="JD89" i="4" s="1"/>
  <c r="IS89" i="4"/>
  <c r="IR89" i="4" s="1"/>
  <c r="HU89" i="4"/>
  <c r="HT89" i="4" s="1"/>
  <c r="HI89" i="4"/>
  <c r="HH89" i="4" s="1"/>
  <c r="GW89" i="4"/>
  <c r="GV89" i="4" s="1"/>
  <c r="GN89" i="4"/>
  <c r="GK89" i="4" s="1"/>
  <c r="GJ89" i="4" s="1"/>
  <c r="EZ89" i="4"/>
  <c r="ER89" i="4"/>
  <c r="EJ89" i="4"/>
  <c r="DI89" i="4"/>
  <c r="DD89" i="4"/>
  <c r="CV89" i="4"/>
  <c r="CS89" i="4"/>
  <c r="CJ89" i="4"/>
  <c r="BT89" i="4"/>
  <c r="BQ89" i="4"/>
  <c r="BL89" i="4"/>
  <c r="BI89" i="4"/>
  <c r="BD89" i="4"/>
  <c r="AN89" i="4"/>
  <c r="X89" i="4"/>
  <c r="U89" i="4"/>
  <c r="KK88" i="4"/>
  <c r="KG88" i="4" s="1"/>
  <c r="KF88" i="4" s="1"/>
  <c r="JE88" i="4"/>
  <c r="JD88" i="4" s="1"/>
  <c r="IS88" i="4"/>
  <c r="IR88" i="4" s="1"/>
  <c r="HU88" i="4"/>
  <c r="HT88" i="4" s="1"/>
  <c r="HI88" i="4"/>
  <c r="HH88" i="4" s="1"/>
  <c r="GW88" i="4"/>
  <c r="GV88" i="4" s="1"/>
  <c r="GK88" i="4"/>
  <c r="GJ88" i="4" s="1"/>
  <c r="GC88" i="4"/>
  <c r="FE88" i="4"/>
  <c r="FA88" i="4" s="1"/>
  <c r="EZ88" i="4" s="1"/>
  <c r="ES88" i="4"/>
  <c r="ER88" i="4" s="1"/>
  <c r="EO88" i="4"/>
  <c r="EK88" i="4" s="1"/>
  <c r="EJ88" i="4" s="1"/>
  <c r="DD88" i="4"/>
  <c r="CV88" i="4"/>
  <c r="CJ88" i="4"/>
  <c r="CC88" i="4"/>
  <c r="BT88" i="4"/>
  <c r="BA88" i="4"/>
  <c r="AW88" i="4"/>
  <c r="AS88" i="4"/>
  <c r="AC88" i="4"/>
  <c r="BI88" i="4" s="1"/>
  <c r="BE88" i="4" s="1"/>
  <c r="BD88" i="4" s="1"/>
  <c r="X88" i="4"/>
  <c r="KO87" i="4"/>
  <c r="KG87" i="4" s="1"/>
  <c r="KF87" i="4" s="1"/>
  <c r="KC87" i="4"/>
  <c r="JE87" i="4"/>
  <c r="JD87" i="4" s="1"/>
  <c r="IS87" i="4"/>
  <c r="IR87" i="4" s="1"/>
  <c r="HU87" i="4"/>
  <c r="HT87" i="4" s="1"/>
  <c r="HI87" i="4"/>
  <c r="HH87" i="4" s="1"/>
  <c r="GW87" i="4"/>
  <c r="GV87" i="4" s="1"/>
  <c r="GK87" i="4"/>
  <c r="GJ87" i="4" s="1"/>
  <c r="FA87" i="4"/>
  <c r="EZ87" i="4" s="1"/>
  <c r="ES87" i="4"/>
  <c r="ER87" i="4" s="1"/>
  <c r="EK87" i="4"/>
  <c r="EJ87" i="4" s="1"/>
  <c r="DM87" i="4"/>
  <c r="DI87" i="4"/>
  <c r="DD87" i="4"/>
  <c r="CW87" i="4"/>
  <c r="CV87" i="4" s="1"/>
  <c r="CS87" i="4"/>
  <c r="CJ87" i="4"/>
  <c r="BT87" i="4"/>
  <c r="BQ87" i="4"/>
  <c r="BM87" i="4" s="1"/>
  <c r="BL87" i="4" s="1"/>
  <c r="BI87" i="4"/>
  <c r="BE87" i="4" s="1"/>
  <c r="BD87" i="4" s="1"/>
  <c r="AN87" i="4"/>
  <c r="Y87" i="4"/>
  <c r="X87" i="4" s="1"/>
  <c r="KG86" i="4"/>
  <c r="KF86" i="4" s="1"/>
  <c r="KC86" i="4"/>
  <c r="JE86" i="4"/>
  <c r="JD86" i="4" s="1"/>
  <c r="IR86" i="4"/>
  <c r="HY86" i="4"/>
  <c r="HU86" i="4" s="1"/>
  <c r="HT86" i="4" s="1"/>
  <c r="HI86" i="4"/>
  <c r="HH86" i="4" s="1"/>
  <c r="GW86" i="4"/>
  <c r="GV86" i="4" s="1"/>
  <c r="GK86" i="4"/>
  <c r="GJ86" i="4" s="1"/>
  <c r="FA86" i="4"/>
  <c r="EZ86" i="4" s="1"/>
  <c r="ES86" i="4"/>
  <c r="ER86" i="4" s="1"/>
  <c r="EK86" i="4"/>
  <c r="EJ86" i="4" s="1"/>
  <c r="DN86" i="4"/>
  <c r="DM86" i="4"/>
  <c r="DI86" i="4"/>
  <c r="DD86" i="4"/>
  <c r="CW86" i="4"/>
  <c r="CV86" i="4" s="1"/>
  <c r="CS86" i="4"/>
  <c r="CJ86" i="4"/>
  <c r="CC86" i="4"/>
  <c r="BT86" i="4"/>
  <c r="BQ86" i="4"/>
  <c r="BM86" i="4" s="1"/>
  <c r="BL86" i="4" s="1"/>
  <c r="BI86" i="4"/>
  <c r="BE86" i="4" s="1"/>
  <c r="BD86" i="4" s="1"/>
  <c r="AN86" i="4"/>
  <c r="Y86" i="4"/>
  <c r="X86" i="4" s="1"/>
  <c r="KG85" i="4"/>
  <c r="KF85" i="4" s="1"/>
  <c r="JE85" i="4"/>
  <c r="JD85" i="4" s="1"/>
  <c r="IS85" i="4"/>
  <c r="IR85" i="4" s="1"/>
  <c r="HU85" i="4"/>
  <c r="HT85" i="4" s="1"/>
  <c r="HI85" i="4"/>
  <c r="HH85" i="4" s="1"/>
  <c r="GW85" i="4"/>
  <c r="GV85" i="4" s="1"/>
  <c r="GN85" i="4"/>
  <c r="GK85" i="4" s="1"/>
  <c r="GJ85" i="4" s="1"/>
  <c r="FA85" i="4"/>
  <c r="EZ85" i="4" s="1"/>
  <c r="ES85" i="4"/>
  <c r="ER85" i="4" s="1"/>
  <c r="EK85" i="4"/>
  <c r="EJ85" i="4" s="1"/>
  <c r="DM85" i="4"/>
  <c r="DD85" i="4"/>
  <c r="CW85" i="4"/>
  <c r="CV85" i="4" s="1"/>
  <c r="CJ85" i="4"/>
  <c r="CC85" i="4"/>
  <c r="BT85" i="4"/>
  <c r="BA85" i="4"/>
  <c r="AW85" i="4"/>
  <c r="AS85" i="4"/>
  <c r="DI85" i="4" s="1"/>
  <c r="AK85" i="4"/>
  <c r="AG85" i="4"/>
  <c r="AC85" i="4"/>
  <c r="U85" i="4"/>
  <c r="H85" i="4"/>
  <c r="KG84" i="4"/>
  <c r="KF84" i="4" s="1"/>
  <c r="JE84" i="4"/>
  <c r="JD84" i="4" s="1"/>
  <c r="IS84" i="4"/>
  <c r="IR84" i="4" s="1"/>
  <c r="HU84" i="4"/>
  <c r="HT84" i="4" s="1"/>
  <c r="HI84" i="4"/>
  <c r="HH84" i="4" s="1"/>
  <c r="GW84" i="4"/>
  <c r="GV84" i="4" s="1"/>
  <c r="GN84" i="4"/>
  <c r="GK84" i="4" s="1"/>
  <c r="GJ84" i="4" s="1"/>
  <c r="FA84" i="4"/>
  <c r="EZ84" i="4" s="1"/>
  <c r="ES84" i="4"/>
  <c r="ER84" i="4" s="1"/>
  <c r="EK84" i="4"/>
  <c r="EJ84" i="4" s="1"/>
  <c r="DM84" i="4"/>
  <c r="DI84" i="4"/>
  <c r="CW84" i="4"/>
  <c r="CV84" i="4" s="1"/>
  <c r="CS84" i="4"/>
  <c r="CJ84" i="4"/>
  <c r="CC84" i="4"/>
  <c r="BT84" i="4"/>
  <c r="BQ84" i="4"/>
  <c r="BM84" i="4" s="1"/>
  <c r="BL84" i="4" s="1"/>
  <c r="BI84" i="4"/>
  <c r="BE84" i="4" s="1"/>
  <c r="BD84" i="4" s="1"/>
  <c r="AO84" i="4"/>
  <c r="AN84" i="4" s="1"/>
  <c r="Y84" i="4"/>
  <c r="X84" i="4" s="1"/>
  <c r="U84" i="4"/>
  <c r="H84" i="4"/>
  <c r="KG83" i="4"/>
  <c r="KF83" i="4" s="1"/>
  <c r="JE83" i="4"/>
  <c r="JD83" i="4" s="1"/>
  <c r="IS83" i="4"/>
  <c r="IR83" i="4" s="1"/>
  <c r="HU83" i="4"/>
  <c r="HT83" i="4" s="1"/>
  <c r="HI83" i="4"/>
  <c r="HH83" i="4" s="1"/>
  <c r="GV83" i="4"/>
  <c r="GK83" i="4"/>
  <c r="GJ83" i="4" s="1"/>
  <c r="FE83" i="4"/>
  <c r="FA83" i="4" s="1"/>
  <c r="EZ83" i="4" s="1"/>
  <c r="ES83" i="4"/>
  <c r="ER83" i="4" s="1"/>
  <c r="EK83" i="4"/>
  <c r="EJ83" i="4" s="1"/>
  <c r="DM83" i="4"/>
  <c r="DI83" i="4"/>
  <c r="CW83" i="4"/>
  <c r="CV83" i="4" s="1"/>
  <c r="CS83" i="4"/>
  <c r="CK83" i="4" s="1"/>
  <c r="CJ83" i="4" s="1"/>
  <c r="CC83" i="4"/>
  <c r="BT83" i="4"/>
  <c r="BQ83" i="4"/>
  <c r="BM83" i="4" s="1"/>
  <c r="BL83" i="4" s="1"/>
  <c r="BI83" i="4"/>
  <c r="BE83" i="4" s="1"/>
  <c r="BD83" i="4" s="1"/>
  <c r="AN83" i="4"/>
  <c r="X83" i="4"/>
  <c r="U83" i="4"/>
  <c r="H83" i="4"/>
  <c r="KG82" i="4"/>
  <c r="KF82" i="4" s="1"/>
  <c r="JE82" i="4"/>
  <c r="JD82" i="4" s="1"/>
  <c r="IR82" i="4"/>
  <c r="HU82" i="4"/>
  <c r="HT82" i="4" s="1"/>
  <c r="HI82" i="4"/>
  <c r="HH82" i="4" s="1"/>
  <c r="GW82" i="4"/>
  <c r="GV82" i="4" s="1"/>
  <c r="GK82" i="4"/>
  <c r="GJ82" i="4" s="1"/>
  <c r="FA82" i="4"/>
  <c r="EZ82" i="4" s="1"/>
  <c r="ES82" i="4"/>
  <c r="ER82" i="4" s="1"/>
  <c r="EK82" i="4"/>
  <c r="EJ82" i="4" s="1"/>
  <c r="DM82" i="4"/>
  <c r="DI82" i="4"/>
  <c r="CW82" i="4"/>
  <c r="CV82" i="4" s="1"/>
  <c r="CS82" i="4"/>
  <c r="CK82" i="4" s="1"/>
  <c r="CJ82" i="4" s="1"/>
  <c r="CC82" i="4"/>
  <c r="BT82" i="4"/>
  <c r="BQ82" i="4"/>
  <c r="BM82" i="4" s="1"/>
  <c r="BL82" i="4" s="1"/>
  <c r="BI82" i="4"/>
  <c r="BE82" i="4" s="1"/>
  <c r="BD82" i="4" s="1"/>
  <c r="AO82" i="4"/>
  <c r="AN82" i="4" s="1"/>
  <c r="Y82" i="4"/>
  <c r="X82" i="4" s="1"/>
  <c r="U82" i="4"/>
  <c r="H82" i="4"/>
  <c r="BL81" i="4"/>
  <c r="BD81" i="4"/>
  <c r="H81" i="4"/>
  <c r="BL80" i="4"/>
  <c r="BD80" i="4"/>
  <c r="H80" i="4"/>
  <c r="KG79" i="4"/>
  <c r="KF79" i="4" s="1"/>
  <c r="JE79" i="4"/>
  <c r="JD79" i="4" s="1"/>
  <c r="IR79" i="4"/>
  <c r="HU79" i="4"/>
  <c r="HT79" i="4" s="1"/>
  <c r="HI79" i="4"/>
  <c r="HH79" i="4" s="1"/>
  <c r="GV79" i="4"/>
  <c r="GK79" i="4"/>
  <c r="GJ79" i="4" s="1"/>
  <c r="FA79" i="4"/>
  <c r="EZ79" i="4" s="1"/>
  <c r="ES79" i="4"/>
  <c r="ER79" i="4" s="1"/>
  <c r="EK79" i="4"/>
  <c r="EJ79" i="4" s="1"/>
  <c r="DM79" i="4"/>
  <c r="DD79" i="4"/>
  <c r="CW79" i="4"/>
  <c r="CS79" i="4"/>
  <c r="CK79" i="4" s="1"/>
  <c r="CJ79" i="4" s="1"/>
  <c r="BT79" i="4"/>
  <c r="BI79" i="4"/>
  <c r="BE79" i="4" s="1"/>
  <c r="BD79" i="4" s="1"/>
  <c r="BA79" i="4"/>
  <c r="AW79" i="4"/>
  <c r="AS79" i="4"/>
  <c r="BQ79" i="4" s="1"/>
  <c r="BM79" i="4" s="1"/>
  <c r="BL79" i="4" s="1"/>
  <c r="AK79" i="4"/>
  <c r="AG79" i="4"/>
  <c r="U79" i="4"/>
  <c r="H79" i="4"/>
  <c r="KG78" i="4"/>
  <c r="KF78" i="4" s="1"/>
  <c r="JE78" i="4"/>
  <c r="JD78" i="4" s="1"/>
  <c r="IS78" i="4"/>
  <c r="IR78" i="4" s="1"/>
  <c r="HU78" i="4"/>
  <c r="HT78" i="4" s="1"/>
  <c r="HI78" i="4"/>
  <c r="HH78" i="4" s="1"/>
  <c r="GW78" i="4"/>
  <c r="GV78" i="4" s="1"/>
  <c r="GK78" i="4"/>
  <c r="GJ78" i="4" s="1"/>
  <c r="FA78" i="4"/>
  <c r="EZ78" i="4" s="1"/>
  <c r="ES78" i="4"/>
  <c r="ER78" i="4" s="1"/>
  <c r="EK78" i="4"/>
  <c r="EJ78" i="4" s="1"/>
  <c r="DM78" i="4"/>
  <c r="DI78" i="4"/>
  <c r="CW78" i="4"/>
  <c r="CV78" i="4" s="1"/>
  <c r="CS78" i="4"/>
  <c r="CK78" i="4" s="1"/>
  <c r="CJ78" i="4" s="1"/>
  <c r="BT78" i="4"/>
  <c r="BQ78" i="4"/>
  <c r="BM78" i="4" s="1"/>
  <c r="BL78" i="4" s="1"/>
  <c r="BI78" i="4"/>
  <c r="BE78" i="4" s="1"/>
  <c r="BD78" i="4" s="1"/>
  <c r="AO78" i="4"/>
  <c r="AN78" i="4" s="1"/>
  <c r="Y78" i="4"/>
  <c r="X78" i="4" s="1"/>
  <c r="U78" i="4"/>
  <c r="H78" i="4"/>
  <c r="KG77" i="4"/>
  <c r="KF77" i="4" s="1"/>
  <c r="JE77" i="4"/>
  <c r="JD77" i="4" s="1"/>
  <c r="IS77" i="4"/>
  <c r="IR77" i="4" s="1"/>
  <c r="HU77" i="4"/>
  <c r="HT77" i="4" s="1"/>
  <c r="HI77" i="4"/>
  <c r="HH77" i="4" s="1"/>
  <c r="GW77" i="4"/>
  <c r="GV77" i="4" s="1"/>
  <c r="GK77" i="4"/>
  <c r="GJ77" i="4" s="1"/>
  <c r="GC77" i="4"/>
  <c r="FE77" i="4"/>
  <c r="FA77" i="4" s="1"/>
  <c r="EZ77" i="4" s="1"/>
  <c r="ES77" i="4"/>
  <c r="ER77" i="4" s="1"/>
  <c r="EK77" i="4"/>
  <c r="EJ77" i="4" s="1"/>
  <c r="DM77" i="4"/>
  <c r="DI77" i="4"/>
  <c r="DD77" i="4"/>
  <c r="CW77" i="4"/>
  <c r="CS77" i="4"/>
  <c r="CK77" i="4" s="1"/>
  <c r="CJ77" i="4" s="1"/>
  <c r="CC77" i="4"/>
  <c r="BT77" i="4"/>
  <c r="BQ77" i="4"/>
  <c r="BM77" i="4" s="1"/>
  <c r="BL77" i="4" s="1"/>
  <c r="BI77" i="4"/>
  <c r="BE77" i="4" s="1"/>
  <c r="BD77" i="4" s="1"/>
  <c r="AO77" i="4"/>
  <c r="AN77" i="4" s="1"/>
  <c r="Y77" i="4"/>
  <c r="X77" i="4" s="1"/>
  <c r="U77" i="4"/>
  <c r="H77" i="4"/>
  <c r="KG76" i="4"/>
  <c r="KF76" i="4" s="1"/>
  <c r="JE76" i="4"/>
  <c r="JD76" i="4" s="1"/>
  <c r="IS76" i="4"/>
  <c r="IR76" i="4" s="1"/>
  <c r="HU76" i="4"/>
  <c r="HT76" i="4" s="1"/>
  <c r="HI76" i="4"/>
  <c r="HH76" i="4" s="1"/>
  <c r="GV76" i="4"/>
  <c r="GK76" i="4"/>
  <c r="GJ76" i="4" s="1"/>
  <c r="GC76" i="4"/>
  <c r="FE76" i="4"/>
  <c r="FA76" i="4" s="1"/>
  <c r="EZ76" i="4" s="1"/>
  <c r="ES76" i="4"/>
  <c r="ER76" i="4" s="1"/>
  <c r="EK76" i="4"/>
  <c r="EJ76" i="4" s="1"/>
  <c r="DM76" i="4"/>
  <c r="DI76" i="4"/>
  <c r="DD76" i="4"/>
  <c r="CW76" i="4"/>
  <c r="CV76" i="4" s="1"/>
  <c r="CT76" i="4"/>
  <c r="CS76" i="4"/>
  <c r="CJ76" i="4"/>
  <c r="CC76" i="4"/>
  <c r="BT76" i="4"/>
  <c r="BR76" i="4"/>
  <c r="DJ76" i="4" s="1"/>
  <c r="BQ76" i="4"/>
  <c r="BM76" i="4" s="1"/>
  <c r="BL76" i="4" s="1"/>
  <c r="BJ76" i="4"/>
  <c r="BI76" i="4"/>
  <c r="BE76" i="4" s="1"/>
  <c r="BD76" i="4" s="1"/>
  <c r="AN76" i="4"/>
  <c r="X76" i="4"/>
  <c r="KG75" i="4"/>
  <c r="KF75" i="4" s="1"/>
  <c r="JE75" i="4"/>
  <c r="JD75" i="4" s="1"/>
  <c r="IS75" i="4"/>
  <c r="IR75" i="4" s="1"/>
  <c r="HU75" i="4"/>
  <c r="HT75" i="4" s="1"/>
  <c r="HI75" i="4"/>
  <c r="HH75" i="4" s="1"/>
  <c r="GV75" i="4"/>
  <c r="GK75" i="4"/>
  <c r="GJ75" i="4" s="1"/>
  <c r="GC75" i="4"/>
  <c r="FA75" i="4"/>
  <c r="EZ75" i="4" s="1"/>
  <c r="ES75" i="4"/>
  <c r="ER75" i="4" s="1"/>
  <c r="EK75" i="4"/>
  <c r="EJ75" i="4" s="1"/>
  <c r="DM75" i="4"/>
  <c r="DJ75" i="4"/>
  <c r="DI75" i="4"/>
  <c r="CW75" i="4"/>
  <c r="CV75" i="4" s="1"/>
  <c r="CS75" i="4"/>
  <c r="CJ75" i="4"/>
  <c r="CC75" i="4"/>
  <c r="BT75" i="4"/>
  <c r="BQ75" i="4"/>
  <c r="BM75" i="4" s="1"/>
  <c r="BL75" i="4" s="1"/>
  <c r="BI75" i="4"/>
  <c r="BE75" i="4" s="1"/>
  <c r="BD75" i="4" s="1"/>
  <c r="AO75" i="4"/>
  <c r="AN75" i="4" s="1"/>
  <c r="Y75" i="4"/>
  <c r="X75" i="4" s="1"/>
  <c r="KG74" i="4"/>
  <c r="KF74" i="4" s="1"/>
  <c r="JE74" i="4"/>
  <c r="JD74" i="4" s="1"/>
  <c r="IS74" i="4"/>
  <c r="IR74" i="4" s="1"/>
  <c r="HU74" i="4"/>
  <c r="HT74" i="4" s="1"/>
  <c r="HI74" i="4"/>
  <c r="HH74" i="4" s="1"/>
  <c r="GW74" i="4"/>
  <c r="GV74" i="4" s="1"/>
  <c r="GK74" i="4"/>
  <c r="GJ74" i="4" s="1"/>
  <c r="GC74" i="4"/>
  <c r="FA74" i="4"/>
  <c r="EZ74" i="4" s="1"/>
  <c r="ES74" i="4"/>
  <c r="ER74" i="4" s="1"/>
  <c r="EK74" i="4"/>
  <c r="EJ74" i="4" s="1"/>
  <c r="DM74" i="4"/>
  <c r="DI74" i="4"/>
  <c r="CW74" i="4"/>
  <c r="CV74" i="4" s="1"/>
  <c r="CS74" i="4"/>
  <c r="CK74" i="4" s="1"/>
  <c r="CJ74" i="4" s="1"/>
  <c r="CC74" i="4"/>
  <c r="BT74" i="4"/>
  <c r="BQ74" i="4"/>
  <c r="BM74" i="4" s="1"/>
  <c r="BL74" i="4" s="1"/>
  <c r="BI74" i="4"/>
  <c r="BE74" i="4" s="1"/>
  <c r="BD74" i="4" s="1"/>
  <c r="AO74" i="4"/>
  <c r="AN74" i="4" s="1"/>
  <c r="Y74" i="4"/>
  <c r="X74" i="4" s="1"/>
  <c r="KG73" i="4"/>
  <c r="KF73" i="4" s="1"/>
  <c r="JE73" i="4"/>
  <c r="JD73" i="4" s="1"/>
  <c r="IS73" i="4"/>
  <c r="IR73" i="4" s="1"/>
  <c r="HU73" i="4"/>
  <c r="HT73" i="4" s="1"/>
  <c r="HI73" i="4"/>
  <c r="HH73" i="4" s="1"/>
  <c r="GW73" i="4"/>
  <c r="GV73" i="4" s="1"/>
  <c r="GK73" i="4"/>
  <c r="GJ73" i="4" s="1"/>
  <c r="GC73" i="4"/>
  <c r="FA73" i="4"/>
  <c r="EZ73" i="4" s="1"/>
  <c r="ES73" i="4"/>
  <c r="ER73" i="4" s="1"/>
  <c r="EK73" i="4"/>
  <c r="EJ73" i="4" s="1"/>
  <c r="DM73" i="4"/>
  <c r="DI73" i="4"/>
  <c r="CW73" i="4"/>
  <c r="CV73" i="4" s="1"/>
  <c r="CS73" i="4"/>
  <c r="CK73" i="4" s="1"/>
  <c r="CJ73" i="4" s="1"/>
  <c r="CC73" i="4"/>
  <c r="BT73" i="4"/>
  <c r="BQ73" i="4"/>
  <c r="BM73" i="4" s="1"/>
  <c r="BL73" i="4" s="1"/>
  <c r="BI73" i="4"/>
  <c r="BE73" i="4" s="1"/>
  <c r="BD73" i="4" s="1"/>
  <c r="AO73" i="4"/>
  <c r="AN73" i="4" s="1"/>
  <c r="Y73" i="4"/>
  <c r="X73" i="4" s="1"/>
  <c r="KK72" i="4"/>
  <c r="KG72" i="4" s="1"/>
  <c r="KF72" i="4" s="1"/>
  <c r="JE72" i="4"/>
  <c r="JD72" i="4" s="1"/>
  <c r="IS72" i="4"/>
  <c r="IR72" i="4" s="1"/>
  <c r="HU72" i="4"/>
  <c r="HT72" i="4" s="1"/>
  <c r="HI72" i="4"/>
  <c r="HH72" i="4" s="1"/>
  <c r="HA72" i="4"/>
  <c r="GW72" i="4" s="1"/>
  <c r="GV72" i="4" s="1"/>
  <c r="GK72" i="4"/>
  <c r="GJ72" i="4" s="1"/>
  <c r="FA72" i="4"/>
  <c r="EZ72" i="4" s="1"/>
  <c r="ES72" i="4"/>
  <c r="ER72" i="4" s="1"/>
  <c r="EK72" i="4"/>
  <c r="EJ72" i="4" s="1"/>
  <c r="DM72" i="4"/>
  <c r="DI72" i="4"/>
  <c r="CW72" i="4"/>
  <c r="CV72" i="4" s="1"/>
  <c r="CS72" i="4"/>
  <c r="CO72" i="4"/>
  <c r="BT72" i="4"/>
  <c r="BQ72" i="4"/>
  <c r="BM72" i="4" s="1"/>
  <c r="BL72" i="4" s="1"/>
  <c r="BI72" i="4"/>
  <c r="BE72" i="4" s="1"/>
  <c r="BD72" i="4" s="1"/>
  <c r="AO72" i="4"/>
  <c r="AN72" i="4" s="1"/>
  <c r="Y72" i="4"/>
  <c r="X72" i="4" s="1"/>
  <c r="U72" i="4"/>
  <c r="H72" i="4"/>
  <c r="KG71" i="4"/>
  <c r="KF71" i="4" s="1"/>
  <c r="JE71" i="4"/>
  <c r="JD71" i="4" s="1"/>
  <c r="IS71" i="4"/>
  <c r="IR71" i="4" s="1"/>
  <c r="HU71" i="4"/>
  <c r="HT71" i="4" s="1"/>
  <c r="HI71" i="4"/>
  <c r="HH71" i="4" s="1"/>
  <c r="GV71" i="4"/>
  <c r="GK71" i="4"/>
  <c r="GJ71" i="4" s="1"/>
  <c r="FA71" i="4"/>
  <c r="EZ71" i="4" s="1"/>
  <c r="ES71" i="4"/>
  <c r="ER71" i="4" s="1"/>
  <c r="EK71" i="4"/>
  <c r="EJ71" i="4" s="1"/>
  <c r="DM71" i="4"/>
  <c r="DI71" i="4"/>
  <c r="CW71" i="4"/>
  <c r="CV71" i="4" s="1"/>
  <c r="CS71" i="4"/>
  <c r="BT71" i="4"/>
  <c r="BQ71" i="4"/>
  <c r="BM71" i="4" s="1"/>
  <c r="BL71" i="4" s="1"/>
  <c r="BI71" i="4"/>
  <c r="BE71" i="4" s="1"/>
  <c r="BD71" i="4" s="1"/>
  <c r="AO71" i="4"/>
  <c r="AN71" i="4" s="1"/>
  <c r="Y71" i="4"/>
  <c r="X71" i="4" s="1"/>
  <c r="KG70" i="4"/>
  <c r="KF70" i="4" s="1"/>
  <c r="JE70" i="4"/>
  <c r="JD70" i="4" s="1"/>
  <c r="IS70" i="4"/>
  <c r="IR70" i="4" s="1"/>
  <c r="HU70" i="4"/>
  <c r="HT70" i="4" s="1"/>
  <c r="HI70" i="4"/>
  <c r="HH70" i="4" s="1"/>
  <c r="GW70" i="4"/>
  <c r="GV70" i="4" s="1"/>
  <c r="GK70" i="4"/>
  <c r="GJ70" i="4" s="1"/>
  <c r="FA70" i="4"/>
  <c r="EZ70" i="4" s="1"/>
  <c r="ES70" i="4"/>
  <c r="ER70" i="4" s="1"/>
  <c r="EK70" i="4"/>
  <c r="EJ70" i="4" s="1"/>
  <c r="DM70" i="4"/>
  <c r="DI70" i="4"/>
  <c r="CW70" i="4"/>
  <c r="CV70" i="4" s="1"/>
  <c r="CS70" i="4"/>
  <c r="BT70" i="4"/>
  <c r="BQ70" i="4"/>
  <c r="BM70" i="4" s="1"/>
  <c r="BL70" i="4" s="1"/>
  <c r="BI70" i="4"/>
  <c r="BE70" i="4" s="1"/>
  <c r="BD70" i="4" s="1"/>
  <c r="AO70" i="4"/>
  <c r="AN70" i="4" s="1"/>
  <c r="Y70" i="4"/>
  <c r="X70" i="4" s="1"/>
  <c r="KG69" i="4"/>
  <c r="KF69" i="4" s="1"/>
  <c r="JE69" i="4"/>
  <c r="JD69" i="4" s="1"/>
  <c r="IS69" i="4"/>
  <c r="IR69" i="4" s="1"/>
  <c r="HU69" i="4"/>
  <c r="HT69" i="4" s="1"/>
  <c r="HI69" i="4"/>
  <c r="HH69" i="4" s="1"/>
  <c r="GW69" i="4"/>
  <c r="GV69" i="4" s="1"/>
  <c r="GK69" i="4"/>
  <c r="GJ69" i="4" s="1"/>
  <c r="FA69" i="4"/>
  <c r="EZ69" i="4" s="1"/>
  <c r="ES69" i="4"/>
  <c r="ER69" i="4" s="1"/>
  <c r="EK69" i="4"/>
  <c r="EJ69" i="4" s="1"/>
  <c r="DI69" i="4"/>
  <c r="DD69" i="4"/>
  <c r="CW69" i="4"/>
  <c r="CV69" i="4" s="1"/>
  <c r="CS69" i="4"/>
  <c r="CJ69" i="4"/>
  <c r="BT69" i="4"/>
  <c r="BQ69" i="4"/>
  <c r="BM69" i="4" s="1"/>
  <c r="BL69" i="4" s="1"/>
  <c r="BI69" i="4"/>
  <c r="BE69" i="4" s="1"/>
  <c r="BD69" i="4" s="1"/>
  <c r="AO69" i="4"/>
  <c r="AN69" i="4" s="1"/>
  <c r="Y69" i="4"/>
  <c r="X69" i="4" s="1"/>
  <c r="H69" i="4"/>
  <c r="KG68" i="4"/>
  <c r="KF68" i="4" s="1"/>
  <c r="KC68" i="4"/>
  <c r="JE68" i="4"/>
  <c r="JD68" i="4" s="1"/>
  <c r="IS68" i="4"/>
  <c r="IR68" i="4" s="1"/>
  <c r="HT68" i="4"/>
  <c r="HI68" i="4"/>
  <c r="HH68" i="4" s="1"/>
  <c r="GV68" i="4"/>
  <c r="GK68" i="4"/>
  <c r="GJ68" i="4" s="1"/>
  <c r="FA68" i="4"/>
  <c r="EZ68" i="4" s="1"/>
  <c r="ES68" i="4"/>
  <c r="ER68" i="4" s="1"/>
  <c r="EK68" i="4"/>
  <c r="EJ68" i="4" s="1"/>
  <c r="DM68" i="4"/>
  <c r="DD68" i="4"/>
  <c r="CW68" i="4"/>
  <c r="CV68" i="4" s="1"/>
  <c r="CS68" i="4"/>
  <c r="CJ68" i="4"/>
  <c r="CC68" i="4"/>
  <c r="BU68" i="4"/>
  <c r="BT68" i="4" s="1"/>
  <c r="BR68" i="4"/>
  <c r="BQ68" i="4"/>
  <c r="BM68" i="4" s="1"/>
  <c r="BL68" i="4" s="1"/>
  <c r="BJ68" i="4"/>
  <c r="BI68" i="4"/>
  <c r="BE68" i="4" s="1"/>
  <c r="BD68" i="4" s="1"/>
  <c r="AN68" i="4"/>
  <c r="X68" i="4"/>
  <c r="KF67" i="4"/>
  <c r="KC67" i="4"/>
  <c r="JE67" i="4"/>
  <c r="JD67" i="4" s="1"/>
  <c r="IR67" i="4"/>
  <c r="HT67" i="4"/>
  <c r="HH67" i="4"/>
  <c r="GV67" i="4"/>
  <c r="GK67" i="4"/>
  <c r="GJ67" i="4" s="1"/>
  <c r="FA67" i="4"/>
  <c r="EZ67" i="4" s="1"/>
  <c r="ES67" i="4"/>
  <c r="ER67" i="4" s="1"/>
  <c r="EK67" i="4"/>
  <c r="EJ67" i="4" s="1"/>
  <c r="DM67" i="4"/>
  <c r="DD67" i="4"/>
  <c r="CW67" i="4"/>
  <c r="CV67" i="4" s="1"/>
  <c r="CS67" i="4"/>
  <c r="CJ67" i="4"/>
  <c r="BU67" i="4"/>
  <c r="BT67" i="4" s="1"/>
  <c r="BR67" i="4"/>
  <c r="BQ67" i="4"/>
  <c r="BM67" i="4" s="1"/>
  <c r="BL67" i="4" s="1"/>
  <c r="BJ67" i="4"/>
  <c r="BI67" i="4"/>
  <c r="BE67" i="4" s="1"/>
  <c r="BD67" i="4" s="1"/>
  <c r="AN67" i="4"/>
  <c r="X67" i="4"/>
  <c r="KG66" i="4"/>
  <c r="KF66" i="4" s="1"/>
  <c r="JE66" i="4"/>
  <c r="JD66" i="4" s="1"/>
  <c r="IR66" i="4"/>
  <c r="HU66" i="4"/>
  <c r="HT66" i="4" s="1"/>
  <c r="HI66" i="4"/>
  <c r="HH66" i="4" s="1"/>
  <c r="GV66" i="4"/>
  <c r="GK66" i="4"/>
  <c r="GJ66" i="4" s="1"/>
  <c r="GC66" i="4"/>
  <c r="FA66" i="4"/>
  <c r="EZ66" i="4" s="1"/>
  <c r="ES66" i="4"/>
  <c r="ER66" i="4" s="1"/>
  <c r="EK66" i="4"/>
  <c r="EJ66" i="4" s="1"/>
  <c r="DD66" i="4"/>
  <c r="CW66" i="4"/>
  <c r="CV66" i="4" s="1"/>
  <c r="CJ66" i="4"/>
  <c r="CC66" i="4"/>
  <c r="BT66" i="4"/>
  <c r="BM66" i="4"/>
  <c r="BL66" i="4" s="1"/>
  <c r="BE66" i="4"/>
  <c r="BD66" i="4" s="1"/>
  <c r="AO66" i="4"/>
  <c r="AN66" i="4" s="1"/>
  <c r="Y66" i="4"/>
  <c r="X66" i="4" s="1"/>
  <c r="KG65" i="4"/>
  <c r="KF65" i="4" s="1"/>
  <c r="JE65" i="4"/>
  <c r="JD65" i="4" s="1"/>
  <c r="IS65" i="4"/>
  <c r="IR65" i="4" s="1"/>
  <c r="HU65" i="4"/>
  <c r="HT65" i="4" s="1"/>
  <c r="HI65" i="4"/>
  <c r="HH65" i="4" s="1"/>
  <c r="GW65" i="4"/>
  <c r="GV65" i="4" s="1"/>
  <c r="GK65" i="4"/>
  <c r="GJ65" i="4" s="1"/>
  <c r="GC65" i="4"/>
  <c r="FA65" i="4"/>
  <c r="EZ65" i="4" s="1"/>
  <c r="ES65" i="4"/>
  <c r="ER65" i="4" s="1"/>
  <c r="EK65" i="4"/>
  <c r="EJ65" i="4" s="1"/>
  <c r="DD65" i="4"/>
  <c r="CW65" i="4"/>
  <c r="CV65" i="4" s="1"/>
  <c r="CJ65" i="4"/>
  <c r="CC65" i="4"/>
  <c r="BT65" i="4"/>
  <c r="BM65" i="4"/>
  <c r="BL65" i="4" s="1"/>
  <c r="BE65" i="4"/>
  <c r="BD65" i="4" s="1"/>
  <c r="AO65" i="4"/>
  <c r="AN65" i="4" s="1"/>
  <c r="Y65" i="4"/>
  <c r="X65" i="4" s="1"/>
  <c r="KG64" i="4"/>
  <c r="KF64" i="4" s="1"/>
  <c r="JD64" i="4"/>
  <c r="IS64" i="4"/>
  <c r="IR64" i="4" s="1"/>
  <c r="HT64" i="4"/>
  <c r="HI64" i="4"/>
  <c r="HH64" i="4" s="1"/>
  <c r="GW64" i="4"/>
  <c r="GV64" i="4" s="1"/>
  <c r="GK64" i="4"/>
  <c r="GJ64" i="4" s="1"/>
  <c r="GC64" i="4"/>
  <c r="FA64" i="4"/>
  <c r="EZ64" i="4" s="1"/>
  <c r="ES64" i="4"/>
  <c r="ER64" i="4" s="1"/>
  <c r="EK64" i="4"/>
  <c r="EJ64" i="4" s="1"/>
  <c r="DM64" i="4"/>
  <c r="DJ64" i="4"/>
  <c r="DI64" i="4"/>
  <c r="DD64" i="4"/>
  <c r="CW64" i="4"/>
  <c r="CV64" i="4" s="1"/>
  <c r="CK64" i="4"/>
  <c r="CJ64" i="4" s="1"/>
  <c r="CC64" i="4"/>
  <c r="BT64" i="4"/>
  <c r="BM64" i="4"/>
  <c r="BL64" i="4" s="1"/>
  <c r="BE64" i="4"/>
  <c r="BD64" i="4" s="1"/>
  <c r="AO64" i="4"/>
  <c r="AN64" i="4" s="1"/>
  <c r="Y64" i="4"/>
  <c r="X64" i="4" s="1"/>
  <c r="KG63" i="4"/>
  <c r="KF63" i="4" s="1"/>
  <c r="KC63" i="4"/>
  <c r="JE63" i="4"/>
  <c r="JD63" i="4" s="1"/>
  <c r="IS63" i="4"/>
  <c r="IR63" i="4" s="1"/>
  <c r="HU63" i="4"/>
  <c r="HT63" i="4" s="1"/>
  <c r="HI63" i="4"/>
  <c r="HH63" i="4" s="1"/>
  <c r="GW63" i="4"/>
  <c r="GV63" i="4" s="1"/>
  <c r="GK63" i="4"/>
  <c r="GJ63" i="4" s="1"/>
  <c r="GC63" i="4"/>
  <c r="FA63" i="4"/>
  <c r="EZ63" i="4" s="1"/>
  <c r="ES63" i="4"/>
  <c r="ER63" i="4" s="1"/>
  <c r="EK63" i="4"/>
  <c r="EJ63" i="4" s="1"/>
  <c r="DD63" i="4"/>
  <c r="CW63" i="4"/>
  <c r="CV63" i="4" s="1"/>
  <c r="CS63" i="4"/>
  <c r="CJ63" i="4"/>
  <c r="BU63" i="4"/>
  <c r="BT63" i="4" s="1"/>
  <c r="BM63" i="4"/>
  <c r="BL63" i="4" s="1"/>
  <c r="BE63" i="4"/>
  <c r="BD63" i="4" s="1"/>
  <c r="AN63" i="4"/>
  <c r="X63" i="4"/>
  <c r="KG62" i="4"/>
  <c r="KF62" i="4" s="1"/>
  <c r="KC62" i="4"/>
  <c r="JE62" i="4"/>
  <c r="JD62" i="4" s="1"/>
  <c r="IS62" i="4"/>
  <c r="IR62" i="4" s="1"/>
  <c r="HU62" i="4"/>
  <c r="HT62" i="4" s="1"/>
  <c r="HI62" i="4"/>
  <c r="HH62" i="4" s="1"/>
  <c r="GW62" i="4"/>
  <c r="GV62" i="4" s="1"/>
  <c r="GK62" i="4"/>
  <c r="GJ62" i="4" s="1"/>
  <c r="FA62" i="4"/>
  <c r="EZ62" i="4" s="1"/>
  <c r="ES62" i="4"/>
  <c r="ER62" i="4" s="1"/>
  <c r="EK62" i="4"/>
  <c r="EJ62" i="4" s="1"/>
  <c r="DE62" i="4"/>
  <c r="DD62" i="4" s="1"/>
  <c r="CW62" i="4"/>
  <c r="CV62" i="4" s="1"/>
  <c r="CK62" i="4"/>
  <c r="CJ62" i="4" s="1"/>
  <c r="CC62" i="4"/>
  <c r="BT62" i="4"/>
  <c r="BM62" i="4"/>
  <c r="BL62" i="4" s="1"/>
  <c r="BE62" i="4"/>
  <c r="BD62" i="4" s="1"/>
  <c r="AO62" i="4"/>
  <c r="AN62" i="4" s="1"/>
  <c r="Y62" i="4"/>
  <c r="X62" i="4" s="1"/>
  <c r="KG61" i="4"/>
  <c r="KF61" i="4" s="1"/>
  <c r="KC61" i="4"/>
  <c r="JE61" i="4"/>
  <c r="JD61" i="4" s="1"/>
  <c r="IS61" i="4"/>
  <c r="IR61" i="4" s="1"/>
  <c r="HT61" i="4"/>
  <c r="HI61" i="4"/>
  <c r="HH61" i="4" s="1"/>
  <c r="GW61" i="4"/>
  <c r="GV61" i="4" s="1"/>
  <c r="GK61" i="4"/>
  <c r="GJ61" i="4" s="1"/>
  <c r="FA61" i="4"/>
  <c r="EZ61" i="4" s="1"/>
  <c r="ES61" i="4"/>
  <c r="ER61" i="4" s="1"/>
  <c r="EK61" i="4"/>
  <c r="EJ61" i="4" s="1"/>
  <c r="DE61" i="4"/>
  <c r="DD61" i="4" s="1"/>
  <c r="CW61" i="4"/>
  <c r="CV61" i="4" s="1"/>
  <c r="CK61" i="4"/>
  <c r="CJ61" i="4" s="1"/>
  <c r="CC61" i="4"/>
  <c r="BT61" i="4"/>
  <c r="BM61" i="4"/>
  <c r="BL61" i="4" s="1"/>
  <c r="BE61" i="4"/>
  <c r="BD61" i="4" s="1"/>
  <c r="AO61" i="4"/>
  <c r="AN61" i="4" s="1"/>
  <c r="Y61" i="4"/>
  <c r="X61" i="4" s="1"/>
  <c r="KG60" i="4"/>
  <c r="KF60" i="4" s="1"/>
  <c r="JE60" i="4"/>
  <c r="JD60" i="4" s="1"/>
  <c r="IS60" i="4"/>
  <c r="IR60" i="4" s="1"/>
  <c r="HU60" i="4"/>
  <c r="HT60" i="4" s="1"/>
  <c r="HI60" i="4"/>
  <c r="HH60" i="4" s="1"/>
  <c r="GW60" i="4"/>
  <c r="GV60" i="4" s="1"/>
  <c r="GK60" i="4"/>
  <c r="GJ60" i="4" s="1"/>
  <c r="GC60" i="4"/>
  <c r="FA60" i="4"/>
  <c r="EZ60" i="4" s="1"/>
  <c r="ES60" i="4"/>
  <c r="ER60" i="4" s="1"/>
  <c r="EK60" i="4"/>
  <c r="EJ60" i="4" s="1"/>
  <c r="DM60" i="4"/>
  <c r="DE60" i="4" s="1"/>
  <c r="DD60" i="4" s="1"/>
  <c r="CW60" i="4"/>
  <c r="CV60" i="4" s="1"/>
  <c r="CK60" i="4"/>
  <c r="CJ60" i="4" s="1"/>
  <c r="CC60" i="4"/>
  <c r="BT60" i="4"/>
  <c r="BM60" i="4"/>
  <c r="BL60" i="4" s="1"/>
  <c r="BE60" i="4"/>
  <c r="BD60" i="4" s="1"/>
  <c r="AO60" i="4"/>
  <c r="AN60" i="4" s="1"/>
  <c r="Y60" i="4"/>
  <c r="X60" i="4" s="1"/>
  <c r="H60" i="4"/>
  <c r="KF59" i="4"/>
  <c r="JE59" i="4"/>
  <c r="JD59" i="4" s="1"/>
  <c r="IR59" i="4"/>
  <c r="HT59" i="4"/>
  <c r="HI59" i="4"/>
  <c r="HH59" i="4" s="1"/>
  <c r="GV59" i="4"/>
  <c r="GK59" i="4"/>
  <c r="GJ59" i="4" s="1"/>
  <c r="FA59" i="4"/>
  <c r="EZ59" i="4" s="1"/>
  <c r="ES59" i="4"/>
  <c r="ER59" i="4" s="1"/>
  <c r="EK59" i="4"/>
  <c r="EJ59" i="4" s="1"/>
  <c r="DD59" i="4"/>
  <c r="CW59" i="4"/>
  <c r="CV59" i="4" s="1"/>
  <c r="CJ59" i="4"/>
  <c r="CC59" i="4"/>
  <c r="BT59" i="4"/>
  <c r="BM59" i="4"/>
  <c r="BL59" i="4" s="1"/>
  <c r="BE59" i="4"/>
  <c r="BD59" i="4" s="1"/>
  <c r="AO59" i="4"/>
  <c r="AN59" i="4" s="1"/>
  <c r="Y59" i="4"/>
  <c r="X59" i="4" s="1"/>
  <c r="KG58" i="4"/>
  <c r="KF58" i="4" s="1"/>
  <c r="KC58" i="4"/>
  <c r="JE58" i="4"/>
  <c r="JD58" i="4" s="1"/>
  <c r="IS58" i="4"/>
  <c r="IR58" i="4" s="1"/>
  <c r="HT58" i="4"/>
  <c r="HI58" i="4"/>
  <c r="HH58" i="4" s="1"/>
  <c r="GW58" i="4"/>
  <c r="GV58" i="4" s="1"/>
  <c r="GK58" i="4"/>
  <c r="GJ58" i="4" s="1"/>
  <c r="FA58" i="4"/>
  <c r="EZ58" i="4" s="1"/>
  <c r="ES58" i="4"/>
  <c r="ER58" i="4" s="1"/>
  <c r="EK58" i="4"/>
  <c r="EJ58" i="4" s="1"/>
  <c r="DE58" i="4"/>
  <c r="DD58" i="4" s="1"/>
  <c r="CW58" i="4"/>
  <c r="CV58" i="4" s="1"/>
  <c r="CK58" i="4"/>
  <c r="CJ58" i="4" s="1"/>
  <c r="CC58" i="4"/>
  <c r="BT58" i="4"/>
  <c r="BM58" i="4"/>
  <c r="BL58" i="4" s="1"/>
  <c r="BE58" i="4"/>
  <c r="BD58" i="4" s="1"/>
  <c r="AO58" i="4"/>
  <c r="AN58" i="4" s="1"/>
  <c r="Y58" i="4"/>
  <c r="X58" i="4" s="1"/>
  <c r="KG57" i="4"/>
  <c r="KF57" i="4" s="1"/>
  <c r="KC57" i="4"/>
  <c r="JE57" i="4"/>
  <c r="JD57" i="4" s="1"/>
  <c r="IS57" i="4"/>
  <c r="IR57" i="4" s="1"/>
  <c r="HU57" i="4"/>
  <c r="HT57" i="4" s="1"/>
  <c r="HI57" i="4"/>
  <c r="HH57" i="4" s="1"/>
  <c r="GW57" i="4"/>
  <c r="GV57" i="4" s="1"/>
  <c r="GK57" i="4"/>
  <c r="GJ57" i="4" s="1"/>
  <c r="FA57" i="4"/>
  <c r="EZ57" i="4" s="1"/>
  <c r="ES57" i="4"/>
  <c r="ER57" i="4" s="1"/>
  <c r="EK57" i="4"/>
  <c r="EJ57" i="4" s="1"/>
  <c r="DE57" i="4"/>
  <c r="DD57" i="4" s="1"/>
  <c r="CW57" i="4"/>
  <c r="CV57" i="4" s="1"/>
  <c r="CK57" i="4"/>
  <c r="CJ57" i="4" s="1"/>
  <c r="BU57" i="4"/>
  <c r="BT57" i="4" s="1"/>
  <c r="BM57" i="4"/>
  <c r="BL57" i="4" s="1"/>
  <c r="BE57" i="4"/>
  <c r="BD57" i="4" s="1"/>
  <c r="AO57" i="4"/>
  <c r="AN57" i="4" s="1"/>
  <c r="Y57" i="4"/>
  <c r="X57" i="4" s="1"/>
  <c r="KG56" i="4"/>
  <c r="KF56" i="4" s="1"/>
  <c r="JE56" i="4"/>
  <c r="JD56" i="4" s="1"/>
  <c r="IS56" i="4"/>
  <c r="IR56" i="4" s="1"/>
  <c r="HU56" i="4"/>
  <c r="HT56" i="4" s="1"/>
  <c r="HI56" i="4"/>
  <c r="HH56" i="4" s="1"/>
  <c r="GW56" i="4"/>
  <c r="GV56" i="4" s="1"/>
  <c r="GK56" i="4"/>
  <c r="GJ56" i="4" s="1"/>
  <c r="FA56" i="4"/>
  <c r="EZ56" i="4" s="1"/>
  <c r="ES56" i="4"/>
  <c r="ER56" i="4" s="1"/>
  <c r="EK56" i="4"/>
  <c r="EJ56" i="4" s="1"/>
  <c r="CW56" i="4"/>
  <c r="CV56" i="4" s="1"/>
  <c r="CK56" i="4"/>
  <c r="CJ56" i="4" s="1"/>
  <c r="BU56" i="4"/>
  <c r="BT56" i="4" s="1"/>
  <c r="BM56" i="4"/>
  <c r="BL56" i="4" s="1"/>
  <c r="BE56" i="4"/>
  <c r="BD56" i="4" s="1"/>
  <c r="AO56" i="4"/>
  <c r="AN56" i="4" s="1"/>
  <c r="Y56" i="4"/>
  <c r="X56" i="4" s="1"/>
  <c r="KG55" i="4"/>
  <c r="KF55" i="4" s="1"/>
  <c r="JD55" i="4"/>
  <c r="IS55" i="4"/>
  <c r="IR55" i="4" s="1"/>
  <c r="HU55" i="4"/>
  <c r="HT55" i="4" s="1"/>
  <c r="HI55" i="4"/>
  <c r="HH55" i="4" s="1"/>
  <c r="GW55" i="4"/>
  <c r="GV55" i="4" s="1"/>
  <c r="GN55" i="4"/>
  <c r="GK55" i="4" s="1"/>
  <c r="GJ55" i="4" s="1"/>
  <c r="FA55" i="4"/>
  <c r="EZ55" i="4" s="1"/>
  <c r="ES55" i="4"/>
  <c r="ER55" i="4" s="1"/>
  <c r="EK55" i="4"/>
  <c r="EJ55" i="4" s="1"/>
  <c r="CW55" i="4"/>
  <c r="CV55" i="4" s="1"/>
  <c r="CK55" i="4"/>
  <c r="CJ55" i="4" s="1"/>
  <c r="BT55" i="4"/>
  <c r="BM55" i="4"/>
  <c r="BL55" i="4" s="1"/>
  <c r="BE55" i="4"/>
  <c r="BD55" i="4" s="1"/>
  <c r="AO55" i="4"/>
  <c r="AN55" i="4" s="1"/>
  <c r="Y55" i="4"/>
  <c r="X55" i="4" s="1"/>
  <c r="H55" i="4"/>
  <c r="KK54" i="4"/>
  <c r="KG54" i="4" s="1"/>
  <c r="KF54" i="4" s="1"/>
  <c r="JE54" i="4"/>
  <c r="JD54" i="4" s="1"/>
  <c r="IS54" i="4"/>
  <c r="IR54" i="4" s="1"/>
  <c r="HT54" i="4"/>
  <c r="HI54" i="4"/>
  <c r="HH54" i="4" s="1"/>
  <c r="GW54" i="4"/>
  <c r="GV54" i="4" s="1"/>
  <c r="GK54" i="4"/>
  <c r="GJ54" i="4" s="1"/>
  <c r="FA54" i="4"/>
  <c r="EZ54" i="4" s="1"/>
  <c r="ES54" i="4"/>
  <c r="ER54" i="4" s="1"/>
  <c r="EK54" i="4"/>
  <c r="EJ54" i="4" s="1"/>
  <c r="DI54" i="4"/>
  <c r="DE54" i="4" s="1"/>
  <c r="DD54" i="4" s="1"/>
  <c r="CW54" i="4"/>
  <c r="CV54" i="4" s="1"/>
  <c r="CS54" i="4"/>
  <c r="CK54" i="4" s="1"/>
  <c r="CJ54" i="4" s="1"/>
  <c r="BT54" i="4"/>
  <c r="BQ54" i="4"/>
  <c r="BM54" i="4" s="1"/>
  <c r="BL54" i="4" s="1"/>
  <c r="BI54" i="4"/>
  <c r="BE54" i="4" s="1"/>
  <c r="BD54" i="4" s="1"/>
  <c r="AO54" i="4"/>
  <c r="AN54" i="4" s="1"/>
  <c r="Y54" i="4"/>
  <c r="X54" i="4" s="1"/>
  <c r="H54" i="4"/>
  <c r="EK53" i="4"/>
  <c r="BT53" i="4"/>
  <c r="BL53" i="4"/>
  <c r="BD53" i="4"/>
  <c r="Y53" i="4"/>
  <c r="H53" i="4"/>
  <c r="KK52" i="4"/>
  <c r="KG52" i="4" s="1"/>
  <c r="KF52" i="4" s="1"/>
  <c r="JE52" i="4"/>
  <c r="IS52" i="4"/>
  <c r="HU52" i="4"/>
  <c r="HT52" i="4" s="1"/>
  <c r="HI52" i="4"/>
  <c r="GW52" i="4"/>
  <c r="GV52" i="4" s="1"/>
  <c r="GK52" i="4"/>
  <c r="GJ52" i="4" s="1"/>
  <c r="FA52" i="4"/>
  <c r="EZ52" i="4" s="1"/>
  <c r="ES52" i="4"/>
  <c r="ER52" i="4" s="1"/>
  <c r="EK52" i="4"/>
  <c r="EJ52" i="4" s="1"/>
  <c r="DE52" i="4"/>
  <c r="CW52" i="4"/>
  <c r="CV52" i="4" s="1"/>
  <c r="CK52" i="4"/>
  <c r="CJ52" i="4" s="1"/>
  <c r="BT52" i="4"/>
  <c r="BM52" i="4"/>
  <c r="BL52" i="4" s="1"/>
  <c r="BE52" i="4"/>
  <c r="BD52" i="4" s="1"/>
  <c r="AO52" i="4"/>
  <c r="AN52" i="4" s="1"/>
  <c r="Y52" i="4"/>
  <c r="X52" i="4" s="1"/>
  <c r="KG51" i="4"/>
  <c r="KF51" i="4" s="1"/>
  <c r="JE51" i="4"/>
  <c r="JD51" i="4" s="1"/>
  <c r="IS51" i="4"/>
  <c r="IR51" i="4" s="1"/>
  <c r="HU51" i="4"/>
  <c r="HT51" i="4" s="1"/>
  <c r="HI51" i="4"/>
  <c r="HH51" i="4" s="1"/>
  <c r="GW51" i="4"/>
  <c r="GV51" i="4" s="1"/>
  <c r="GK51" i="4"/>
  <c r="GJ51" i="4" s="1"/>
  <c r="FA51" i="4"/>
  <c r="EZ51" i="4" s="1"/>
  <c r="ES51" i="4"/>
  <c r="ER51" i="4" s="1"/>
  <c r="EK51" i="4"/>
  <c r="EJ51" i="4" s="1"/>
  <c r="DI51" i="4"/>
  <c r="DE51" i="4" s="1"/>
  <c r="DD51" i="4" s="1"/>
  <c r="CW51" i="4"/>
  <c r="CV51" i="4" s="1"/>
  <c r="CS51" i="4"/>
  <c r="CJ51" i="4"/>
  <c r="BT51" i="4"/>
  <c r="BQ51" i="4"/>
  <c r="BM51" i="4" s="1"/>
  <c r="BL51" i="4" s="1"/>
  <c r="BI51" i="4"/>
  <c r="BE51" i="4" s="1"/>
  <c r="BD51" i="4" s="1"/>
  <c r="AO51" i="4"/>
  <c r="AN51" i="4" s="1"/>
  <c r="X51" i="4"/>
  <c r="KG50" i="4"/>
  <c r="KF50" i="4" s="1"/>
  <c r="JE50" i="4"/>
  <c r="JD50" i="4" s="1"/>
  <c r="IS50" i="4"/>
  <c r="IR50" i="4" s="1"/>
  <c r="HU50" i="4"/>
  <c r="HT50" i="4" s="1"/>
  <c r="HI50" i="4"/>
  <c r="HH50" i="4" s="1"/>
  <c r="GW50" i="4"/>
  <c r="GV50" i="4" s="1"/>
  <c r="GK50" i="4"/>
  <c r="GJ50" i="4" s="1"/>
  <c r="FA50" i="4"/>
  <c r="EZ50" i="4" s="1"/>
  <c r="ES50" i="4"/>
  <c r="ER50" i="4" s="1"/>
  <c r="EK50" i="4"/>
  <c r="EJ50" i="4" s="1"/>
  <c r="DD50" i="4"/>
  <c r="CW50" i="4"/>
  <c r="CV50" i="4" s="1"/>
  <c r="CO50" i="4"/>
  <c r="CK50" i="4" s="1"/>
  <c r="CJ50" i="4" s="1"/>
  <c r="CC50" i="4"/>
  <c r="BT50" i="4"/>
  <c r="BM50" i="4"/>
  <c r="BL50" i="4" s="1"/>
  <c r="BE50" i="4"/>
  <c r="BD50" i="4" s="1"/>
  <c r="AO50" i="4"/>
  <c r="AN50" i="4" s="1"/>
  <c r="Y50" i="4"/>
  <c r="X50" i="4" s="1"/>
  <c r="U50" i="4"/>
  <c r="H50" i="4"/>
  <c r="KO49" i="4"/>
  <c r="KG49" i="4" s="1"/>
  <c r="KF49" i="4" s="1"/>
  <c r="JE49" i="4"/>
  <c r="JD49" i="4" s="1"/>
  <c r="IS49" i="4"/>
  <c r="IR49" i="4" s="1"/>
  <c r="HU49" i="4"/>
  <c r="HT49" i="4" s="1"/>
  <c r="HI49" i="4"/>
  <c r="HH49" i="4" s="1"/>
  <c r="GV49" i="4"/>
  <c r="GJ49" i="4"/>
  <c r="FA49" i="4"/>
  <c r="EZ49" i="4" s="1"/>
  <c r="ES49" i="4"/>
  <c r="ER49" i="4" s="1"/>
  <c r="EK49" i="4"/>
  <c r="EJ49" i="4" s="1"/>
  <c r="DM49" i="4"/>
  <c r="DI49" i="4"/>
  <c r="CW49" i="4"/>
  <c r="CV49" i="4" s="1"/>
  <c r="CS49" i="4"/>
  <c r="CJ49" i="4"/>
  <c r="BT49" i="4"/>
  <c r="BQ49" i="4"/>
  <c r="BM49" i="4" s="1"/>
  <c r="BL49" i="4" s="1"/>
  <c r="BI49" i="4"/>
  <c r="BE49" i="4" s="1"/>
  <c r="BD49" i="4" s="1"/>
  <c r="AO49" i="4"/>
  <c r="AN49" i="4" s="1"/>
  <c r="Y49" i="4"/>
  <c r="X49" i="4" s="1"/>
  <c r="KO48" i="4"/>
  <c r="KG48" i="4" s="1"/>
  <c r="KF48" i="4" s="1"/>
  <c r="JE48" i="4"/>
  <c r="JD48" i="4" s="1"/>
  <c r="IS48" i="4"/>
  <c r="IR48" i="4" s="1"/>
  <c r="HU48" i="4"/>
  <c r="HT48" i="4" s="1"/>
  <c r="HI48" i="4"/>
  <c r="HH48" i="4" s="1"/>
  <c r="GW48" i="4"/>
  <c r="GV48" i="4" s="1"/>
  <c r="GJ48" i="4"/>
  <c r="FA48" i="4"/>
  <c r="EZ48" i="4" s="1"/>
  <c r="ES48" i="4"/>
  <c r="ER48" i="4" s="1"/>
  <c r="EK48" i="4"/>
  <c r="EJ48" i="4" s="1"/>
  <c r="DN48" i="4"/>
  <c r="DM48" i="4"/>
  <c r="DJ48" i="4"/>
  <c r="DI48" i="4"/>
  <c r="CW48" i="4"/>
  <c r="CV48" i="4" s="1"/>
  <c r="CS48" i="4"/>
  <c r="CJ48" i="4"/>
  <c r="BT48" i="4"/>
  <c r="BQ48" i="4"/>
  <c r="BM48" i="4" s="1"/>
  <c r="BL48" i="4" s="1"/>
  <c r="BI48" i="4"/>
  <c r="BE48" i="4" s="1"/>
  <c r="BD48" i="4" s="1"/>
  <c r="AO48" i="4"/>
  <c r="AN48" i="4" s="1"/>
  <c r="Y48" i="4"/>
  <c r="X48" i="4" s="1"/>
  <c r="KO47" i="4"/>
  <c r="KF47" i="4"/>
  <c r="JE47" i="4"/>
  <c r="JD47" i="4" s="1"/>
  <c r="IR47" i="4"/>
  <c r="HU47" i="4"/>
  <c r="HT47" i="4" s="1"/>
  <c r="HH47" i="4"/>
  <c r="GV47" i="4"/>
  <c r="GK47" i="4"/>
  <c r="GJ47" i="4" s="1"/>
  <c r="FA47" i="4"/>
  <c r="EZ47" i="4" s="1"/>
  <c r="ES47" i="4"/>
  <c r="ER47" i="4" s="1"/>
  <c r="EK47" i="4"/>
  <c r="EJ47" i="4" s="1"/>
  <c r="DM47" i="4"/>
  <c r="DI47" i="4"/>
  <c r="DD47" i="4"/>
  <c r="CW47" i="4"/>
  <c r="CV47" i="4" s="1"/>
  <c r="CS47" i="4"/>
  <c r="CK47" i="4" s="1"/>
  <c r="CJ47" i="4" s="1"/>
  <c r="CC47" i="4"/>
  <c r="BT47" i="4"/>
  <c r="BQ47" i="4"/>
  <c r="BM47" i="4" s="1"/>
  <c r="BL47" i="4" s="1"/>
  <c r="BI47" i="4"/>
  <c r="BE47" i="4" s="1"/>
  <c r="BD47" i="4" s="1"/>
  <c r="AO47" i="4"/>
  <c r="AN47" i="4" s="1"/>
  <c r="Y47" i="4"/>
  <c r="X47" i="4" s="1"/>
  <c r="KO46" i="4"/>
  <c r="KG46" i="4" s="1"/>
  <c r="KF46" i="4" s="1"/>
  <c r="JE46" i="4"/>
  <c r="JD46" i="4" s="1"/>
  <c r="IS46" i="4"/>
  <c r="IR46" i="4" s="1"/>
  <c r="HU46" i="4"/>
  <c r="HT46" i="4" s="1"/>
  <c r="HI46" i="4"/>
  <c r="HH46" i="4" s="1"/>
  <c r="GW46" i="4"/>
  <c r="GV46" i="4" s="1"/>
  <c r="GK46" i="4"/>
  <c r="GJ46" i="4" s="1"/>
  <c r="FA46" i="4"/>
  <c r="EZ46" i="4" s="1"/>
  <c r="ES46" i="4"/>
  <c r="ER46" i="4" s="1"/>
  <c r="EK46" i="4"/>
  <c r="EJ46" i="4" s="1"/>
  <c r="DM46" i="4"/>
  <c r="DI46" i="4"/>
  <c r="DD46" i="4"/>
  <c r="CW46" i="4"/>
  <c r="CV46" i="4" s="1"/>
  <c r="CS46" i="4"/>
  <c r="CK46" i="4" s="1"/>
  <c r="CJ46" i="4" s="1"/>
  <c r="CC46" i="4"/>
  <c r="BT46" i="4"/>
  <c r="BQ46" i="4"/>
  <c r="BM46" i="4" s="1"/>
  <c r="BL46" i="4" s="1"/>
  <c r="BI46" i="4"/>
  <c r="BE46" i="4" s="1"/>
  <c r="BD46" i="4" s="1"/>
  <c r="AO46" i="4"/>
  <c r="AN46" i="4" s="1"/>
  <c r="Y46" i="4"/>
  <c r="X46" i="4" s="1"/>
  <c r="BT45" i="4"/>
  <c r="BL45" i="4"/>
  <c r="BE45" i="4"/>
  <c r="BD45" i="4" s="1"/>
  <c r="H45" i="4"/>
  <c r="KO44" i="4"/>
  <c r="KK44" i="4"/>
  <c r="JE44" i="4"/>
  <c r="JD44" i="4" s="1"/>
  <c r="IS44" i="4"/>
  <c r="IR44" i="4" s="1"/>
  <c r="HU44" i="4"/>
  <c r="HT44" i="4" s="1"/>
  <c r="HM44" i="4"/>
  <c r="HI44" i="4" s="1"/>
  <c r="HH44" i="4" s="1"/>
  <c r="GW44" i="4"/>
  <c r="GV44" i="4" s="1"/>
  <c r="GK44" i="4"/>
  <c r="GJ44" i="4" s="1"/>
  <c r="FA44" i="4"/>
  <c r="EZ44" i="4" s="1"/>
  <c r="ES44" i="4"/>
  <c r="ER44" i="4" s="1"/>
  <c r="EK44" i="4"/>
  <c r="EJ44" i="4" s="1"/>
  <c r="DM44" i="4"/>
  <c r="DI44" i="4"/>
  <c r="CW44" i="4"/>
  <c r="CV44" i="4" s="1"/>
  <c r="CS44" i="4"/>
  <c r="CK44" i="4" s="1"/>
  <c r="CJ44" i="4" s="1"/>
  <c r="CC44" i="4"/>
  <c r="BT44" i="4"/>
  <c r="BQ44" i="4"/>
  <c r="BM44" i="4" s="1"/>
  <c r="BL44" i="4" s="1"/>
  <c r="BI44" i="4"/>
  <c r="BE44" i="4" s="1"/>
  <c r="BD44" i="4" s="1"/>
  <c r="AO44" i="4"/>
  <c r="AN44" i="4" s="1"/>
  <c r="Y44" i="4"/>
  <c r="X44" i="4" s="1"/>
  <c r="KO43" i="4"/>
  <c r="KG43" i="4" s="1"/>
  <c r="KF43" i="4" s="1"/>
  <c r="JE43" i="4"/>
  <c r="JD43" i="4" s="1"/>
  <c r="IS43" i="4"/>
  <c r="IR43" i="4" s="1"/>
  <c r="HU43" i="4"/>
  <c r="HT43" i="4" s="1"/>
  <c r="HI43" i="4"/>
  <c r="HH43" i="4" s="1"/>
  <c r="GW43" i="4"/>
  <c r="GV43" i="4" s="1"/>
  <c r="GK43" i="4"/>
  <c r="GJ43" i="4" s="1"/>
  <c r="FA43" i="4"/>
  <c r="EZ43" i="4" s="1"/>
  <c r="ES43" i="4"/>
  <c r="ER43" i="4" s="1"/>
  <c r="EK43" i="4"/>
  <c r="EJ43" i="4" s="1"/>
  <c r="DM43" i="4"/>
  <c r="DI43" i="4"/>
  <c r="CW43" i="4"/>
  <c r="CV43" i="4" s="1"/>
  <c r="CS43" i="4"/>
  <c r="CK43" i="4" s="1"/>
  <c r="CJ43" i="4" s="1"/>
  <c r="BT43" i="4"/>
  <c r="BQ43" i="4"/>
  <c r="BM43" i="4" s="1"/>
  <c r="BL43" i="4" s="1"/>
  <c r="BI43" i="4"/>
  <c r="BE43" i="4" s="1"/>
  <c r="BD43" i="4" s="1"/>
  <c r="AO43" i="4"/>
  <c r="AN43" i="4" s="1"/>
  <c r="Y43" i="4"/>
  <c r="X43" i="4" s="1"/>
  <c r="U43" i="4"/>
  <c r="KO42" i="4"/>
  <c r="KG42" i="4" s="1"/>
  <c r="KF42" i="4" s="1"/>
  <c r="JE42" i="4"/>
  <c r="JD42" i="4" s="1"/>
  <c r="IS42" i="4"/>
  <c r="IR42" i="4" s="1"/>
  <c r="HU42" i="4"/>
  <c r="HT42" i="4" s="1"/>
  <c r="HI42" i="4"/>
  <c r="HH42" i="4" s="1"/>
  <c r="GW42" i="4"/>
  <c r="GV42" i="4" s="1"/>
  <c r="GK42" i="4"/>
  <c r="GJ42" i="4" s="1"/>
  <c r="FA42" i="4"/>
  <c r="EZ42" i="4" s="1"/>
  <c r="ES42" i="4"/>
  <c r="ER42" i="4" s="1"/>
  <c r="EK42" i="4"/>
  <c r="EJ42" i="4" s="1"/>
  <c r="DM42" i="4"/>
  <c r="DI42" i="4"/>
  <c r="CW42" i="4"/>
  <c r="CV42" i="4" s="1"/>
  <c r="CS42" i="4"/>
  <c r="CJ42" i="4"/>
  <c r="CC42" i="4"/>
  <c r="BT42" i="4"/>
  <c r="BQ42" i="4"/>
  <c r="BM42" i="4" s="1"/>
  <c r="BL42" i="4" s="1"/>
  <c r="BI42" i="4"/>
  <c r="BE42" i="4" s="1"/>
  <c r="BD42" i="4" s="1"/>
  <c r="AO42" i="4"/>
  <c r="AN42" i="4" s="1"/>
  <c r="Y42" i="4"/>
  <c r="X42" i="4" s="1"/>
  <c r="U42" i="4"/>
  <c r="H42" i="4"/>
  <c r="KO41" i="4"/>
  <c r="KG41" i="4" s="1"/>
  <c r="KF41" i="4" s="1"/>
  <c r="JE41" i="4"/>
  <c r="JD41" i="4" s="1"/>
  <c r="IR41" i="4"/>
  <c r="HU41" i="4"/>
  <c r="HT41" i="4" s="1"/>
  <c r="HI41" i="4"/>
  <c r="HH41" i="4" s="1"/>
  <c r="GV41" i="4"/>
  <c r="GK41" i="4"/>
  <c r="GJ41" i="4" s="1"/>
  <c r="FA41" i="4"/>
  <c r="EZ41" i="4" s="1"/>
  <c r="ES41" i="4"/>
  <c r="ER41" i="4" s="1"/>
  <c r="EK41" i="4"/>
  <c r="EJ41" i="4" s="1"/>
  <c r="DM41" i="4"/>
  <c r="DI41" i="4"/>
  <c r="CW41" i="4"/>
  <c r="CV41" i="4" s="1"/>
  <c r="CS41" i="4"/>
  <c r="CJ41" i="4"/>
  <c r="BT41" i="4"/>
  <c r="BQ41" i="4"/>
  <c r="BM41" i="4" s="1"/>
  <c r="BL41" i="4" s="1"/>
  <c r="BI41" i="4"/>
  <c r="BE41" i="4" s="1"/>
  <c r="BD41" i="4" s="1"/>
  <c r="AO41" i="4"/>
  <c r="AN41" i="4" s="1"/>
  <c r="Y41" i="4"/>
  <c r="X41" i="4" s="1"/>
  <c r="KO40" i="4"/>
  <c r="KG40" i="4" s="1"/>
  <c r="KF40" i="4" s="1"/>
  <c r="JE40" i="4"/>
  <c r="JD40" i="4" s="1"/>
  <c r="IR40" i="4"/>
  <c r="HU40" i="4"/>
  <c r="HT40" i="4" s="1"/>
  <c r="HI40" i="4"/>
  <c r="HH40" i="4" s="1"/>
  <c r="GV40" i="4"/>
  <c r="GK40" i="4"/>
  <c r="GJ40" i="4" s="1"/>
  <c r="FA40" i="4"/>
  <c r="EZ40" i="4" s="1"/>
  <c r="ES40" i="4"/>
  <c r="ER40" i="4" s="1"/>
  <c r="EK40" i="4"/>
  <c r="EJ40" i="4" s="1"/>
  <c r="DM40" i="4"/>
  <c r="DI40" i="4"/>
  <c r="DD40" i="4"/>
  <c r="CW40" i="4"/>
  <c r="CV40" i="4" s="1"/>
  <c r="CS40" i="4"/>
  <c r="CK40" i="4" s="1"/>
  <c r="CJ40" i="4" s="1"/>
  <c r="CC40" i="4"/>
  <c r="BT40" i="4"/>
  <c r="BQ40" i="4"/>
  <c r="BM40" i="4" s="1"/>
  <c r="BL40" i="4" s="1"/>
  <c r="BI40" i="4"/>
  <c r="BE40" i="4" s="1"/>
  <c r="BD40" i="4" s="1"/>
  <c r="AO40" i="4"/>
  <c r="AN40" i="4" s="1"/>
  <c r="Y40" i="4"/>
  <c r="X40" i="4" s="1"/>
  <c r="JE39" i="4"/>
  <c r="DD39" i="4"/>
  <c r="BT39" i="4"/>
  <c r="BL39" i="4"/>
  <c r="BE39" i="4"/>
  <c r="BD39" i="4" s="1"/>
  <c r="KO38" i="4"/>
  <c r="KG38" i="4" s="1"/>
  <c r="KF38" i="4" s="1"/>
  <c r="JE38" i="4"/>
  <c r="JD38" i="4" s="1"/>
  <c r="IR38" i="4"/>
  <c r="HU38" i="4"/>
  <c r="HT38" i="4" s="1"/>
  <c r="HI38" i="4"/>
  <c r="HH38" i="4" s="1"/>
  <c r="GW38" i="4"/>
  <c r="GV38" i="4" s="1"/>
  <c r="GK38" i="4"/>
  <c r="GJ38" i="4" s="1"/>
  <c r="FA38" i="4"/>
  <c r="EZ38" i="4" s="1"/>
  <c r="ES38" i="4"/>
  <c r="ER38" i="4" s="1"/>
  <c r="EK38" i="4"/>
  <c r="EJ38" i="4" s="1"/>
  <c r="DM38" i="4"/>
  <c r="DI38" i="4"/>
  <c r="CW38" i="4"/>
  <c r="CV38" i="4" s="1"/>
  <c r="CS38" i="4"/>
  <c r="CK38" i="4" s="1"/>
  <c r="CJ38" i="4" s="1"/>
  <c r="BT38" i="4"/>
  <c r="BQ38" i="4"/>
  <c r="BM38" i="4" s="1"/>
  <c r="BL38" i="4" s="1"/>
  <c r="BI38" i="4"/>
  <c r="BE38" i="4" s="1"/>
  <c r="BD38" i="4" s="1"/>
  <c r="AO38" i="4"/>
  <c r="AN38" i="4" s="1"/>
  <c r="Y38" i="4"/>
  <c r="X38" i="4" s="1"/>
  <c r="KO37" i="4"/>
  <c r="KG37" i="4" s="1"/>
  <c r="KF37" i="4" s="1"/>
  <c r="JE37" i="4"/>
  <c r="JD37" i="4"/>
  <c r="IS37" i="4"/>
  <c r="IR37" i="4" s="1"/>
  <c r="HU37" i="4"/>
  <c r="HT37" i="4" s="1"/>
  <c r="HI37" i="4"/>
  <c r="HH37" i="4" s="1"/>
  <c r="GW37" i="4"/>
  <c r="GV37" i="4" s="1"/>
  <c r="GK37" i="4"/>
  <c r="GJ37" i="4" s="1"/>
  <c r="FA37" i="4"/>
  <c r="EZ37" i="4" s="1"/>
  <c r="ES37" i="4"/>
  <c r="ER37" i="4" s="1"/>
  <c r="EK37" i="4"/>
  <c r="EJ37" i="4" s="1"/>
  <c r="DM37" i="4"/>
  <c r="DI37" i="4"/>
  <c r="CW37" i="4"/>
  <c r="CV37" i="4" s="1"/>
  <c r="CS37" i="4"/>
  <c r="CK37" i="4" s="1"/>
  <c r="CJ37" i="4" s="1"/>
  <c r="BT37" i="4"/>
  <c r="BQ37" i="4"/>
  <c r="BM37" i="4" s="1"/>
  <c r="BL37" i="4" s="1"/>
  <c r="BI37" i="4"/>
  <c r="BE37" i="4" s="1"/>
  <c r="BD37" i="4" s="1"/>
  <c r="AO37" i="4"/>
  <c r="AN37" i="4" s="1"/>
  <c r="Y37" i="4"/>
  <c r="X37" i="4" s="1"/>
  <c r="KO36" i="4"/>
  <c r="KF36" i="4"/>
  <c r="JE36" i="4"/>
  <c r="JD36" i="4" s="1"/>
  <c r="IR36" i="4"/>
  <c r="HU36" i="4"/>
  <c r="HT36" i="4" s="1"/>
  <c r="HI36" i="4"/>
  <c r="HH36" i="4" s="1"/>
  <c r="GW36" i="4"/>
  <c r="GV36" i="4" s="1"/>
  <c r="GK36" i="4"/>
  <c r="GJ36" i="4" s="1"/>
  <c r="FA36" i="4"/>
  <c r="EZ36" i="4" s="1"/>
  <c r="ES36" i="4"/>
  <c r="ER36" i="4" s="1"/>
  <c r="EK36" i="4"/>
  <c r="EJ36" i="4" s="1"/>
  <c r="DM36" i="4"/>
  <c r="DI36" i="4"/>
  <c r="DD36" i="4"/>
  <c r="CW36" i="4"/>
  <c r="CV36" i="4" s="1"/>
  <c r="CS36" i="4"/>
  <c r="CK36" i="4" s="1"/>
  <c r="CJ36" i="4" s="1"/>
  <c r="BT36" i="4"/>
  <c r="BQ36" i="4"/>
  <c r="BM36" i="4" s="1"/>
  <c r="BL36" i="4" s="1"/>
  <c r="BI36" i="4"/>
  <c r="BE36" i="4" s="1"/>
  <c r="BD36" i="4" s="1"/>
  <c r="AO36" i="4"/>
  <c r="AN36" i="4" s="1"/>
  <c r="Y36" i="4"/>
  <c r="X36" i="4" s="1"/>
  <c r="KO35" i="4"/>
  <c r="KG35" i="4" s="1"/>
  <c r="KF35" i="4" s="1"/>
  <c r="JE35" i="4"/>
  <c r="JD35" i="4" s="1"/>
  <c r="IS35" i="4"/>
  <c r="IR35" i="4" s="1"/>
  <c r="HU35" i="4"/>
  <c r="HT35" i="4" s="1"/>
  <c r="HI35" i="4"/>
  <c r="HH35" i="4" s="1"/>
  <c r="GW35" i="4"/>
  <c r="GV35" i="4" s="1"/>
  <c r="GK35" i="4"/>
  <c r="GJ35" i="4" s="1"/>
  <c r="FA35" i="4"/>
  <c r="EZ35" i="4" s="1"/>
  <c r="ES35" i="4"/>
  <c r="ER35" i="4" s="1"/>
  <c r="EK35" i="4"/>
  <c r="EJ35" i="4" s="1"/>
  <c r="DM35" i="4"/>
  <c r="DI35" i="4"/>
  <c r="CW35" i="4"/>
  <c r="CV35" i="4" s="1"/>
  <c r="CS35" i="4"/>
  <c r="CK35" i="4" s="1"/>
  <c r="CJ35" i="4" s="1"/>
  <c r="BT35" i="4"/>
  <c r="BQ35" i="4"/>
  <c r="BM35" i="4" s="1"/>
  <c r="BL35" i="4" s="1"/>
  <c r="BI35" i="4"/>
  <c r="BE35" i="4" s="1"/>
  <c r="BD35" i="4" s="1"/>
  <c r="AO35" i="4"/>
  <c r="AN35" i="4" s="1"/>
  <c r="Y35" i="4"/>
  <c r="X35" i="4" s="1"/>
  <c r="KO34" i="4"/>
  <c r="KF34" i="4"/>
  <c r="JE34" i="4"/>
  <c r="JD34" i="4" s="1"/>
  <c r="IR34" i="4"/>
  <c r="HT34" i="4"/>
  <c r="HH34" i="4"/>
  <c r="GV34" i="4"/>
  <c r="GK34" i="4"/>
  <c r="GJ34" i="4" s="1"/>
  <c r="FA34" i="4"/>
  <c r="EZ34" i="4" s="1"/>
  <c r="ES34" i="4"/>
  <c r="ER34" i="4" s="1"/>
  <c r="EK34" i="4"/>
  <c r="EJ34" i="4" s="1"/>
  <c r="DM34" i="4"/>
  <c r="DI34" i="4"/>
  <c r="DD34" i="4"/>
  <c r="CW34" i="4"/>
  <c r="CV34" i="4" s="1"/>
  <c r="CS34" i="4"/>
  <c r="CJ34" i="4"/>
  <c r="BT34" i="4"/>
  <c r="BQ34" i="4"/>
  <c r="BM34" i="4" s="1"/>
  <c r="BL34" i="4" s="1"/>
  <c r="BI34" i="4"/>
  <c r="BE34" i="4" s="1"/>
  <c r="BD34" i="4" s="1"/>
  <c r="AN34" i="4"/>
  <c r="X34" i="4"/>
  <c r="KO33" i="4"/>
  <c r="KF33" i="4"/>
  <c r="JE33" i="4"/>
  <c r="JD33" i="4" s="1"/>
  <c r="IR33" i="4"/>
  <c r="HU33" i="4"/>
  <c r="HT33" i="4" s="1"/>
  <c r="HI33" i="4"/>
  <c r="HH33" i="4" s="1"/>
  <c r="GV33" i="4"/>
  <c r="GK33" i="4"/>
  <c r="GJ33" i="4" s="1"/>
  <c r="FA33" i="4"/>
  <c r="EZ33" i="4" s="1"/>
  <c r="ER33" i="4"/>
  <c r="EK33" i="4"/>
  <c r="EJ33" i="4" s="1"/>
  <c r="DM33" i="4"/>
  <c r="DI33" i="4"/>
  <c r="CW33" i="4"/>
  <c r="CV33" i="4" s="1"/>
  <c r="CS33" i="4"/>
  <c r="CK33" i="4" s="1"/>
  <c r="CJ33" i="4" s="1"/>
  <c r="CC33" i="4"/>
  <c r="BT33" i="4"/>
  <c r="BQ33" i="4"/>
  <c r="BM33" i="4" s="1"/>
  <c r="BL33" i="4" s="1"/>
  <c r="BI33" i="4"/>
  <c r="BE33" i="4" s="1"/>
  <c r="BD33" i="4" s="1"/>
  <c r="AO33" i="4"/>
  <c r="AN33" i="4" s="1"/>
  <c r="Y33" i="4"/>
  <c r="X33" i="4" s="1"/>
  <c r="KP32" i="4"/>
  <c r="KO32" i="4"/>
  <c r="KG32" i="4" s="1"/>
  <c r="KF32" i="4" s="1"/>
  <c r="JE32" i="4"/>
  <c r="JD32" i="4" s="1"/>
  <c r="IS32" i="4"/>
  <c r="IR32" i="4" s="1"/>
  <c r="HU32" i="4"/>
  <c r="HT32" i="4" s="1"/>
  <c r="HI32" i="4"/>
  <c r="HH32" i="4" s="1"/>
  <c r="GW32" i="4"/>
  <c r="GV32" i="4" s="1"/>
  <c r="GK32" i="4"/>
  <c r="GJ32" i="4" s="1"/>
  <c r="FA32" i="4"/>
  <c r="EZ32" i="4" s="1"/>
  <c r="ER32" i="4"/>
  <c r="EK32" i="4"/>
  <c r="EJ32" i="4" s="1"/>
  <c r="DM32" i="4"/>
  <c r="DI32" i="4"/>
  <c r="CW32" i="4"/>
  <c r="CV32" i="4" s="1"/>
  <c r="CS32" i="4"/>
  <c r="CK32" i="4" s="1"/>
  <c r="CJ32" i="4" s="1"/>
  <c r="CC32" i="4"/>
  <c r="BT32" i="4"/>
  <c r="BQ32" i="4"/>
  <c r="BM32" i="4" s="1"/>
  <c r="BL32" i="4" s="1"/>
  <c r="BI32" i="4"/>
  <c r="BE32" i="4" s="1"/>
  <c r="BD32" i="4" s="1"/>
  <c r="AO32" i="4"/>
  <c r="AN32" i="4" s="1"/>
  <c r="Y32" i="4"/>
  <c r="X32" i="4" s="1"/>
  <c r="KO31" i="4"/>
  <c r="KG31" i="4" s="1"/>
  <c r="KF31" i="4" s="1"/>
  <c r="JE31" i="4"/>
  <c r="JD31" i="4" s="1"/>
  <c r="IS31" i="4"/>
  <c r="IR31" i="4" s="1"/>
  <c r="HU31" i="4"/>
  <c r="HT31" i="4" s="1"/>
  <c r="HI31" i="4"/>
  <c r="HH31" i="4" s="1"/>
  <c r="GV31" i="4"/>
  <c r="GK31" i="4"/>
  <c r="GJ31" i="4" s="1"/>
  <c r="FA31" i="4"/>
  <c r="EZ31" i="4" s="1"/>
  <c r="ER31" i="4"/>
  <c r="EK31" i="4"/>
  <c r="EJ31" i="4" s="1"/>
  <c r="DM31" i="4"/>
  <c r="DI31" i="4"/>
  <c r="CW31" i="4"/>
  <c r="CV31" i="4" s="1"/>
  <c r="CS31" i="4"/>
  <c r="CK31" i="4" s="1"/>
  <c r="CJ31" i="4" s="1"/>
  <c r="CC31" i="4"/>
  <c r="BT31" i="4"/>
  <c r="BQ31" i="4"/>
  <c r="BM31" i="4" s="1"/>
  <c r="BL31" i="4" s="1"/>
  <c r="BI31" i="4"/>
  <c r="BE31" i="4" s="1"/>
  <c r="BD31" i="4" s="1"/>
  <c r="AO31" i="4"/>
  <c r="AN31" i="4" s="1"/>
  <c r="Y31" i="4"/>
  <c r="X31" i="4" s="1"/>
  <c r="KO30" i="4"/>
  <c r="KG30" i="4" s="1"/>
  <c r="KF30" i="4" s="1"/>
  <c r="JE30" i="4"/>
  <c r="JD30" i="4" s="1"/>
  <c r="IS30" i="4"/>
  <c r="IR30" i="4" s="1"/>
  <c r="HU30" i="4"/>
  <c r="HT30" i="4" s="1"/>
  <c r="HI30" i="4"/>
  <c r="HH30" i="4" s="1"/>
  <c r="GW30" i="4"/>
  <c r="GV30" i="4" s="1"/>
  <c r="GK30" i="4"/>
  <c r="GJ30" i="4" s="1"/>
  <c r="FA30" i="4"/>
  <c r="EZ30" i="4" s="1"/>
  <c r="ER30" i="4"/>
  <c r="EK30" i="4"/>
  <c r="EJ30" i="4" s="1"/>
  <c r="DM30" i="4"/>
  <c r="DI30" i="4"/>
  <c r="CW30" i="4"/>
  <c r="CV30" i="4" s="1"/>
  <c r="CS30" i="4"/>
  <c r="CK30" i="4" s="1"/>
  <c r="CJ30" i="4" s="1"/>
  <c r="CC30" i="4"/>
  <c r="BT30" i="4"/>
  <c r="BQ30" i="4"/>
  <c r="BM30" i="4" s="1"/>
  <c r="BL30" i="4" s="1"/>
  <c r="BI30" i="4"/>
  <c r="BE30" i="4" s="1"/>
  <c r="BD30" i="4" s="1"/>
  <c r="AO30" i="4"/>
  <c r="AN30" i="4" s="1"/>
  <c r="Y30" i="4"/>
  <c r="X30" i="4" s="1"/>
  <c r="H30" i="4"/>
  <c r="JE29" i="4"/>
  <c r="JD29" i="4" s="1"/>
  <c r="HU29" i="4"/>
  <c r="GK29" i="4"/>
  <c r="ES29" i="4"/>
  <c r="ER29" i="4" s="1"/>
  <c r="CV29" i="4"/>
  <c r="CJ29" i="4"/>
  <c r="CC29" i="4"/>
  <c r="BT29" i="4"/>
  <c r="BL29" i="4"/>
  <c r="BE29" i="4"/>
  <c r="BD29" i="4" s="1"/>
  <c r="AO29" i="4"/>
  <c r="Y29" i="4"/>
  <c r="X29" i="4" s="1"/>
  <c r="H29" i="4"/>
  <c r="KP28" i="4"/>
  <c r="KO28" i="4"/>
  <c r="KG28" i="4" s="1"/>
  <c r="KF28" i="4" s="1"/>
  <c r="JE28" i="4"/>
  <c r="JD28" i="4" s="1"/>
  <c r="IS28" i="4"/>
  <c r="HU28" i="4"/>
  <c r="HI28" i="4"/>
  <c r="HA28" i="4"/>
  <c r="GW28" i="4" s="1"/>
  <c r="GN28" i="4"/>
  <c r="GK28" i="4" s="1"/>
  <c r="DR28" i="4"/>
  <c r="DJ28" i="4"/>
  <c r="DI28" i="4"/>
  <c r="DE28" i="4" s="1"/>
  <c r="CV28" i="4"/>
  <c r="CJ28" i="4"/>
  <c r="CC28" i="4"/>
  <c r="BT28" i="4"/>
  <c r="BL28" i="4"/>
  <c r="BE28" i="4"/>
  <c r="BD28" i="4" s="1"/>
  <c r="AO28" i="4"/>
  <c r="Y28" i="4"/>
  <c r="X28" i="4" s="1"/>
  <c r="JD27" i="4"/>
  <c r="BT27" i="4"/>
  <c r="BL27" i="4"/>
  <c r="BE27" i="4"/>
  <c r="BD27" i="4" s="1"/>
  <c r="X27" i="4"/>
  <c r="H27" i="4"/>
  <c r="KP26" i="4"/>
  <c r="KO26" i="4"/>
  <c r="KF26" i="4"/>
  <c r="JE26" i="4"/>
  <c r="JD26" i="4" s="1"/>
  <c r="HI26" i="4"/>
  <c r="GK26" i="4"/>
  <c r="GJ26" i="4" s="1"/>
  <c r="CV26" i="4"/>
  <c r="CJ26" i="4"/>
  <c r="CC26" i="4"/>
  <c r="BT26" i="4"/>
  <c r="BL26" i="4"/>
  <c r="BE26" i="4"/>
  <c r="BD26" i="4" s="1"/>
  <c r="AO26" i="4"/>
  <c r="Y26" i="4"/>
  <c r="X26" i="4" s="1"/>
  <c r="KG25" i="4"/>
  <c r="JE25" i="4"/>
  <c r="JD25" i="4" s="1"/>
  <c r="IS25" i="4"/>
  <c r="HI25" i="4"/>
  <c r="HH25" i="4" s="1"/>
  <c r="GW25" i="4"/>
  <c r="GV25" i="4" s="1"/>
  <c r="GK25" i="4"/>
  <c r="GJ25" i="4" s="1"/>
  <c r="CV25" i="4"/>
  <c r="CT25" i="4"/>
  <c r="CS25" i="4"/>
  <c r="CJ25" i="4"/>
  <c r="CC25" i="4"/>
  <c r="BT25" i="4"/>
  <c r="BL25" i="4"/>
  <c r="BE25" i="4"/>
  <c r="BD25" i="4" s="1"/>
  <c r="AO25" i="4"/>
  <c r="Y25" i="4"/>
  <c r="X25" i="4" s="1"/>
  <c r="KO24" i="4"/>
  <c r="KG24" i="4" s="1"/>
  <c r="KF24" i="4" s="1"/>
  <c r="JE24" i="4"/>
  <c r="JD24" i="4" s="1"/>
  <c r="HT24" i="4"/>
  <c r="HI24" i="4"/>
  <c r="GV24" i="4"/>
  <c r="GK24" i="4"/>
  <c r="GJ24" i="4" s="1"/>
  <c r="GC24" i="4"/>
  <c r="DR24" i="4"/>
  <c r="DJ24" i="4"/>
  <c r="DI24" i="4"/>
  <c r="CW24" i="4"/>
  <c r="CV24" i="4" s="1"/>
  <c r="CT24" i="4"/>
  <c r="FJ24" i="4" s="1"/>
  <c r="CS24" i="4"/>
  <c r="CJ24" i="4"/>
  <c r="BT24" i="4"/>
  <c r="BR24" i="4"/>
  <c r="BQ24" i="4"/>
  <c r="BM24" i="4" s="1"/>
  <c r="BL24" i="4" s="1"/>
  <c r="BE24" i="4"/>
  <c r="BD24" i="4" s="1"/>
  <c r="AO24" i="4"/>
  <c r="Y24" i="4"/>
  <c r="X24" i="4" s="1"/>
  <c r="KP23" i="4"/>
  <c r="KO23" i="4"/>
  <c r="KG23" i="4" s="1"/>
  <c r="KF23" i="4" s="1"/>
  <c r="JE23" i="4"/>
  <c r="JD23" i="4" s="1"/>
  <c r="IS23" i="4"/>
  <c r="HT23" i="4"/>
  <c r="HI23" i="4"/>
  <c r="HH23" i="4" s="1"/>
  <c r="GW23" i="4"/>
  <c r="GV23" i="4" s="1"/>
  <c r="GK23" i="4"/>
  <c r="GJ23" i="4" s="1"/>
  <c r="GC23" i="4"/>
  <c r="EK23" i="4"/>
  <c r="DR23" i="4"/>
  <c r="DJ23" i="4"/>
  <c r="DI23" i="4"/>
  <c r="CW23" i="4"/>
  <c r="CV23" i="4" s="1"/>
  <c r="CT23" i="4"/>
  <c r="FJ23" i="4" s="1"/>
  <c r="CS23" i="4"/>
  <c r="CJ23" i="4"/>
  <c r="BT23" i="4"/>
  <c r="BL23" i="4"/>
  <c r="BE23" i="4"/>
  <c r="BD23" i="4" s="1"/>
  <c r="AO23" i="4"/>
  <c r="Y23" i="4"/>
  <c r="X23" i="4" s="1"/>
  <c r="JE22" i="4"/>
  <c r="JD22" i="4" s="1"/>
  <c r="IS22" i="4"/>
  <c r="IR22" i="4" s="1"/>
  <c r="HT22" i="4"/>
  <c r="FA22" i="4"/>
  <c r="EZ22" i="4" s="1"/>
  <c r="ES22" i="4"/>
  <c r="ER22" i="4" s="1"/>
  <c r="EK22" i="4"/>
  <c r="EJ22" i="4" s="1"/>
  <c r="CV22" i="4"/>
  <c r="CJ22" i="4"/>
  <c r="BT22" i="4"/>
  <c r="BM22" i="4"/>
  <c r="BL22" i="4" s="1"/>
  <c r="BE22" i="4"/>
  <c r="BD22" i="4" s="1"/>
  <c r="AO22" i="4"/>
  <c r="AN22" i="4" s="1"/>
  <c r="Y22" i="4"/>
  <c r="X22" i="4" s="1"/>
  <c r="KG21" i="4"/>
  <c r="KF21" i="4" s="1"/>
  <c r="JE21" i="4"/>
  <c r="JD21" i="4" s="1"/>
  <c r="IS21" i="4"/>
  <c r="IR21" i="4" s="1"/>
  <c r="HT21" i="4"/>
  <c r="HI21" i="4"/>
  <c r="HH21" i="4" s="1"/>
  <c r="GW21" i="4"/>
  <c r="GV21" i="4" s="1"/>
  <c r="GK21" i="4"/>
  <c r="GJ21" i="4" s="1"/>
  <c r="DE21" i="4"/>
  <c r="DD21" i="4" s="1"/>
  <c r="CW21" i="4"/>
  <c r="CV21" i="4" s="1"/>
  <c r="CK21" i="4"/>
  <c r="CJ21" i="4" s="1"/>
  <c r="BT21" i="4"/>
  <c r="BM21" i="4"/>
  <c r="BL21" i="4" s="1"/>
  <c r="BE21" i="4"/>
  <c r="BD21" i="4" s="1"/>
  <c r="Y21" i="4"/>
  <c r="X21" i="4" s="1"/>
  <c r="U21" i="4"/>
  <c r="H21" i="4"/>
  <c r="KG20" i="4"/>
  <c r="KF20" i="4" s="1"/>
  <c r="JE20" i="4"/>
  <c r="JD20" i="4" s="1"/>
  <c r="HU20" i="4"/>
  <c r="HT20" i="4" s="1"/>
  <c r="HI20" i="4"/>
  <c r="HH20" i="4" s="1"/>
  <c r="GW20" i="4"/>
  <c r="GV20" i="4" s="1"/>
  <c r="GK20" i="4"/>
  <c r="GJ20" i="4" s="1"/>
  <c r="FA20" i="4"/>
  <c r="EZ20" i="4" s="1"/>
  <c r="CV20" i="4"/>
  <c r="CJ20" i="4"/>
  <c r="BU20" i="4"/>
  <c r="BT20" i="4" s="1"/>
  <c r="BM20" i="4"/>
  <c r="BL20" i="4" s="1"/>
  <c r="BE20" i="4"/>
  <c r="BD20" i="4" s="1"/>
  <c r="AO20" i="4"/>
  <c r="AN20" i="4" s="1"/>
  <c r="Y20" i="4"/>
  <c r="X20" i="4" s="1"/>
  <c r="H20" i="4"/>
  <c r="KG19" i="4"/>
  <c r="KF19" i="4" s="1"/>
  <c r="JE19" i="4"/>
  <c r="JD19" i="4" s="1"/>
  <c r="HT19" i="4"/>
  <c r="HI19" i="4"/>
  <c r="HH19" i="4" s="1"/>
  <c r="GJ19" i="4"/>
  <c r="DM19" i="4"/>
  <c r="CV19" i="4"/>
  <c r="CJ19" i="4"/>
  <c r="BT19" i="4"/>
  <c r="BL19" i="4"/>
  <c r="BE19" i="4"/>
  <c r="BD19" i="4" s="1"/>
  <c r="Y19" i="4"/>
  <c r="X19" i="4" s="1"/>
  <c r="KK18" i="4"/>
  <c r="KG18" i="4" s="1"/>
  <c r="KF18" i="4" s="1"/>
  <c r="JE18" i="4"/>
  <c r="JD18" i="4" s="1"/>
  <c r="HU18" i="4"/>
  <c r="HT18" i="4" s="1"/>
  <c r="HI18" i="4"/>
  <c r="HH18" i="4" s="1"/>
  <c r="GK18" i="4"/>
  <c r="ER18" i="4"/>
  <c r="EJ18" i="4"/>
  <c r="DI18" i="4"/>
  <c r="DE18" i="4" s="1"/>
  <c r="CV18" i="4"/>
  <c r="CS18" i="4"/>
  <c r="CK18" i="4" s="1"/>
  <c r="CJ18" i="4" s="1"/>
  <c r="BT18" i="4"/>
  <c r="BL18" i="4"/>
  <c r="BI18" i="4"/>
  <c r="BE18" i="4" s="1"/>
  <c r="BD18" i="4" s="1"/>
  <c r="AO18" i="4"/>
  <c r="AN18" i="4" s="1"/>
  <c r="Y18" i="4"/>
  <c r="X18" i="4" s="1"/>
  <c r="H18" i="4"/>
  <c r="KG17" i="4"/>
  <c r="JE17" i="4"/>
  <c r="JD17" i="4" s="1"/>
  <c r="IS17" i="4"/>
  <c r="IR17" i="4" s="1"/>
  <c r="HI17" i="4"/>
  <c r="HH17" i="4" s="1"/>
  <c r="GK17" i="4"/>
  <c r="ES17" i="4"/>
  <c r="ER17" i="4" s="1"/>
  <c r="EK17" i="4"/>
  <c r="EJ17" i="4" s="1"/>
  <c r="DE17" i="4"/>
  <c r="CV17" i="4"/>
  <c r="CK17" i="4"/>
  <c r="CJ17" i="4" s="1"/>
  <c r="BT17" i="4"/>
  <c r="BL17" i="4"/>
  <c r="BE17" i="4"/>
  <c r="BD17" i="4" s="1"/>
  <c r="AO17" i="4"/>
  <c r="AN17" i="4" s="1"/>
  <c r="Y17" i="4"/>
  <c r="X17" i="4" s="1"/>
  <c r="H17" i="4"/>
  <c r="KG16" i="4"/>
  <c r="KF16" i="4" s="1"/>
  <c r="JE16" i="4"/>
  <c r="JD16" i="4" s="1"/>
  <c r="IS16" i="4"/>
  <c r="HU16" i="4"/>
  <c r="HI16" i="4"/>
  <c r="HH16" i="4" s="1"/>
  <c r="GW16" i="4"/>
  <c r="GV16" i="4" s="1"/>
  <c r="GK16" i="4"/>
  <c r="EW16" i="4"/>
  <c r="ES16" i="4" s="1"/>
  <c r="ER16" i="4" s="1"/>
  <c r="EO16" i="4"/>
  <c r="EK16" i="4" s="1"/>
  <c r="EJ16" i="4" s="1"/>
  <c r="CW16" i="4"/>
  <c r="CV16" i="4" s="1"/>
  <c r="CS16" i="4"/>
  <c r="CK16" i="4" s="1"/>
  <c r="CJ16" i="4" s="1"/>
  <c r="BT16" i="4"/>
  <c r="BL16" i="4"/>
  <c r="BI16" i="4"/>
  <c r="BE16" i="4" s="1"/>
  <c r="BD16" i="4" s="1"/>
  <c r="BA16" i="4"/>
  <c r="AW16" i="4"/>
  <c r="AS16" i="4"/>
  <c r="DI16" i="4" s="1"/>
  <c r="DE16" i="4" s="1"/>
  <c r="DD16" i="4" s="1"/>
  <c r="AK16" i="4"/>
  <c r="AG16" i="4"/>
  <c r="KG15" i="4"/>
  <c r="KF15" i="4" s="1"/>
  <c r="JE15" i="4"/>
  <c r="JD15" i="4" s="1"/>
  <c r="HT15" i="4"/>
  <c r="HI15" i="4"/>
  <c r="GW15" i="4"/>
  <c r="GV15" i="4" s="1"/>
  <c r="GK15" i="4"/>
  <c r="FA15" i="4"/>
  <c r="EZ15" i="4" s="1"/>
  <c r="EW15" i="4"/>
  <c r="ES15" i="4"/>
  <c r="ER15" i="4" s="1"/>
  <c r="EO15" i="4"/>
  <c r="EK15" i="4"/>
  <c r="EJ15" i="4" s="1"/>
  <c r="DE15" i="4"/>
  <c r="DD15" i="4" s="1"/>
  <c r="CV15" i="4"/>
  <c r="CK15" i="4"/>
  <c r="CJ15" i="4" s="1"/>
  <c r="BT15" i="4"/>
  <c r="BL15" i="4"/>
  <c r="BE15" i="4"/>
  <c r="BD15" i="4" s="1"/>
  <c r="AO15" i="4"/>
  <c r="AN15" i="4" s="1"/>
  <c r="Y15" i="4"/>
  <c r="X15" i="4" s="1"/>
  <c r="H15" i="4"/>
  <c r="DE14" i="4"/>
  <c r="DD14" i="4" s="1"/>
  <c r="BT14" i="4"/>
  <c r="BL14" i="4"/>
  <c r="BE14" i="4"/>
  <c r="BD14" i="4" s="1"/>
  <c r="X14" i="4"/>
  <c r="FP13" i="4"/>
  <c r="DE13" i="4"/>
  <c r="DD13" i="4" s="1"/>
  <c r="BT13" i="4"/>
  <c r="BL13" i="4"/>
  <c r="BE13" i="4"/>
  <c r="BD13" i="4" s="1"/>
  <c r="X13" i="4"/>
  <c r="KF12" i="4"/>
  <c r="JE12" i="4"/>
  <c r="JD12" i="4" s="1"/>
  <c r="IS12" i="4"/>
  <c r="IR12" i="4" s="1"/>
  <c r="HT12" i="4"/>
  <c r="HI12" i="4"/>
  <c r="HH12" i="4" s="1"/>
  <c r="GW12" i="4"/>
  <c r="GK12" i="4"/>
  <c r="GJ12" i="4" s="1"/>
  <c r="ES12" i="4"/>
  <c r="ER12" i="4" s="1"/>
  <c r="EK12" i="4"/>
  <c r="EJ12" i="4" s="1"/>
  <c r="DE12" i="4"/>
  <c r="DD12" i="4" s="1"/>
  <c r="CW12" i="4"/>
  <c r="CV12" i="4" s="1"/>
  <c r="CT12" i="4"/>
  <c r="CS12" i="4"/>
  <c r="CJ12" i="4"/>
  <c r="BT12" i="4"/>
  <c r="BL12" i="4"/>
  <c r="BE12" i="4"/>
  <c r="BD12" i="4" s="1"/>
  <c r="AO12" i="4"/>
  <c r="AN12" i="4" s="1"/>
  <c r="Y12" i="4"/>
  <c r="X12" i="4" s="1"/>
  <c r="H12" i="4"/>
  <c r="KG11" i="4"/>
  <c r="KF11" i="4" s="1"/>
  <c r="JE11" i="4"/>
  <c r="IG11" i="4"/>
  <c r="HI11" i="4"/>
  <c r="GW11" i="4"/>
  <c r="GK11" i="4"/>
  <c r="GJ11" i="4" s="1"/>
  <c r="DN11" i="4"/>
  <c r="DM11" i="4"/>
  <c r="CJ11" i="4"/>
  <c r="BT11" i="4"/>
  <c r="BR11" i="4"/>
  <c r="BQ11" i="4"/>
  <c r="BM11" i="4" s="1"/>
  <c r="BL11" i="4" s="1"/>
  <c r="BJ11" i="4"/>
  <c r="BI11" i="4"/>
  <c r="CS11" i="4" s="1"/>
  <c r="AO11" i="4"/>
  <c r="AN11" i="4" s="1"/>
  <c r="Y11" i="4"/>
  <c r="X11" i="4" s="1"/>
  <c r="KG10" i="4"/>
  <c r="KF10" i="4" s="1"/>
  <c r="JE10" i="4"/>
  <c r="IS10" i="4"/>
  <c r="HU10" i="4"/>
  <c r="HI10" i="4"/>
  <c r="GW10" i="4"/>
  <c r="GK10" i="4"/>
  <c r="DE10" i="4"/>
  <c r="CJ10" i="4"/>
  <c r="CC10" i="4"/>
  <c r="BT10" i="4"/>
  <c r="BL10" i="4"/>
  <c r="BE10" i="4"/>
  <c r="BD10" i="4" s="1"/>
  <c r="AO10" i="4"/>
  <c r="Y10" i="4"/>
  <c r="X10" i="4" s="1"/>
  <c r="H10" i="4"/>
  <c r="KG9" i="4"/>
  <c r="KF9" i="4" s="1"/>
  <c r="JE9" i="4"/>
  <c r="IS9" i="4"/>
  <c r="IR9" i="4" s="1"/>
  <c r="IG9" i="4"/>
  <c r="HT9" i="4"/>
  <c r="GK9" i="4"/>
  <c r="GJ9" i="4" s="1"/>
  <c r="CK9" i="4"/>
  <c r="CJ9" i="4" s="1"/>
  <c r="BT9" i="4"/>
  <c r="BL9" i="4"/>
  <c r="BE9" i="4"/>
  <c r="BD9" i="4" s="1"/>
  <c r="AO9" i="4"/>
  <c r="Y9" i="4"/>
  <c r="X9" i="4" s="1"/>
  <c r="KG8" i="4"/>
  <c r="KF8" i="4" s="1"/>
  <c r="JE8" i="4"/>
  <c r="IS8" i="4"/>
  <c r="IG8" i="4"/>
  <c r="HT8" i="4"/>
  <c r="HI8" i="4"/>
  <c r="GK8" i="4"/>
  <c r="FA8" i="4"/>
  <c r="EZ8" i="4" s="1"/>
  <c r="EK8" i="4"/>
  <c r="EJ8" i="4" s="1"/>
  <c r="DE8" i="4"/>
  <c r="CJ8" i="4"/>
  <c r="BT8" i="4"/>
  <c r="BL8" i="4"/>
  <c r="BI8" i="4"/>
  <c r="BE8" i="4" s="1"/>
  <c r="BD8" i="4" s="1"/>
  <c r="AO8" i="4"/>
  <c r="AN8" i="4" s="1"/>
  <c r="Y8" i="4"/>
  <c r="X8" i="4" s="1"/>
  <c r="H8" i="4"/>
  <c r="KG7" i="4"/>
  <c r="KF7" i="4" s="1"/>
  <c r="JE7" i="4"/>
  <c r="IS7" i="4"/>
  <c r="IG7" i="4"/>
  <c r="HT7" i="4"/>
  <c r="HI7" i="4"/>
  <c r="GW7" i="4"/>
  <c r="GV7" i="4" s="1"/>
  <c r="GK7" i="4"/>
  <c r="ES7" i="4"/>
  <c r="ER7" i="4" s="1"/>
  <c r="EK7" i="4"/>
  <c r="EJ7" i="4" s="1"/>
  <c r="DE7" i="4"/>
  <c r="CK7" i="4"/>
  <c r="CJ7" i="4" s="1"/>
  <c r="BT7" i="4"/>
  <c r="BQ7" i="4"/>
  <c r="BM7" i="4" s="1"/>
  <c r="BL7" i="4" s="1"/>
  <c r="BI7" i="4"/>
  <c r="BE7" i="4" s="1"/>
  <c r="BD7" i="4" s="1"/>
  <c r="AO7" i="4"/>
  <c r="AN7" i="4" s="1"/>
  <c r="Y7" i="4"/>
  <c r="X7" i="4" s="1"/>
  <c r="KP6" i="4"/>
  <c r="KO6" i="4"/>
  <c r="KG6" i="4" s="1"/>
  <c r="KF6" i="4" s="1"/>
  <c r="JE6" i="4"/>
  <c r="IS6" i="4"/>
  <c r="HT6" i="4"/>
  <c r="GW6" i="4"/>
  <c r="GV6" i="4" s="1"/>
  <c r="GK6" i="4"/>
  <c r="DE6" i="4"/>
  <c r="CS6" i="4"/>
  <c r="CK6" i="4" s="1"/>
  <c r="CJ6" i="4" s="1"/>
  <c r="BT6" i="4"/>
  <c r="BL6" i="4"/>
  <c r="BJ6" i="4"/>
  <c r="BE6" i="4"/>
  <c r="BD6" i="4" s="1"/>
  <c r="AO6" i="4"/>
  <c r="Y6" i="4"/>
  <c r="X6" i="4" s="1"/>
  <c r="H6" i="4"/>
  <c r="KG5" i="4"/>
  <c r="KF5" i="4" s="1"/>
  <c r="JE5" i="4"/>
  <c r="IS5" i="4"/>
  <c r="HT5" i="4"/>
  <c r="HI5" i="4"/>
  <c r="GW5" i="4"/>
  <c r="GV5" i="4" s="1"/>
  <c r="FA5" i="4"/>
  <c r="DE5" i="4"/>
  <c r="CS5" i="4"/>
  <c r="CK5" i="4" s="1"/>
  <c r="CJ5" i="4" s="1"/>
  <c r="BT5" i="4"/>
  <c r="BL5" i="4"/>
  <c r="BE5" i="4"/>
  <c r="BD5" i="4" s="1"/>
  <c r="AO5" i="4"/>
  <c r="Y5" i="4"/>
  <c r="X5" i="4" s="1"/>
  <c r="H5" i="4"/>
  <c r="KO4" i="4"/>
  <c r="KG4" i="4" s="1"/>
  <c r="KF4" i="4" s="1"/>
  <c r="JE4" i="4"/>
  <c r="JD4" i="4" s="1"/>
  <c r="IS4" i="4"/>
  <c r="IR4" i="4" s="1"/>
  <c r="IG4" i="4"/>
  <c r="HU4" i="4"/>
  <c r="HT4" i="4" s="1"/>
  <c r="HI4" i="4"/>
  <c r="HH4" i="4" s="1"/>
  <c r="GW4" i="4"/>
  <c r="GV4" i="4" s="1"/>
  <c r="GK4" i="4"/>
  <c r="GJ4" i="4" s="1"/>
  <c r="GC4" i="4"/>
  <c r="FA4" i="4"/>
  <c r="EZ4" i="4" s="1"/>
  <c r="ES4" i="4"/>
  <c r="ER4" i="4" s="1"/>
  <c r="EK4" i="4"/>
  <c r="EJ4" i="4" s="1"/>
  <c r="DM4" i="4"/>
  <c r="DI4" i="4"/>
  <c r="CW4" i="4"/>
  <c r="CV4" i="4" s="1"/>
  <c r="CS4" i="4"/>
  <c r="CK4" i="4" s="1"/>
  <c r="CJ4" i="4" s="1"/>
  <c r="CC4" i="4"/>
  <c r="BT4" i="4"/>
  <c r="BQ4" i="4"/>
  <c r="BM4" i="4" s="1"/>
  <c r="BL4" i="4" s="1"/>
  <c r="BI4" i="4"/>
  <c r="BE4" i="4" s="1"/>
  <c r="BD4" i="4" s="1"/>
  <c r="AO4" i="4"/>
  <c r="AN4" i="4" s="1"/>
  <c r="Y4" i="4"/>
  <c r="X4" i="4" s="1"/>
  <c r="DE31" i="4" l="1"/>
  <c r="DD31" i="4" s="1"/>
  <c r="CK72" i="4"/>
  <c r="CJ72" i="4" s="1"/>
  <c r="DE43" i="4"/>
  <c r="DD43" i="4" s="1"/>
  <c r="DE48" i="4"/>
  <c r="DD48" i="4" s="1"/>
  <c r="DE128" i="4"/>
  <c r="DD128" i="4" s="1"/>
  <c r="DE49" i="8"/>
  <c r="DD49" i="8" s="1"/>
  <c r="DE44" i="8"/>
  <c r="DD44" i="8" s="1"/>
  <c r="DE156" i="4"/>
  <c r="DD156" i="4" s="1"/>
  <c r="DE32" i="4"/>
  <c r="DD32" i="4" s="1"/>
  <c r="DE129" i="4"/>
  <c r="DD129" i="4" s="1"/>
  <c r="DE71" i="4"/>
  <c r="DD71" i="4" s="1"/>
  <c r="DE78" i="4"/>
  <c r="DD78" i="4" s="1"/>
  <c r="BM118" i="4"/>
  <c r="BL118" i="4" s="1"/>
  <c r="BM146" i="4"/>
  <c r="BL146" i="4" s="1"/>
  <c r="DE38" i="4"/>
  <c r="DD38" i="4" s="1"/>
  <c r="DE42" i="4"/>
  <c r="DD42" i="4" s="1"/>
  <c r="KG44" i="4"/>
  <c r="KF44" i="4" s="1"/>
  <c r="DE157" i="4"/>
  <c r="DD157" i="4" s="1"/>
  <c r="DE162" i="4"/>
  <c r="DD162" i="4" s="1"/>
  <c r="Y85" i="4"/>
  <c r="X85" i="4" s="1"/>
  <c r="DE38" i="8"/>
  <c r="DD38" i="8" s="1"/>
  <c r="DE42" i="8"/>
  <c r="DD42" i="8" s="1"/>
  <c r="DE43" i="8"/>
  <c r="DD43" i="8" s="1"/>
  <c r="DI68" i="4"/>
  <c r="DE82" i="4"/>
  <c r="DD82" i="4" s="1"/>
  <c r="DE92" i="4"/>
  <c r="DD92" i="4" s="1"/>
  <c r="DE74" i="4"/>
  <c r="DD74" i="4" s="1"/>
  <c r="DE84" i="4"/>
  <c r="DD84" i="4" s="1"/>
  <c r="BI85" i="4"/>
  <c r="BE85" i="4" s="1"/>
  <c r="BD85" i="4" s="1"/>
  <c r="DE165" i="4"/>
  <c r="DD165" i="4" s="1"/>
  <c r="DE32" i="8"/>
  <c r="DD32" i="8" s="1"/>
  <c r="BM70" i="8"/>
  <c r="BL70" i="8" s="1"/>
  <c r="DE34" i="8"/>
  <c r="DD34" i="8" s="1"/>
  <c r="DE36" i="8"/>
  <c r="DD36" i="8" s="1"/>
  <c r="DE39" i="8"/>
  <c r="DD39" i="8" s="1"/>
  <c r="DE50" i="8"/>
  <c r="DD50" i="8" s="1"/>
  <c r="DE30" i="4"/>
  <c r="DD30" i="4" s="1"/>
  <c r="DE35" i="4"/>
  <c r="DD35" i="4" s="1"/>
  <c r="DE49" i="4"/>
  <c r="DD49" i="4" s="1"/>
  <c r="DE110" i="4"/>
  <c r="DD110" i="4" s="1"/>
  <c r="DE4" i="4"/>
  <c r="DD4" i="4" s="1"/>
  <c r="DE44" i="4"/>
  <c r="DD44" i="4" s="1"/>
  <c r="AO88" i="4"/>
  <c r="AN88" i="4" s="1"/>
  <c r="DI67" i="4"/>
  <c r="DE101" i="4"/>
  <c r="DD101" i="4" s="1"/>
  <c r="BE10" i="8"/>
  <c r="BD10" i="8" s="1"/>
  <c r="BM10" i="8"/>
  <c r="BL10" i="8" s="1"/>
  <c r="DE31" i="8"/>
  <c r="DD31" i="8" s="1"/>
  <c r="DE33" i="8"/>
  <c r="DD33" i="8" s="1"/>
  <c r="DE45" i="8"/>
  <c r="DD45" i="8" s="1"/>
  <c r="KG45" i="8"/>
  <c r="KF45" i="8" s="1"/>
  <c r="DI11" i="4"/>
  <c r="DE11" i="4" s="1"/>
  <c r="DD11" i="4" s="1"/>
  <c r="AO16" i="4"/>
  <c r="AN16" i="4" s="1"/>
  <c r="BQ16" i="4"/>
  <c r="Y16" i="4"/>
  <c r="X16" i="4" s="1"/>
  <c r="DE75" i="4"/>
  <c r="DD75" i="4" s="1"/>
  <c r="DE83" i="4"/>
  <c r="DD83" i="4" s="1"/>
  <c r="CS85" i="4"/>
  <c r="DI88" i="4"/>
  <c r="DE41" i="4"/>
  <c r="DD41" i="4" s="1"/>
  <c r="DE70" i="4"/>
  <c r="DD70" i="4" s="1"/>
  <c r="DE72" i="4"/>
  <c r="DD72" i="4" s="1"/>
  <c r="DE73" i="4"/>
  <c r="DD73" i="4" s="1"/>
  <c r="BM106" i="4"/>
  <c r="BL106" i="4" s="1"/>
  <c r="BE118" i="4"/>
  <c r="BD118" i="4" s="1"/>
  <c r="DI125" i="4"/>
  <c r="DE125" i="4" s="1"/>
  <c r="DD125" i="4" s="1"/>
  <c r="CK133" i="4"/>
  <c r="CJ133" i="4" s="1"/>
  <c r="CS88" i="4"/>
  <c r="DE93" i="4"/>
  <c r="DD93" i="4" s="1"/>
  <c r="DE107" i="4"/>
  <c r="DD107" i="4" s="1"/>
  <c r="DE166" i="4"/>
  <c r="DD166" i="4" s="1"/>
  <c r="DE167" i="4"/>
  <c r="DD167" i="4" s="1"/>
  <c r="DE159" i="4"/>
  <c r="DD159" i="4" s="1"/>
  <c r="DE160" i="4"/>
  <c r="DD160" i="4" s="1"/>
  <c r="DI16" i="8"/>
  <c r="DE16" i="8" s="1"/>
  <c r="DD16" i="8" s="1"/>
  <c r="BQ16" i="8"/>
  <c r="AO16" i="8"/>
  <c r="AN16" i="8" s="1"/>
  <c r="Y16" i="8"/>
  <c r="X16" i="8" s="1"/>
  <c r="BM69" i="8"/>
  <c r="BL69" i="8" s="1"/>
  <c r="DI69" i="8"/>
  <c r="BE11" i="4"/>
  <c r="BD11" i="4" s="1"/>
  <c r="DE33" i="4"/>
  <c r="DD33" i="4" s="1"/>
  <c r="DE37" i="4"/>
  <c r="DD37" i="4" s="1"/>
  <c r="Y79" i="4"/>
  <c r="X79" i="4" s="1"/>
  <c r="BQ88" i="4"/>
  <c r="BM88" i="4" s="1"/>
  <c r="BL88" i="4" s="1"/>
  <c r="CK93" i="4"/>
  <c r="CJ93" i="4" s="1"/>
  <c r="AO79" i="4"/>
  <c r="AN79" i="4" s="1"/>
  <c r="DI79" i="4"/>
  <c r="AO85" i="4"/>
  <c r="AN85" i="4" s="1"/>
  <c r="CW93" i="4"/>
  <c r="CV93" i="4" s="1"/>
  <c r="BQ85" i="4"/>
  <c r="BM85" i="4" s="1"/>
  <c r="BL85" i="4" s="1"/>
  <c r="BM122" i="4"/>
  <c r="BL122" i="4" s="1"/>
  <c r="DE132" i="4"/>
  <c r="DD132" i="4" s="1"/>
  <c r="DE136" i="4"/>
  <c r="DD136" i="4" s="1"/>
  <c r="BM145" i="4"/>
  <c r="BL145" i="4" s="1"/>
</calcChain>
</file>

<file path=xl/sharedStrings.xml><?xml version="1.0" encoding="utf-8"?>
<sst xmlns="http://schemas.openxmlformats.org/spreadsheetml/2006/main" count="16782" uniqueCount="3265">
  <si>
    <t>合同销售金额</t>
    <phoneticPr fontId="11" type="noConversion"/>
  </si>
  <si>
    <t>土地储备寿命</t>
    <phoneticPr fontId="11" type="noConversion"/>
  </si>
  <si>
    <t>土地储备区域分布</t>
    <phoneticPr fontId="11" type="noConversion"/>
  </si>
  <si>
    <t>主营业务行业相关度</t>
    <phoneticPr fontId="11" type="noConversion"/>
  </si>
  <si>
    <t>受限资产占比</t>
    <phoneticPr fontId="11" type="noConversion"/>
  </si>
  <si>
    <t>长期信用借款占比</t>
    <phoneticPr fontId="11" type="noConversion"/>
  </si>
  <si>
    <t>指标档位</t>
    <phoneticPr fontId="11" type="noConversion"/>
  </si>
  <si>
    <t>指标内容</t>
    <phoneticPr fontId="11" type="noConversion"/>
  </si>
  <si>
    <t>指标来源</t>
    <phoneticPr fontId="11" type="noConversion"/>
  </si>
  <si>
    <t>指标内容注释</t>
    <phoneticPr fontId="11" type="noConversion"/>
  </si>
  <si>
    <t>字段档位</t>
    <phoneticPr fontId="11" type="noConversion"/>
  </si>
  <si>
    <t>字段内容</t>
    <phoneticPr fontId="11" type="noConversion"/>
  </si>
  <si>
    <t>字段来源</t>
    <phoneticPr fontId="11" type="noConversion"/>
  </si>
  <si>
    <t>字段注释</t>
    <phoneticPr fontId="11" type="noConversion"/>
  </si>
  <si>
    <t>长期信用借款（亿元）</t>
    <phoneticPr fontId="12" type="noConversion"/>
  </si>
  <si>
    <t>受限货币资金（亿元）</t>
    <phoneticPr fontId="12" type="noConversion"/>
  </si>
  <si>
    <t>房地产企业开发资质</t>
    <phoneticPr fontId="12" type="noConversion"/>
  </si>
  <si>
    <t>土地储备建筑面积</t>
    <phoneticPr fontId="12" type="noConversion"/>
  </si>
  <si>
    <t>土地储备建筑面积（万平方米）</t>
    <phoneticPr fontId="12" type="noConversion"/>
  </si>
  <si>
    <t>合同销售金额增长率</t>
    <phoneticPr fontId="11" type="noConversion"/>
  </si>
  <si>
    <t>当年合同销售金额（亿元）</t>
    <phoneticPr fontId="12" type="noConversion"/>
  </si>
  <si>
    <t>去年合同销售金额（亿元）</t>
    <phoneticPr fontId="12" type="noConversion"/>
  </si>
  <si>
    <t>前年合同销售金额（亿元）</t>
    <phoneticPr fontId="12" type="noConversion"/>
  </si>
  <si>
    <t>合同销售金额</t>
    <phoneticPr fontId="11" type="noConversion"/>
  </si>
  <si>
    <t>土地储备寿命</t>
    <phoneticPr fontId="11" type="noConversion"/>
  </si>
  <si>
    <t>当年合约销售面积（万平方米）</t>
    <phoneticPr fontId="12" type="noConversion"/>
  </si>
  <si>
    <t>土地拓展节奏</t>
    <phoneticPr fontId="11" type="noConversion"/>
  </si>
  <si>
    <t>新增土地储备支出（亿元）</t>
    <phoneticPr fontId="12" type="noConversion"/>
  </si>
  <si>
    <t>主营业务行业相关度</t>
    <phoneticPr fontId="12" type="noConversion"/>
  </si>
  <si>
    <t>合约销售面积增长率</t>
  </si>
  <si>
    <t>当年合约销售面积（万平方米）</t>
  </si>
  <si>
    <t>去年合约销售面积（万平方米）</t>
  </si>
  <si>
    <t>前年合约销售面积（万平方米）</t>
  </si>
  <si>
    <t>物业收入占比</t>
    <phoneticPr fontId="11" type="noConversion"/>
  </si>
  <si>
    <t>物业收入（亿元）</t>
    <phoneticPr fontId="12" type="noConversion"/>
  </si>
  <si>
    <t>营业收入（亿元）</t>
    <phoneticPr fontId="12" type="noConversion"/>
  </si>
  <si>
    <t>数据缺失</t>
  </si>
  <si>
    <t>数据缺失</t>
    <phoneticPr fontId="13" type="noConversion"/>
  </si>
  <si>
    <t>合约销售面积</t>
    <phoneticPr fontId="11" type="noConversion"/>
  </si>
  <si>
    <t>在建项目面积</t>
    <phoneticPr fontId="12" type="noConversion"/>
  </si>
  <si>
    <t>在建项目面积（万平方米）</t>
    <phoneticPr fontId="12" type="noConversion"/>
  </si>
  <si>
    <t>股权结构</t>
    <phoneticPr fontId="13" type="noConversion"/>
  </si>
  <si>
    <t>指标档位</t>
    <phoneticPr fontId="13" type="noConversion"/>
  </si>
  <si>
    <t>指标内容</t>
    <phoneticPr fontId="13" type="noConversion"/>
  </si>
  <si>
    <t>指标来源</t>
    <phoneticPr fontId="13" type="noConversion"/>
  </si>
  <si>
    <t>指标内容注释</t>
    <phoneticPr fontId="13" type="noConversion"/>
  </si>
  <si>
    <t>企业性质</t>
    <phoneticPr fontId="13" type="noConversion"/>
  </si>
  <si>
    <t>实际控制人持股比例</t>
    <phoneticPr fontId="13" type="noConversion"/>
  </si>
  <si>
    <t>字段档位</t>
    <phoneticPr fontId="13" type="noConversion"/>
  </si>
  <si>
    <t>字段内容</t>
    <phoneticPr fontId="13" type="noConversion"/>
  </si>
  <si>
    <t>字段来源</t>
    <phoneticPr fontId="13" type="noConversion"/>
  </si>
  <si>
    <t>字段注释</t>
    <phoneticPr fontId="13" type="noConversion"/>
  </si>
  <si>
    <t>字段注释</t>
    <phoneticPr fontId="13" type="noConversion"/>
  </si>
  <si>
    <t>公司代码</t>
    <phoneticPr fontId="13" type="noConversion"/>
  </si>
  <si>
    <t>证券代码</t>
    <phoneticPr fontId="13" type="noConversion"/>
  </si>
  <si>
    <t>数据负责人1</t>
    <phoneticPr fontId="13" type="noConversion"/>
  </si>
  <si>
    <t>数据负责人2</t>
    <phoneticPr fontId="13" type="noConversion"/>
  </si>
  <si>
    <t>数据检查人</t>
    <phoneticPr fontId="13" type="noConversion"/>
  </si>
  <si>
    <t>发行主体</t>
    <phoneticPr fontId="13" type="noConversion"/>
  </si>
  <si>
    <t>数据时间</t>
    <phoneticPr fontId="13" type="noConversion"/>
  </si>
  <si>
    <t>当年合约销售面积（亿元）</t>
    <phoneticPr fontId="12" type="noConversion"/>
  </si>
  <si>
    <t>房地产开发企业排名</t>
    <phoneticPr fontId="12" type="noConversion"/>
  </si>
  <si>
    <t>土地储备一线城市占比</t>
    <phoneticPr fontId="12" type="noConversion"/>
  </si>
  <si>
    <t>土地储备二线城市占比</t>
    <phoneticPr fontId="12" type="noConversion"/>
  </si>
  <si>
    <t>土地储备三线城市占比</t>
    <phoneticPr fontId="12" type="noConversion"/>
  </si>
  <si>
    <t>土地储备四线及以下城市占比</t>
    <phoneticPr fontId="12" type="noConversion"/>
  </si>
  <si>
    <t>新开工面积</t>
    <phoneticPr fontId="12" type="noConversion"/>
  </si>
  <si>
    <t>新开工面积（万平方米）</t>
    <phoneticPr fontId="12" type="noConversion"/>
  </si>
  <si>
    <t>竣工面积</t>
    <phoneticPr fontId="12" type="noConversion"/>
  </si>
  <si>
    <t>竣工面积（万平方米）</t>
    <phoneticPr fontId="12" type="noConversion"/>
  </si>
  <si>
    <t>在建项目区域分布</t>
    <phoneticPr fontId="11" type="noConversion"/>
  </si>
  <si>
    <t>在建项目二线城市占比</t>
  </si>
  <si>
    <t>在建项目三线城市占比</t>
  </si>
  <si>
    <t>在建项目四线及以下城市占比</t>
  </si>
  <si>
    <t>受限货币资金占比</t>
    <phoneticPr fontId="11" type="noConversion"/>
  </si>
  <si>
    <t>融资渠道多样性</t>
    <phoneticPr fontId="12" type="noConversion"/>
  </si>
  <si>
    <t>银行授信额度占比</t>
    <phoneticPr fontId="12" type="noConversion"/>
  </si>
  <si>
    <t>融资成本</t>
    <phoneticPr fontId="12" type="noConversion"/>
  </si>
  <si>
    <t>审计机构资质</t>
    <phoneticPr fontId="13" type="noConversion"/>
  </si>
  <si>
    <t>对外担保占比</t>
    <phoneticPr fontId="11" type="noConversion"/>
  </si>
  <si>
    <t>指标内容</t>
    <phoneticPr fontId="11" type="noConversion"/>
  </si>
  <si>
    <t>指标内容注释</t>
    <phoneticPr fontId="11" type="noConversion"/>
  </si>
  <si>
    <t>受限资产合计（亿元）</t>
    <phoneticPr fontId="12" type="noConversion"/>
  </si>
  <si>
    <t>资产总额（亿元）</t>
    <phoneticPr fontId="12" type="noConversion"/>
  </si>
  <si>
    <t>货币资金（亿元）</t>
    <phoneticPr fontId="12" type="noConversion"/>
  </si>
  <si>
    <t>指标档位</t>
    <phoneticPr fontId="11" type="noConversion"/>
  </si>
  <si>
    <t>长期借款亿元）</t>
    <phoneticPr fontId="12" type="noConversion"/>
  </si>
  <si>
    <t>是否上市</t>
    <phoneticPr fontId="12" type="noConversion"/>
  </si>
  <si>
    <t>发债历史</t>
    <phoneticPr fontId="12" type="noConversion"/>
  </si>
  <si>
    <t>银行授信总额度（亿元）</t>
    <phoneticPr fontId="12" type="noConversion"/>
  </si>
  <si>
    <t>所有者权益（亿元）</t>
    <phoneticPr fontId="12" type="noConversion"/>
  </si>
  <si>
    <t>指标来源</t>
    <phoneticPr fontId="11" type="noConversion"/>
  </si>
  <si>
    <t>EBITDA（亿元）</t>
    <phoneticPr fontId="12" type="noConversion"/>
  </si>
  <si>
    <t>EBITDA利息保障倍数（倍）</t>
    <phoneticPr fontId="12" type="noConversion"/>
  </si>
  <si>
    <t>指标档位</t>
    <phoneticPr fontId="13" type="noConversion"/>
  </si>
  <si>
    <t>指标内容</t>
    <phoneticPr fontId="13" type="noConversion"/>
  </si>
  <si>
    <t>指标来源</t>
    <phoneticPr fontId="13" type="noConversion"/>
  </si>
  <si>
    <t>指标内容注释</t>
    <phoneticPr fontId="13" type="noConversion"/>
  </si>
  <si>
    <t>审计机构排名</t>
    <phoneticPr fontId="13" type="noConversion"/>
  </si>
  <si>
    <t>对外担保额（亿元）</t>
    <phoneticPr fontId="12" type="noConversion"/>
  </si>
  <si>
    <t>所有者权益亿元）</t>
    <phoneticPr fontId="12" type="noConversion"/>
  </si>
  <si>
    <t>字段来源</t>
    <phoneticPr fontId="11" type="noConversion"/>
  </si>
  <si>
    <t>字段注释</t>
    <phoneticPr fontId="11" type="noConversion"/>
  </si>
  <si>
    <t>字段档位</t>
    <phoneticPr fontId="11" type="noConversion"/>
  </si>
  <si>
    <t>字段内容</t>
    <phoneticPr fontId="11" type="noConversion"/>
  </si>
  <si>
    <t>字段档位</t>
    <phoneticPr fontId="13" type="noConversion"/>
  </si>
  <si>
    <t>字段内容</t>
    <phoneticPr fontId="13" type="noConversion"/>
  </si>
  <si>
    <t>字段来源</t>
    <phoneticPr fontId="13" type="noConversion"/>
  </si>
  <si>
    <t>中央企业</t>
    <phoneticPr fontId="13" type="noConversion"/>
  </si>
  <si>
    <t>实际控制人持股比例为100%</t>
    <phoneticPr fontId="13" type="noConversion"/>
  </si>
  <si>
    <t>国家级国有企业</t>
    <phoneticPr fontId="13" type="noConversion"/>
  </si>
  <si>
    <t>实际控制人持股比例大于50%且小于100%</t>
    <phoneticPr fontId="13" type="noConversion"/>
  </si>
  <si>
    <t>省级地方国有企业</t>
    <phoneticPr fontId="13" type="noConversion"/>
  </si>
  <si>
    <t>实际控制人持股比例大于20%且50%</t>
    <phoneticPr fontId="13" type="noConversion"/>
  </si>
  <si>
    <t>市级地方国有企业</t>
    <phoneticPr fontId="13" type="noConversion"/>
  </si>
  <si>
    <t>实际控制人持股比例小于20%</t>
    <phoneticPr fontId="13" type="noConversion"/>
  </si>
  <si>
    <t>其他国有企业</t>
    <phoneticPr fontId="13" type="noConversion"/>
  </si>
  <si>
    <t>集体企业</t>
    <phoneticPr fontId="13" type="noConversion"/>
  </si>
  <si>
    <t>民营企业</t>
    <phoneticPr fontId="13" type="noConversion"/>
  </si>
  <si>
    <t>无实际控制人</t>
    <phoneticPr fontId="13" type="noConversion"/>
  </si>
  <si>
    <t>德勤华永会计师事务所</t>
  </si>
  <si>
    <t>北京兴华会计师事务所</t>
  </si>
  <si>
    <t>四川华信（集团）会计师事务所</t>
  </si>
  <si>
    <t>邵乐琪</t>
    <phoneticPr fontId="13" type="noConversion"/>
  </si>
  <si>
    <t>泰禾集团股份有限公司</t>
  </si>
  <si>
    <t>112395.SZ</t>
    <phoneticPr fontId="13" type="noConversion"/>
  </si>
  <si>
    <t>民营企业</t>
  </si>
  <si>
    <t>黄其森</t>
    <phoneticPr fontId="13" type="noConversion"/>
  </si>
  <si>
    <t>评级20160721</t>
    <phoneticPr fontId="13" type="noConversion"/>
  </si>
  <si>
    <t>实际控制人持股比例大于20%且50%</t>
  </si>
  <si>
    <t>评级20160721</t>
    <phoneticPr fontId="13" type="noConversion"/>
  </si>
  <si>
    <t>www.fangchan.com/zt/top500/2016,</t>
  </si>
  <si>
    <t>一级</t>
  </si>
  <si>
    <t>一级</t>
    <phoneticPr fontId="13" type="noConversion"/>
  </si>
  <si>
    <t>二级</t>
    <phoneticPr fontId="13" type="noConversion"/>
  </si>
  <si>
    <t>三级</t>
    <phoneticPr fontId="13" type="noConversion"/>
  </si>
  <si>
    <t>四级</t>
    <phoneticPr fontId="13" type="noConversion"/>
  </si>
  <si>
    <t>暂定</t>
    <phoneticPr fontId="13" type="noConversion"/>
  </si>
  <si>
    <t>公司具有国家一级房地产开发资质，项目开发经验丰富，产品业态较多元，近年开发范围逐渐从福州及周边区域，拓展至北京、上海等一线城市</t>
    <phoneticPr fontId="13" type="noConversion"/>
  </si>
  <si>
    <t>年报2015</t>
    <phoneticPr fontId="12" type="noConversion"/>
  </si>
  <si>
    <t>一线城市占比为51.05%；二线城市占比为48.95%；三线城市占比为0；四线城市及以下占比为0</t>
    <phoneticPr fontId="13" type="noConversion"/>
  </si>
  <si>
    <t>开复工面积</t>
    <phoneticPr fontId="13" type="noConversion"/>
  </si>
  <si>
    <t>房地产开发业务：98.59%</t>
    <phoneticPr fontId="13" type="noConversion"/>
  </si>
  <si>
    <t>物业服务：1.02亿元</t>
    <phoneticPr fontId="13" type="noConversion"/>
  </si>
  <si>
    <t>wind</t>
    <phoneticPr fontId="13" type="noConversion"/>
  </si>
  <si>
    <t>wind</t>
    <phoneticPr fontId="13" type="noConversion"/>
  </si>
  <si>
    <t>年报2015</t>
    <phoneticPr fontId="13" type="noConversion"/>
  </si>
  <si>
    <t>年报2015</t>
    <phoneticPr fontId="13" type="noConversion"/>
  </si>
  <si>
    <t>wind</t>
    <phoneticPr fontId="13" type="noConversion"/>
  </si>
  <si>
    <t>年报2015</t>
    <phoneticPr fontId="13" type="noConversion"/>
  </si>
  <si>
    <t>wind</t>
    <phoneticPr fontId="13" type="noConversion"/>
  </si>
  <si>
    <t>上市</t>
  </si>
  <si>
    <t>一地发债</t>
  </si>
  <si>
    <t>公司债</t>
    <phoneticPr fontId="13" type="noConversion"/>
  </si>
  <si>
    <t>wind</t>
    <phoneticPr fontId="13" type="noConversion"/>
  </si>
  <si>
    <t>瑞华会计师事务所（特殊普通合伙）</t>
  </si>
  <si>
    <t>年报2015</t>
    <phoneticPr fontId="13" type="noConversion"/>
  </si>
  <si>
    <t>募集20160524</t>
    <phoneticPr fontId="13" type="noConversion"/>
  </si>
  <si>
    <t>在建项目一线城市占比</t>
    <phoneticPr fontId="13" type="noConversion"/>
  </si>
  <si>
    <t>一线城市占比为23.87%；二线城市占比为39.95%；三线城市占比为19.39%；四线城市及以下占比为16.79%</t>
    <phoneticPr fontId="13" type="noConversion"/>
  </si>
  <si>
    <t>判断依据</t>
    <phoneticPr fontId="13" type="noConversion"/>
  </si>
  <si>
    <t>房地产业务收入占比</t>
    <phoneticPr fontId="13" type="noConversion"/>
  </si>
  <si>
    <t>建议敞口</t>
    <phoneticPr fontId="13" type="noConversion"/>
  </si>
  <si>
    <t>2015.12.31</t>
    <phoneticPr fontId="13" type="noConversion"/>
  </si>
  <si>
    <t>是否属于房地产行业</t>
    <phoneticPr fontId="13" type="noConversion"/>
  </si>
  <si>
    <t>实际控制人为黄其森；实际控制人持股比例为46.67%</t>
    <phoneticPr fontId="13" type="noConversion"/>
  </si>
  <si>
    <t>长期信用借款占比</t>
    <phoneticPr fontId="12" type="noConversion"/>
  </si>
  <si>
    <t>上期期末有息债务（亿元）</t>
    <phoneticPr fontId="13" type="noConversion"/>
  </si>
  <si>
    <t>本期期末有息债务（亿元)</t>
    <phoneticPr fontId="12" type="noConversion"/>
  </si>
  <si>
    <t>136580.SH</t>
  </si>
  <si>
    <t>冯羽</t>
    <phoneticPr fontId="13" type="noConversion"/>
  </si>
  <si>
    <t>杨凤</t>
    <phoneticPr fontId="13" type="noConversion"/>
  </si>
  <si>
    <t>凌知昌</t>
    <phoneticPr fontId="13" type="noConversion"/>
  </si>
  <si>
    <t>大连万达商业地产股份有限公司</t>
    <phoneticPr fontId="13" type="noConversion"/>
  </si>
  <si>
    <t>2015.12.31</t>
  </si>
  <si>
    <t>实际控制人为王健林；实际控制人持股比例为50.82%</t>
    <phoneticPr fontId="13" type="noConversion"/>
  </si>
  <si>
    <t>王健林</t>
    <phoneticPr fontId="13" type="noConversion"/>
  </si>
  <si>
    <t>募集20160722</t>
    <phoneticPr fontId="13" type="noConversion"/>
  </si>
  <si>
    <t>募集20160722</t>
    <phoneticPr fontId="13" type="noConversion"/>
  </si>
  <si>
    <t>未上榜</t>
    <phoneticPr fontId="13" type="noConversion"/>
  </si>
  <si>
    <t>www.fangchan.com/zt/top500/2016</t>
  </si>
  <si>
    <t>万达未参与测评</t>
    <phoneticPr fontId="13" type="noConversion"/>
  </si>
  <si>
    <t>公司具备中国住房和城乡建设部颁发的房地产开发企业国家一级资质证书（建开企[2010]937 号）。</t>
    <phoneticPr fontId="13" type="noConversion"/>
  </si>
  <si>
    <t>募集20160722</t>
    <phoneticPr fontId="13" type="noConversion"/>
  </si>
  <si>
    <t>一线城市占比为0；二线城市占比为45.66%；三线城市占比为22.01%；四线城市及以下占比为32.32%</t>
    <phoneticPr fontId="13" type="noConversion"/>
  </si>
  <si>
    <t>募集20160722</t>
    <phoneticPr fontId="13" type="noConversion"/>
  </si>
  <si>
    <t>一线城市占比为2.67%；二线城市占比为45.14%；三线城市占比为19.32%；四线城市及以下占比为32.87%</t>
    <phoneticPr fontId="13" type="noConversion"/>
  </si>
  <si>
    <t xml:space="preserve">物业销售占比：82.61%    投资物业租赁及管理占比：10.96%  </t>
    <phoneticPr fontId="13" type="noConversion"/>
  </si>
  <si>
    <t>评级20160722</t>
    <phoneticPr fontId="13" type="noConversion"/>
  </si>
  <si>
    <t xml:space="preserve">投资物业租赁及管理占比：10.955%   </t>
  </si>
  <si>
    <t>评级20160722</t>
    <phoneticPr fontId="13" type="noConversion"/>
  </si>
  <si>
    <t>年报2015</t>
    <phoneticPr fontId="13" type="noConversion"/>
  </si>
  <si>
    <t>评级20160527</t>
    <phoneticPr fontId="13" type="noConversion"/>
  </si>
  <si>
    <t>大华会计师事务所（特殊普通合伙）</t>
    <phoneticPr fontId="13" type="noConversion"/>
  </si>
  <si>
    <t>年报2015</t>
    <phoneticPr fontId="13" type="noConversion"/>
  </si>
  <si>
    <t>冯羽</t>
    <phoneticPr fontId="13" type="noConversion"/>
  </si>
  <si>
    <t>杨凤</t>
    <phoneticPr fontId="13" type="noConversion"/>
  </si>
  <si>
    <t>凌知昌</t>
    <phoneticPr fontId="13" type="noConversion"/>
  </si>
  <si>
    <t>大连万达商业地产股份有限公司</t>
  </si>
  <si>
    <t>2014.12.31</t>
  </si>
  <si>
    <t>实际控制人为王健林；实际控制人持股比例为50.82%</t>
    <phoneticPr fontId="13" type="noConversion"/>
  </si>
  <si>
    <t>王健林</t>
    <phoneticPr fontId="13" type="noConversion"/>
  </si>
  <si>
    <t>募集20151012</t>
    <phoneticPr fontId="13" type="noConversion"/>
  </si>
  <si>
    <t>实际控制人持股比例大于50%且小于100%</t>
  </si>
  <si>
    <t>募集20161014</t>
    <phoneticPr fontId="13" type="noConversion"/>
  </si>
  <si>
    <t>募集20151012</t>
    <phoneticPr fontId="13" type="noConversion"/>
  </si>
  <si>
    <t>募集20151012</t>
    <phoneticPr fontId="13" type="noConversion"/>
  </si>
  <si>
    <t>未上榜</t>
    <phoneticPr fontId="13" type="noConversion"/>
  </si>
  <si>
    <t>万达未参与测评</t>
    <phoneticPr fontId="13" type="noConversion"/>
  </si>
  <si>
    <t>公司具备中国住房和城乡建设部颁发的房地产开发企业国家一级资质证书（建开企[2010]937 号）。</t>
  </si>
  <si>
    <t>募集20150723</t>
    <phoneticPr fontId="13" type="noConversion"/>
  </si>
  <si>
    <t>截至2015年1季度末</t>
    <phoneticPr fontId="13" type="noConversion"/>
  </si>
  <si>
    <t>募集20150723</t>
    <phoneticPr fontId="13" type="noConversion"/>
  </si>
  <si>
    <t>一线城市占比为3.29%；二线城市占比为44.39%；三线城市占比为19.7%；四线城市及以下占比为32.62%</t>
    <phoneticPr fontId="13" type="noConversion"/>
  </si>
  <si>
    <t>截至到2015年3月30日</t>
    <phoneticPr fontId="13" type="noConversion"/>
  </si>
  <si>
    <t>一线城市占比为2.67%；二线城市占比为40.84%%；三线城市占比为21.68%；四线城市及以下占比为34.82%</t>
    <phoneticPr fontId="13" type="noConversion"/>
  </si>
  <si>
    <t>截至到2015年3月30日</t>
    <phoneticPr fontId="13" type="noConversion"/>
  </si>
  <si>
    <t>房地产销售收入：84.92%；租赁及商管：9.67%</t>
    <phoneticPr fontId="13" type="noConversion"/>
  </si>
  <si>
    <t>房地产销售收入：84.92%；租赁及商管：9.67%</t>
    <phoneticPr fontId="13" type="noConversion"/>
  </si>
  <si>
    <t>评级20151012</t>
    <phoneticPr fontId="13" type="noConversion"/>
  </si>
  <si>
    <t>租赁及商管：110.8016亿元</t>
    <phoneticPr fontId="13" type="noConversion"/>
  </si>
  <si>
    <t>wind</t>
    <phoneticPr fontId="13" type="noConversion"/>
  </si>
  <si>
    <t>数据缺失</t>
    <phoneticPr fontId="13" type="noConversion"/>
  </si>
  <si>
    <t>年报2015</t>
    <phoneticPr fontId="13" type="noConversion"/>
  </si>
  <si>
    <t>东财</t>
    <phoneticPr fontId="13" type="noConversion"/>
  </si>
  <si>
    <t>评级20151012</t>
    <phoneticPr fontId="13" type="noConversion"/>
  </si>
  <si>
    <t>大华会计师事务所（特殊普通合伙）</t>
  </si>
  <si>
    <t>136134.SH</t>
  </si>
  <si>
    <t>凌知昌</t>
    <phoneticPr fontId="13" type="noConversion"/>
  </si>
  <si>
    <t>广州番禺雅居乐房地产开发有限公司</t>
    <phoneticPr fontId="13" type="noConversion"/>
  </si>
  <si>
    <t>实际控制人为陈氏家族；实际控制人持股比例为63.75%</t>
    <phoneticPr fontId="13" type="noConversion"/>
  </si>
  <si>
    <t>陈氏家族</t>
    <phoneticPr fontId="13" type="noConversion"/>
  </si>
  <si>
    <t>评级20160628</t>
    <phoneticPr fontId="13" type="noConversion"/>
  </si>
  <si>
    <t>评级20160628</t>
    <phoneticPr fontId="13" type="noConversion"/>
  </si>
  <si>
    <t>http://www.fangchan.com/zt/top500/2016/</t>
  </si>
  <si>
    <t>使用母公司排名：雅居乐地产控股有限公司</t>
    <phoneticPr fontId="13" type="noConversion"/>
  </si>
  <si>
    <t>公司具有房地产开发一级资质</t>
  </si>
  <si>
    <t>募集20151231</t>
    <phoneticPr fontId="13" type="noConversion"/>
  </si>
  <si>
    <t>一线城市占比为30.38%；二线城市占比为0%；三线城市占比为0%；四线城市及以下占比为69.92%</t>
    <phoneticPr fontId="13" type="noConversion"/>
  </si>
  <si>
    <t>评级20160628</t>
    <phoneticPr fontId="13" type="noConversion"/>
  </si>
  <si>
    <t>评级20160628</t>
    <phoneticPr fontId="13" type="noConversion"/>
  </si>
  <si>
    <t>截至2015 年末，公司共有广州雅居乐花园、剑桥郡、西安曲江项目、 长沙雅居乐花园和灰汤补充地块五个在建项目</t>
    <phoneticPr fontId="13" type="noConversion"/>
  </si>
  <si>
    <t>房地产销售占比：99.80%</t>
    <phoneticPr fontId="13" type="noConversion"/>
  </si>
  <si>
    <t>租金及其他收入：0.106884亿元</t>
    <phoneticPr fontId="13" type="noConversion"/>
  </si>
  <si>
    <t>年报2015</t>
    <phoneticPr fontId="13" type="noConversion"/>
  </si>
  <si>
    <t>普华永道中天会计师事务所（特殊普通合伙）</t>
    <phoneticPr fontId="13" type="noConversion"/>
  </si>
  <si>
    <t>普华永道中天会计师事务所（特殊普通合伙）</t>
    <phoneticPr fontId="13" type="noConversion"/>
  </si>
  <si>
    <t>136360.SH</t>
  </si>
  <si>
    <t>广州富力地产股份有限公司</t>
    <phoneticPr fontId="13" type="noConversion"/>
  </si>
  <si>
    <t>2013.12.31</t>
  </si>
  <si>
    <t>实际控制人为李思廉、张力；实际控制人合计持有64.76%</t>
    <phoneticPr fontId="13" type="noConversion"/>
  </si>
  <si>
    <t>李思廉、张力</t>
  </si>
  <si>
    <t>募集20150707</t>
    <phoneticPr fontId="13" type="noConversion"/>
  </si>
  <si>
    <t>实际控制人持股比例大于50%且小于100%</t>
    <phoneticPr fontId="13" type="noConversion"/>
  </si>
  <si>
    <t>最近三年，公司实际控制人未发生变化</t>
  </si>
  <si>
    <t>募集20150707</t>
    <phoneticPr fontId="13" type="noConversion"/>
  </si>
  <si>
    <t>评级20130605</t>
    <phoneticPr fontId="13" type="noConversion"/>
  </si>
  <si>
    <t>募集20150707</t>
    <phoneticPr fontId="13" type="noConversion"/>
  </si>
  <si>
    <t>http://www.fangchan.com/zt/top500/2014/</t>
  </si>
  <si>
    <t>公司拥有房地产开发一级资质</t>
    <phoneticPr fontId="13" type="noConversion"/>
  </si>
  <si>
    <t>评级20150707</t>
    <phoneticPr fontId="13" type="noConversion"/>
  </si>
  <si>
    <t>财报2013-2016.6.30</t>
    <phoneticPr fontId="13" type="noConversion"/>
  </si>
  <si>
    <t>一线城市占比为22.78%；二线城市占比为28.89%；三线城市占比为27.53%；四线及以下城市占比为20.80%</t>
    <phoneticPr fontId="13" type="noConversion"/>
  </si>
  <si>
    <t>财报2013-2016.6.30</t>
    <phoneticPr fontId="13" type="noConversion"/>
  </si>
  <si>
    <t>数据缺失</t>
    <phoneticPr fontId="13" type="noConversion"/>
  </si>
  <si>
    <t>从城市分布看，公司在建项目主要集中在直辖市、省会、经济发达城市等一二线城市</t>
    <phoneticPr fontId="13" type="noConversion"/>
  </si>
  <si>
    <t>房地产销售与出租占比：94.78%；物业管理：2.16%；建筑工程：0.09%</t>
    <phoneticPr fontId="13" type="noConversion"/>
  </si>
  <si>
    <t>房地产出租及物业管理：17.78亿元</t>
    <phoneticPr fontId="13" type="noConversion"/>
  </si>
  <si>
    <t>财报2013-2016上半年</t>
    <phoneticPr fontId="13" type="noConversion"/>
  </si>
  <si>
    <t>财报2013-2016上半年</t>
    <phoneticPr fontId="13" type="noConversion"/>
  </si>
  <si>
    <t>wind</t>
    <phoneticPr fontId="13" type="noConversion"/>
  </si>
  <si>
    <t>立信会计师事务所（特殊普通合伙）</t>
    <phoneticPr fontId="13" type="noConversion"/>
  </si>
  <si>
    <t>评级20150707</t>
    <phoneticPr fontId="13" type="noConversion"/>
  </si>
  <si>
    <t>136567.SH</t>
  </si>
  <si>
    <t>广州凯华城房地产开发有限公司</t>
  </si>
  <si>
    <t>实际控制人为Ho mei；实际控制人持股比例为89.90%</t>
    <phoneticPr fontId="13" type="noConversion"/>
  </si>
  <si>
    <t>Ho mei</t>
  </si>
  <si>
    <t>募集20160414</t>
    <phoneticPr fontId="13" type="noConversion"/>
  </si>
  <si>
    <t>实际控制人持股比例大于50%且小于100%</t>
    <phoneticPr fontId="13" type="noConversion"/>
  </si>
  <si>
    <t>最近三年内控股股东和实际控制人未发生变化</t>
    <phoneticPr fontId="13" type="noConversion"/>
  </si>
  <si>
    <t>数据缺失</t>
    <phoneticPr fontId="13" type="noConversion"/>
  </si>
  <si>
    <t>未上榜</t>
    <phoneticPr fontId="13" type="noConversion"/>
  </si>
  <si>
    <t>物业租赁及服务占比：99.78%</t>
    <phoneticPr fontId="13" type="noConversion"/>
  </si>
  <si>
    <t>评级20161011</t>
    <phoneticPr fontId="13" type="noConversion"/>
  </si>
  <si>
    <t>物业租赁及物业管理收入：6.14亿元</t>
    <phoneticPr fontId="13" type="noConversion"/>
  </si>
  <si>
    <t>wind</t>
    <phoneticPr fontId="13" type="noConversion"/>
  </si>
  <si>
    <t>评级20161011</t>
    <phoneticPr fontId="13" type="noConversion"/>
  </si>
  <si>
    <t>普华永道中天会计师事务所（特殊普通合伙）</t>
    <phoneticPr fontId="13" type="noConversion"/>
  </si>
  <si>
    <t>122396.SH</t>
  </si>
  <si>
    <t>凌知昌</t>
    <phoneticPr fontId="13" type="noConversion"/>
  </si>
  <si>
    <t>广州市时代地产集团有限公司</t>
    <phoneticPr fontId="13" type="noConversion"/>
  </si>
  <si>
    <t>实际控制人为岑钊雄和李一萍；实际控制人持股比例为69.36%</t>
    <phoneticPr fontId="13" type="noConversion"/>
  </si>
  <si>
    <t>岑钊雄和李一萍</t>
  </si>
  <si>
    <t>实际控制人持股比例大于50%且小于100%</t>
    <phoneticPr fontId="13" type="noConversion"/>
  </si>
  <si>
    <t>评级20160627</t>
    <phoneticPr fontId="13" type="noConversion"/>
  </si>
  <si>
    <t>募集20150708</t>
    <phoneticPr fontId="13" type="noConversion"/>
  </si>
  <si>
    <t>募集20150708</t>
    <phoneticPr fontId="13" type="noConversion"/>
  </si>
  <si>
    <t>数据缺失</t>
    <phoneticPr fontId="13" type="noConversion"/>
  </si>
  <si>
    <t>评级20160627</t>
    <phoneticPr fontId="13" type="noConversion"/>
  </si>
  <si>
    <t>一线城市占比为32.12%；二线城市占比为40.60%；三线城市占比为18.87%；四线城市及以下占比为8.40%</t>
    <phoneticPr fontId="13" type="noConversion"/>
  </si>
  <si>
    <t>物业销售：96.9%</t>
    <phoneticPr fontId="13" type="noConversion"/>
  </si>
  <si>
    <t>物业销售：96.9%</t>
    <phoneticPr fontId="13" type="noConversion"/>
  </si>
  <si>
    <t>租赁及物业管理收入：4.47亿元</t>
    <phoneticPr fontId="13" type="noConversion"/>
  </si>
  <si>
    <t>年报2015</t>
    <phoneticPr fontId="13" type="noConversion"/>
  </si>
  <si>
    <t>wind</t>
    <phoneticPr fontId="13" type="noConversion"/>
  </si>
  <si>
    <t>安永华明会计师事务所（特殊普通合伙）</t>
    <phoneticPr fontId="13" type="noConversion"/>
  </si>
  <si>
    <t>安永华明会计师事务所（特殊普通合伙）</t>
  </si>
  <si>
    <t>广州市时代地产集团有限公司</t>
  </si>
  <si>
    <t>实际控制人为岑钊雄和李一萍；实际控制人持股比例为75%</t>
    <phoneticPr fontId="13" type="noConversion"/>
  </si>
  <si>
    <t>实际控制人持股比例大于50%且小于100%</t>
    <phoneticPr fontId="13" type="noConversion"/>
  </si>
  <si>
    <t>评级20150708</t>
    <phoneticPr fontId="13" type="noConversion"/>
  </si>
  <si>
    <t>评级20150708</t>
    <phoneticPr fontId="13" type="noConversion"/>
  </si>
  <si>
    <t>数据缺失</t>
    <phoneticPr fontId="13" type="noConversion"/>
  </si>
  <si>
    <t>销售房地产：97.38%；物业及租赁2.62%</t>
    <phoneticPr fontId="13" type="noConversion"/>
  </si>
  <si>
    <t>销售房地产：97.38%；物业及租赁2.62%</t>
    <phoneticPr fontId="13" type="noConversion"/>
  </si>
  <si>
    <t>募集20150708</t>
    <phoneticPr fontId="13" type="noConversion"/>
  </si>
  <si>
    <t>物业及租赁收入：2.69亿元</t>
    <phoneticPr fontId="13" type="noConversion"/>
  </si>
  <si>
    <t>wind</t>
    <phoneticPr fontId="13" type="noConversion"/>
  </si>
  <si>
    <t>广州市天建房地产开发有限公司</t>
  </si>
  <si>
    <t>民营企业</t>
    <phoneticPr fontId="13" type="noConversion"/>
  </si>
  <si>
    <t>募集20160323</t>
    <phoneticPr fontId="13" type="noConversion"/>
  </si>
  <si>
    <t>发行人最近三年及一期的实际控制人均为孔健岷先生，未发生变化</t>
  </si>
  <si>
    <t>评级20160629</t>
    <phoneticPr fontId="13" type="noConversion"/>
  </si>
  <si>
    <t>136345.SH</t>
    <phoneticPr fontId="13" type="noConversion"/>
  </si>
  <si>
    <t>黄飞</t>
    <phoneticPr fontId="13" type="noConversion"/>
  </si>
  <si>
    <t>黄梦瑶</t>
    <phoneticPr fontId="13" type="noConversion"/>
  </si>
  <si>
    <t>2014.12.31</t>
    <phoneticPr fontId="13" type="noConversion"/>
  </si>
  <si>
    <t>实际控制人为孔健岷；实际控制人控股比例为47.01%</t>
    <phoneticPr fontId="13" type="noConversion"/>
  </si>
  <si>
    <t>孔健岷</t>
    <phoneticPr fontId="13" type="noConversion"/>
  </si>
  <si>
    <t>评级20160629</t>
    <phoneticPr fontId="13" type="noConversion"/>
  </si>
  <si>
    <t>募集20160323</t>
    <phoneticPr fontId="13" type="noConversion"/>
  </si>
  <si>
    <t>http://www.fangchan.com/zt/top500/2015/</t>
    <phoneticPr fontId="13" type="noConversion"/>
  </si>
  <si>
    <t>公司储备方面， 坚持深耕一、二线城市的战略。截至2014年底， 公司土地建筑面积为241.02万平方米，其中新增土地储备31.44万平方米。</t>
    <phoneticPr fontId="13" type="noConversion"/>
  </si>
  <si>
    <t>公司在建项目主要集中在一二线城市。</t>
    <phoneticPr fontId="13" type="noConversion"/>
  </si>
  <si>
    <t>房产销售：88.33%；租赁0.29%</t>
    <phoneticPr fontId="13" type="noConversion"/>
  </si>
  <si>
    <t>租金收入：0.06亿元</t>
    <phoneticPr fontId="13" type="noConversion"/>
  </si>
  <si>
    <t xml:space="preserve">wind </t>
    <phoneticPr fontId="13" type="noConversion"/>
  </si>
  <si>
    <t xml:space="preserve">wind </t>
    <phoneticPr fontId="13" type="noConversion"/>
  </si>
  <si>
    <t xml:space="preserve">wind </t>
    <phoneticPr fontId="13" type="noConversion"/>
  </si>
  <si>
    <t>评级20160629</t>
    <phoneticPr fontId="13" type="noConversion"/>
  </si>
  <si>
    <t>中喜会计师事务所（特殊普通合伙）</t>
  </si>
  <si>
    <t xml:space="preserve">wind </t>
    <phoneticPr fontId="13" type="noConversion"/>
  </si>
  <si>
    <t>136025.SH</t>
  </si>
  <si>
    <t>贵州省公路工程集团有限公司</t>
  </si>
  <si>
    <t>否</t>
    <phoneticPr fontId="13" type="noConversion"/>
  </si>
  <si>
    <t>124008.SH</t>
  </si>
  <si>
    <t>黄梦瑶</t>
    <phoneticPr fontId="13" type="noConversion"/>
  </si>
  <si>
    <t>国奥投资发展有限公司</t>
  </si>
  <si>
    <t>首都开发股份有限公司系发行人的第一大股东，实际控制人为北京市国资委，直接及间接持股比例为 46%</t>
    <phoneticPr fontId="13" type="noConversion"/>
  </si>
  <si>
    <t>北京市国资委</t>
    <phoneticPr fontId="13" type="noConversion"/>
  </si>
  <si>
    <t>募集20121106</t>
    <phoneticPr fontId="13" type="noConversion"/>
  </si>
  <si>
    <t>实际控制人持股比例大于20%且50%</t>
    <phoneticPr fontId="13" type="noConversion"/>
  </si>
  <si>
    <t>评级20140710</t>
    <phoneticPr fontId="13" type="noConversion"/>
  </si>
  <si>
    <t>评级20140710</t>
    <phoneticPr fontId="13" type="noConversion"/>
  </si>
  <si>
    <t>评级20130627</t>
    <phoneticPr fontId="13" type="noConversion"/>
  </si>
  <si>
    <t>评级20140710</t>
    <phoneticPr fontId="13" type="noConversion"/>
  </si>
  <si>
    <t>评级20140620</t>
    <phoneticPr fontId="13" type="noConversion"/>
  </si>
  <si>
    <t>评级20140620</t>
    <phoneticPr fontId="13" type="noConversion"/>
  </si>
  <si>
    <t xml:space="preserve"> www.fangchan.com/zt/top500/2014</t>
  </si>
  <si>
    <t>公司拥有国家一级房地产开发资质</t>
    <phoneticPr fontId="13" type="noConversion"/>
  </si>
  <si>
    <t>http://219.142.101.72/showcorpinfo/showcorpinfo.aspx</t>
  </si>
  <si>
    <t>评级20140620</t>
    <phoneticPr fontId="13" type="noConversion"/>
  </si>
  <si>
    <t>公司在建项目主要分布在北京、重庆、成都、
桂林</t>
    <phoneticPr fontId="13" type="noConversion"/>
  </si>
  <si>
    <t>房地产业务收入：96.53%</t>
    <phoneticPr fontId="13" type="noConversion"/>
  </si>
  <si>
    <t>房地产业务收入：96.53%；</t>
    <phoneticPr fontId="13" type="noConversion"/>
  </si>
  <si>
    <t>物业经营收入：0.36</t>
    <phoneticPr fontId="13" type="noConversion"/>
  </si>
  <si>
    <t>年报2013</t>
    <phoneticPr fontId="13" type="noConversion"/>
  </si>
  <si>
    <t>大华会计师事务所（特殊普通合伙）</t>
    <phoneticPr fontId="13" type="noConversion"/>
  </si>
  <si>
    <t>112287.SZ</t>
    <phoneticPr fontId="13" type="noConversion"/>
  </si>
  <si>
    <t>凌知昌</t>
    <phoneticPr fontId="13" type="noConversion"/>
  </si>
  <si>
    <t>海航投资集团股份有限公司</t>
  </si>
  <si>
    <t>2013.12.31</t>
    <phoneticPr fontId="13" type="noConversion"/>
  </si>
  <si>
    <t>实际控制人为海南航空股份有限公司工会委员会；实际控制人控股比例为19.98%.</t>
    <phoneticPr fontId="13" type="noConversion"/>
  </si>
  <si>
    <t>海南航空股份有限公司工会委员会</t>
    <phoneticPr fontId="13" type="noConversion"/>
  </si>
  <si>
    <t>评级20140522</t>
    <phoneticPr fontId="13" type="noConversion"/>
  </si>
  <si>
    <t>年报2013</t>
    <phoneticPr fontId="13" type="noConversion"/>
  </si>
  <si>
    <t>评级20130628</t>
    <phoneticPr fontId="13" type="noConversion"/>
  </si>
  <si>
    <t>评级20140522</t>
    <phoneticPr fontId="13" type="noConversion"/>
  </si>
  <si>
    <t>评级20130628</t>
    <phoneticPr fontId="13" type="noConversion"/>
  </si>
  <si>
    <t>未上榜</t>
    <phoneticPr fontId="13" type="noConversion"/>
  </si>
  <si>
    <t>数据缺失</t>
    <phoneticPr fontId="13" type="noConversion"/>
  </si>
  <si>
    <t>年报20103</t>
    <phoneticPr fontId="13" type="noConversion"/>
  </si>
  <si>
    <t>公司土地储备主要分布在唐山市</t>
    <phoneticPr fontId="13" type="noConversion"/>
  </si>
  <si>
    <t>在施面积</t>
    <phoneticPr fontId="13" type="noConversion"/>
  </si>
  <si>
    <t>公司在建项目集中在北京，天津，苏州</t>
    <phoneticPr fontId="13" type="noConversion"/>
  </si>
  <si>
    <t>房产销售和房地产出租：96.72%</t>
    <phoneticPr fontId="13" type="noConversion"/>
  </si>
  <si>
    <t>物业管理：0.7532686048</t>
    <phoneticPr fontId="13" type="noConversion"/>
  </si>
  <si>
    <t>wind</t>
    <phoneticPr fontId="13" type="noConversion"/>
  </si>
  <si>
    <t>大华会计师事务所（特殊普通合伙）</t>
    <phoneticPr fontId="13" type="noConversion"/>
  </si>
  <si>
    <t>112427.SZ</t>
  </si>
  <si>
    <t>黄飞</t>
    <phoneticPr fontId="13" type="noConversion"/>
  </si>
  <si>
    <t>黄梦瑶</t>
    <phoneticPr fontId="13" type="noConversion"/>
  </si>
  <si>
    <t>杭州滨江房产集团股份有限公司</t>
  </si>
  <si>
    <t>实际控制人为戚金兴；实际控制人持股比例为46.85%</t>
    <phoneticPr fontId="13" type="noConversion"/>
  </si>
  <si>
    <t>戚金兴</t>
    <phoneticPr fontId="13" type="noConversion"/>
  </si>
  <si>
    <t>年报2014</t>
    <phoneticPr fontId="13" type="noConversion"/>
  </si>
  <si>
    <t>评级20151105</t>
    <phoneticPr fontId="13" type="noConversion"/>
  </si>
  <si>
    <t>评级20151105</t>
    <phoneticPr fontId="13" type="noConversion"/>
  </si>
  <si>
    <t>http://www.fangchan.com/zt/top500/2015/</t>
  </si>
  <si>
    <t>杭州滨江房产集团股份有限公司持有证书编号为建开企[2007]673 号《中华人民共和国房地产开发企业资质证书》，资质等级为一级，具备房地产项目开发主体的相应资质。</t>
    <phoneticPr fontId="13" type="noConversion"/>
  </si>
  <si>
    <t>募集20151105</t>
    <phoneticPr fontId="13" type="noConversion"/>
  </si>
  <si>
    <t>截至2015年3月末</t>
    <phoneticPr fontId="13" type="noConversion"/>
  </si>
  <si>
    <t>截至2015年3月</t>
    <phoneticPr fontId="13" type="noConversion"/>
  </si>
  <si>
    <t>公司的土地储备集中在杭州、嘉兴。</t>
    <phoneticPr fontId="13" type="noConversion"/>
  </si>
  <si>
    <t>一线城市占比为0；二线城市占比为69.85%；三线城市占比为18.14%；四线及以下城市占比为12.01%.</t>
    <phoneticPr fontId="13" type="noConversion"/>
  </si>
  <si>
    <t>评级20151105</t>
    <phoneticPr fontId="13" type="noConversion"/>
  </si>
  <si>
    <t>房地产业：96.82%</t>
    <phoneticPr fontId="13" type="noConversion"/>
  </si>
  <si>
    <t>物业管理：1.28</t>
    <phoneticPr fontId="13" type="noConversion"/>
  </si>
  <si>
    <t>年报2014</t>
    <phoneticPr fontId="13" type="noConversion"/>
  </si>
  <si>
    <t>募集20151105</t>
    <phoneticPr fontId="13" type="noConversion"/>
  </si>
  <si>
    <t>天健会计师事务所（特殊普通合伙）</t>
    <phoneticPr fontId="13" type="noConversion"/>
  </si>
  <si>
    <t>年报2014</t>
    <phoneticPr fontId="13" type="noConversion"/>
  </si>
  <si>
    <t>wind</t>
    <phoneticPr fontId="13" type="noConversion"/>
  </si>
  <si>
    <t>122463.SH</t>
    <phoneticPr fontId="13" type="noConversion"/>
  </si>
  <si>
    <t>凌知昌</t>
    <phoneticPr fontId="13" type="noConversion"/>
  </si>
  <si>
    <t>花样年集团(中国)有限公司</t>
    <phoneticPr fontId="13" type="noConversion"/>
  </si>
  <si>
    <t>实际控制人为曾宝宝；实际控制人持股比例为46.01%</t>
    <phoneticPr fontId="13" type="noConversion"/>
  </si>
  <si>
    <t>曾宝宝</t>
    <phoneticPr fontId="13" type="noConversion"/>
  </si>
  <si>
    <t>评级20160622</t>
    <phoneticPr fontId="13" type="noConversion"/>
  </si>
  <si>
    <t>评级20160622</t>
    <phoneticPr fontId="13" type="noConversion"/>
  </si>
  <si>
    <t>募集20150914</t>
    <phoneticPr fontId="13" type="noConversion"/>
  </si>
  <si>
    <t>募集20150914</t>
    <phoneticPr fontId="13" type="noConversion"/>
  </si>
  <si>
    <t>二级</t>
    <phoneticPr fontId="13" type="noConversion"/>
  </si>
  <si>
    <t>公司拥有房地产开发二级资质</t>
    <phoneticPr fontId="13" type="noConversion"/>
  </si>
  <si>
    <t>一线城市占比为18%；二线城市占比为47.40%；三线城市占比为34%；四线城市及以下占比为0</t>
    <phoneticPr fontId="13" type="noConversion"/>
  </si>
  <si>
    <t>一线城市占比为7.94%；二线城市占比为51.10%；三线城市占比为11.38%；四线及以下城市占比为29.58%.</t>
    <phoneticPr fontId="13" type="noConversion"/>
  </si>
  <si>
    <t>年报2015</t>
    <phoneticPr fontId="13" type="noConversion"/>
  </si>
  <si>
    <t>房屋销售与租赁：93.205；物业管理：1.52%</t>
    <phoneticPr fontId="13" type="noConversion"/>
  </si>
  <si>
    <t>房屋销售与租赁：93.205；物业管理：1.52%</t>
    <phoneticPr fontId="13" type="noConversion"/>
  </si>
  <si>
    <t>物管服务：1.37亿元</t>
    <phoneticPr fontId="13" type="noConversion"/>
  </si>
  <si>
    <t>wind</t>
    <phoneticPr fontId="13" type="noConversion"/>
  </si>
  <si>
    <t>wind</t>
    <phoneticPr fontId="13" type="noConversion"/>
  </si>
  <si>
    <t>中审华寅五洲会计师事务所（特殊普通合伙）</t>
    <phoneticPr fontId="13" type="noConversion"/>
  </si>
  <si>
    <t>136648.SH</t>
    <phoneticPr fontId="13" type="noConversion"/>
  </si>
  <si>
    <t>佳源创盛控股集团有限公司</t>
    <phoneticPr fontId="13" type="noConversion"/>
  </si>
  <si>
    <t>实际控制人为沈玉兴；实际控制人持股比例为90%.</t>
    <phoneticPr fontId="13" type="noConversion"/>
  </si>
  <si>
    <t>沈玉兴</t>
    <phoneticPr fontId="13" type="noConversion"/>
  </si>
  <si>
    <t>评级20160818</t>
    <phoneticPr fontId="13" type="noConversion"/>
  </si>
  <si>
    <t>使用子公司排名：浙江佳源房地产集团有限公司</t>
    <phoneticPr fontId="13" type="noConversion"/>
  </si>
  <si>
    <t>公司是一家以房地产开发为核心业务，以规划设计、建筑施工、物业服务、酒店管理、商业管理等为配套产业，同时拥有国家房地产开发与物业管理一级资质的集团型企业。</t>
    <phoneticPr fontId="13" type="noConversion"/>
  </si>
  <si>
    <t>截止2016年3月</t>
    <phoneticPr fontId="13" type="noConversion"/>
  </si>
  <si>
    <t>一线城市占比为7.83%；二线城市占比为23.92%；三线城市占比为34.03%；四线及以下城市占比为34.22%.</t>
    <phoneticPr fontId="13" type="noConversion"/>
  </si>
  <si>
    <t>评级20160818</t>
    <phoneticPr fontId="13" type="noConversion"/>
  </si>
  <si>
    <t>评级20160818</t>
    <phoneticPr fontId="13" type="noConversion"/>
  </si>
  <si>
    <t>评级201601818</t>
    <phoneticPr fontId="13" type="noConversion"/>
  </si>
  <si>
    <t>一线城市占比为6%；二线城市占比为20.92%；三线城市占比为39.43%；四线及以下城市占比为33.61%.</t>
    <phoneticPr fontId="13" type="noConversion"/>
  </si>
  <si>
    <t>房地产收入：97.72%；物业租赁：2.16%；建筑设计0.11%</t>
    <phoneticPr fontId="13" type="noConversion"/>
  </si>
  <si>
    <t>物业租赁;2.16亿元</t>
    <phoneticPr fontId="13" type="noConversion"/>
  </si>
  <si>
    <t>wind</t>
    <phoneticPr fontId="13" type="noConversion"/>
  </si>
  <si>
    <t>募集20160818</t>
    <phoneticPr fontId="13" type="noConversion"/>
  </si>
  <si>
    <t>wind</t>
    <phoneticPr fontId="13" type="noConversion"/>
  </si>
  <si>
    <t>亚太（集团）会计师事务所（特殊普通合伙）</t>
    <phoneticPr fontId="13" type="noConversion"/>
  </si>
  <si>
    <t>评级20160818、募集20160818</t>
    <phoneticPr fontId="13" type="noConversion"/>
  </si>
  <si>
    <t>136531.SH</t>
    <phoneticPr fontId="13" type="noConversion"/>
  </si>
  <si>
    <t>黑牡丹(集团)股份有限公司</t>
    <phoneticPr fontId="13" type="noConversion"/>
  </si>
  <si>
    <t>房地产收入占比小于50%；年报2015</t>
    <phoneticPr fontId="13" type="noConversion"/>
  </si>
  <si>
    <t>122383.SH</t>
  </si>
  <si>
    <t>恒大地产集团有限公司(广州)</t>
  </si>
  <si>
    <t>实际控制人为许家印；实际控制人持股比例64.23%</t>
    <phoneticPr fontId="13" type="noConversion"/>
  </si>
  <si>
    <t>许家印</t>
    <phoneticPr fontId="13" type="noConversion"/>
  </si>
  <si>
    <t>募集20150616</t>
    <phoneticPr fontId="13" type="noConversion"/>
  </si>
  <si>
    <t>评级20150616</t>
    <phoneticPr fontId="13" type="noConversion"/>
  </si>
  <si>
    <t>评级20150616</t>
    <phoneticPr fontId="13" type="noConversion"/>
  </si>
  <si>
    <t xml:space="preserve">公司土地储备主要分布：其中一线城市土地储备面积占比 2.36%，二线城市土地储备占比38.87%，三线及以下城市土地储备占比 58.78%。 </t>
    <phoneticPr fontId="13" type="noConversion"/>
  </si>
  <si>
    <t>评级20150616</t>
    <phoneticPr fontId="13" type="noConversion"/>
  </si>
  <si>
    <t>近年公司持续调整产品结构和区域结构，投资重心从三线城市向一、二线城市转移，初步实现了一、二线城市项目与三线城市项目平衡发展目标</t>
    <phoneticPr fontId="13" type="noConversion"/>
  </si>
  <si>
    <t>房地产开发：96.10%</t>
    <phoneticPr fontId="13" type="noConversion"/>
  </si>
  <si>
    <t>募集20150616</t>
    <phoneticPr fontId="13" type="noConversion"/>
  </si>
  <si>
    <t>物业管理：13.16亿元</t>
    <phoneticPr fontId="13" type="noConversion"/>
  </si>
  <si>
    <t>募集20150618</t>
    <phoneticPr fontId="13" type="noConversion"/>
  </si>
  <si>
    <t>wind</t>
    <phoneticPr fontId="13" type="noConversion"/>
  </si>
  <si>
    <t>总债务</t>
  </si>
  <si>
    <t>普华永道中天会计师事务所（特殊普通合伙）</t>
    <phoneticPr fontId="13" type="noConversion"/>
  </si>
  <si>
    <t>截至2014年12月31日</t>
    <phoneticPr fontId="13" type="noConversion"/>
  </si>
  <si>
    <t>数据缺失</t>
    <phoneticPr fontId="13" type="noConversion"/>
  </si>
  <si>
    <t>公司拥有房地产开发一级资质</t>
    <phoneticPr fontId="13" type="noConversion"/>
  </si>
  <si>
    <t>评级20150616</t>
  </si>
  <si>
    <t>评级20150616</t>
    <phoneticPr fontId="13" type="noConversion"/>
  </si>
  <si>
    <t>近年公司持续调整产品结构和区域结构，投资重心从三线城市向一、二线城市转移，初步实现了一、二线城市项目与三线城市项目平衡发展目标</t>
    <phoneticPr fontId="13" type="noConversion"/>
  </si>
  <si>
    <t>评级20150616</t>
    <phoneticPr fontId="13" type="noConversion"/>
  </si>
  <si>
    <t>近年公司持续调整产品结构和区域结构，投资重心从三线城市向一、二线城市转移，初步实现了一、二线城市项目与三线城市项目平衡发展目标</t>
    <phoneticPr fontId="13" type="noConversion"/>
  </si>
  <si>
    <t>评级20150616</t>
    <phoneticPr fontId="13" type="noConversion"/>
  </si>
  <si>
    <t>数据缺失</t>
    <phoneticPr fontId="13" type="noConversion"/>
  </si>
  <si>
    <t>房地产开发：97.17%</t>
    <phoneticPr fontId="13" type="noConversion"/>
  </si>
  <si>
    <t>募集20150616</t>
  </si>
  <si>
    <t>物业管理：43.48亿元</t>
    <phoneticPr fontId="13" type="noConversion"/>
  </si>
  <si>
    <t>wind</t>
    <phoneticPr fontId="13" type="noConversion"/>
  </si>
  <si>
    <t>wind</t>
    <phoneticPr fontId="13" type="noConversion"/>
  </si>
  <si>
    <t>112235.SZ</t>
  </si>
  <si>
    <t>杨凤</t>
    <phoneticPr fontId="13" type="noConversion"/>
  </si>
  <si>
    <t>湖北福星科技股份有限公司</t>
    <phoneticPr fontId="13" type="noConversion"/>
  </si>
  <si>
    <t>评级20160620</t>
    <phoneticPr fontId="13" type="noConversion"/>
  </si>
  <si>
    <t>评级20160620</t>
    <phoneticPr fontId="13" type="noConversion"/>
  </si>
  <si>
    <t>募集20150115</t>
    <phoneticPr fontId="13" type="noConversion"/>
  </si>
  <si>
    <t>使用子公司排名：福星惠誉房地产有限公司</t>
    <phoneticPr fontId="13" type="noConversion"/>
  </si>
  <si>
    <t>一线城市占比为2%；二线城市占比为75.84%；三线城市占比为0%；四线及以下城市占比为22.16%</t>
    <phoneticPr fontId="13" type="noConversion"/>
  </si>
  <si>
    <t>年报2015</t>
    <phoneticPr fontId="13" type="noConversion"/>
  </si>
  <si>
    <t>评级20160620</t>
    <phoneticPr fontId="13" type="noConversion"/>
  </si>
  <si>
    <t>公司在建项目主要分布在武汉市</t>
    <phoneticPr fontId="13" type="noConversion"/>
  </si>
  <si>
    <t>房地产销售：88.96%</t>
    <phoneticPr fontId="13" type="noConversion"/>
  </si>
  <si>
    <t>房地产销售：88.96%</t>
    <phoneticPr fontId="13" type="noConversion"/>
  </si>
  <si>
    <t>东财</t>
    <phoneticPr fontId="13" type="noConversion"/>
  </si>
  <si>
    <t>评级20160620</t>
  </si>
  <si>
    <t>总债务</t>
    <phoneticPr fontId="13" type="noConversion"/>
  </si>
  <si>
    <t>致同会计师事务所（特殊普通合伙）</t>
    <phoneticPr fontId="13" type="noConversion"/>
  </si>
  <si>
    <t>湖北福星科技股份有限公司</t>
  </si>
  <si>
    <t>湖北省汉川市钢丝绳</t>
    <phoneticPr fontId="13" type="noConversion"/>
  </si>
  <si>
    <t>评级20140822</t>
    <phoneticPr fontId="13" type="noConversion"/>
  </si>
  <si>
    <t>一线城市占比为2.08%；二线城市占比为77.71%；三线城市占比为0；四线城市及以下占比为20.22%</t>
    <phoneticPr fontId="13" type="noConversion"/>
  </si>
  <si>
    <t>公司在建项目主要分布在武汉市</t>
    <phoneticPr fontId="13" type="noConversion"/>
  </si>
  <si>
    <t>房地产销售：76.71%</t>
    <phoneticPr fontId="13" type="noConversion"/>
  </si>
  <si>
    <t>东财</t>
    <phoneticPr fontId="13" type="noConversion"/>
  </si>
  <si>
    <t>评级20150115</t>
    <phoneticPr fontId="13" type="noConversion"/>
  </si>
  <si>
    <t>总债务</t>
    <phoneticPr fontId="13" type="noConversion"/>
  </si>
  <si>
    <t>致同会计师事务所（特殊普通合伙）</t>
    <phoneticPr fontId="13" type="noConversion"/>
  </si>
  <si>
    <t>募集20160722</t>
    <phoneticPr fontId="13" type="noConversion"/>
  </si>
  <si>
    <t>否</t>
    <phoneticPr fontId="13" type="noConversion"/>
  </si>
  <si>
    <t>房地产业务收入占比小于50%：年报2015</t>
    <phoneticPr fontId="13" type="noConversion"/>
  </si>
  <si>
    <t>评级20160627</t>
    <phoneticPr fontId="13" type="noConversion"/>
  </si>
  <si>
    <t>136345.SH</t>
    <phoneticPr fontId="13" type="noConversion"/>
  </si>
  <si>
    <t>黄飞</t>
    <phoneticPr fontId="13" type="noConversion"/>
  </si>
  <si>
    <t>黄梦瑶</t>
    <phoneticPr fontId="13" type="noConversion"/>
  </si>
  <si>
    <t>凌知昌</t>
    <phoneticPr fontId="13" type="noConversion"/>
  </si>
  <si>
    <t>2015.12.31</t>
    <phoneticPr fontId="13" type="noConversion"/>
  </si>
  <si>
    <t>实际控制人为孔健岷；实际控制人控股比例为47.01%</t>
    <phoneticPr fontId="13" type="noConversion"/>
  </si>
  <si>
    <t>孔健岷</t>
    <phoneticPr fontId="13" type="noConversion"/>
  </si>
  <si>
    <t>募集20160323</t>
    <phoneticPr fontId="13" type="noConversion"/>
  </si>
  <si>
    <t>评级20160629</t>
    <phoneticPr fontId="13" type="noConversion"/>
  </si>
  <si>
    <t>未上榜</t>
    <phoneticPr fontId="13" type="noConversion"/>
  </si>
  <si>
    <t>http://www.fangchan.com/zt/top500/2016/</t>
    <phoneticPr fontId="13" type="noConversion"/>
  </si>
  <si>
    <t>数据缺失</t>
    <phoneticPr fontId="13" type="noConversion"/>
  </si>
  <si>
    <t>公司土地储备从区域布局来看，广州、北京、天津一级南宁土地储备建筑面积占比分别为74.10%、5.54%、12.51%和6.85%.</t>
    <phoneticPr fontId="13" type="noConversion"/>
  </si>
  <si>
    <t>在建项目共7个，分别位于广州、北京、天津和南宁。</t>
    <phoneticPr fontId="13" type="noConversion"/>
  </si>
  <si>
    <t>wind</t>
    <phoneticPr fontId="13" type="noConversion"/>
  </si>
  <si>
    <t>评级20160629</t>
    <phoneticPr fontId="13" type="noConversion"/>
  </si>
  <si>
    <t>安永华明会计师事务所（特殊普通合伙）</t>
    <phoneticPr fontId="13" type="noConversion"/>
  </si>
  <si>
    <t>wind</t>
    <phoneticPr fontId="13" type="noConversion"/>
  </si>
  <si>
    <t>数据缺失</t>
    <phoneticPr fontId="13" type="noConversion"/>
  </si>
  <si>
    <t>募集20150708</t>
    <phoneticPr fontId="13" type="noConversion"/>
  </si>
  <si>
    <t>主要分布在广州、佛山、清远和长沙</t>
    <phoneticPr fontId="13" type="noConversion"/>
  </si>
  <si>
    <t>wind</t>
    <phoneticPr fontId="13" type="noConversion"/>
  </si>
  <si>
    <t>房地产开发企业排名</t>
    <phoneticPr fontId="12" type="noConversion"/>
  </si>
  <si>
    <t>136374.SH</t>
  </si>
  <si>
    <t>冯羽</t>
    <phoneticPr fontId="13" type="noConversion"/>
  </si>
  <si>
    <t>杨凤</t>
    <phoneticPr fontId="13" type="noConversion"/>
  </si>
  <si>
    <t>凌知昌</t>
    <phoneticPr fontId="13" type="noConversion"/>
  </si>
  <si>
    <t>建业住宅集团(中国)有限公司</t>
  </si>
  <si>
    <t>2015.12.31</t>
    <phoneticPr fontId="13" type="noConversion"/>
  </si>
  <si>
    <t>实际控制人为胡葆森；实际控制人持股比例为46.94%</t>
    <phoneticPr fontId="13" type="noConversion"/>
  </si>
  <si>
    <t>胡葆森</t>
  </si>
  <si>
    <t>评级20160628</t>
    <phoneticPr fontId="13" type="noConversion"/>
  </si>
  <si>
    <t>实际控制人持股比例大于20%且50%</t>
    <phoneticPr fontId="13" type="noConversion"/>
  </si>
  <si>
    <t>http://www.fangchan.com/news/1/2016-03-22/6117638631428788504.html</t>
  </si>
  <si>
    <t>一级</t>
    <phoneticPr fontId="13" type="noConversion"/>
  </si>
  <si>
    <t>公司以房地产开发与经营为主业，具有房地产开发企业一级资质，是建业地产境内主要经营主体，业务覆盖河南省 18 个地级城市</t>
    <phoneticPr fontId="13" type="noConversion"/>
  </si>
  <si>
    <t>一线城市占比为0；二线城市占比为31.25%；三线城市占比为5.11%；四线及城市及以下占比为63.65%</t>
    <phoneticPr fontId="13" type="noConversion"/>
  </si>
  <si>
    <t>一线城市占比为0%；二线城市占比为42.88%；三线城市占比为10.54%；四线城市及以下占比为46.57%</t>
    <phoneticPr fontId="13" type="noConversion"/>
  </si>
  <si>
    <t>年报2015</t>
    <phoneticPr fontId="13" type="noConversion"/>
  </si>
  <si>
    <t>中兴财光会计师事务所（特殊普通合伙）</t>
    <phoneticPr fontId="13" type="noConversion"/>
  </si>
  <si>
    <t>中兴财光会计师事务所（特殊普通合伙）</t>
    <phoneticPr fontId="13" type="noConversion"/>
  </si>
  <si>
    <t>136046.SH</t>
  </si>
  <si>
    <t>中海地产集团有限公司</t>
  </si>
  <si>
    <t>实际控制人为国务院国有资产监督管理委员会，实际控制人持股比例为34.35%</t>
    <phoneticPr fontId="13" type="noConversion"/>
  </si>
  <si>
    <t>国务院国有资产监督管理委员会</t>
    <phoneticPr fontId="13" type="noConversion"/>
  </si>
  <si>
    <t>评级20160530</t>
    <phoneticPr fontId="13" type="noConversion"/>
  </si>
  <si>
    <t>募集20151117</t>
    <phoneticPr fontId="13" type="noConversion"/>
  </si>
  <si>
    <t>使用母公司排名：中国海外发展有限公司</t>
    <phoneticPr fontId="13" type="noConversion"/>
  </si>
  <si>
    <t xml:space="preserve">一级 </t>
    <phoneticPr fontId="13" type="noConversion"/>
  </si>
  <si>
    <t>发行人具备中华人民共和国住房和城乡建设部颁发的 《中华人民共和国房地产开发企业资质证书》，证书编号：建开企[2003]397 号，资质等级为一级，批准从事房地产开发经营业务时间为 1988 年 9 月 8 日</t>
    <phoneticPr fontId="13" type="noConversion"/>
  </si>
  <si>
    <t>一线城市占比为13.11%；二线城市占比为62.21%；三线城市占比为24.68；四线城市及以下占比为0</t>
    <phoneticPr fontId="13" type="noConversion"/>
  </si>
  <si>
    <t>房地产开发业务：98.05%；物业出租：0.85%；承包工程：1.21%</t>
    <phoneticPr fontId="13" type="noConversion"/>
  </si>
  <si>
    <t>物业出租：6.15亿元</t>
    <phoneticPr fontId="13" type="noConversion"/>
  </si>
  <si>
    <t>截至2015 年12 月31 日，公司资产不存在抵押、质押、被查封、冻结、必须具备一定条件才能变现、无法变现、无法用于抵偿债务的情况和其他权力受限制的情况和安排，以及其他具有可对抗第三人的优先偿付负债情况。</t>
    <phoneticPr fontId="13" type="noConversion"/>
  </si>
  <si>
    <t>数据缺失</t>
    <phoneticPr fontId="13" type="noConversion"/>
  </si>
  <si>
    <t>年报2015、募集20160818</t>
    <phoneticPr fontId="13" type="noConversion"/>
  </si>
  <si>
    <t>101664058.IB</t>
    <phoneticPr fontId="13" type="noConversion"/>
  </si>
  <si>
    <t>安徽省高速地产集团有限公司</t>
    <phoneticPr fontId="13" type="noConversion"/>
  </si>
  <si>
    <t>实际控制人为安徽省国有资产监督管理委员会，实际控制人持股比例为100%</t>
    <phoneticPr fontId="13" type="noConversion"/>
  </si>
  <si>
    <t>省级地方国有企业</t>
    <phoneticPr fontId="13" type="noConversion"/>
  </si>
  <si>
    <t>安徽省国有资产监督管理委员会</t>
  </si>
  <si>
    <t>评级20160926</t>
    <phoneticPr fontId="13" type="noConversion"/>
  </si>
  <si>
    <t>实际持股比例持股比例100%</t>
    <phoneticPr fontId="13" type="noConversion"/>
  </si>
  <si>
    <t>评级20160926</t>
    <phoneticPr fontId="13" type="noConversion"/>
  </si>
  <si>
    <t>http://www.fangchan.com/news/1/2016-03-22/6117638631428788504_3.html</t>
  </si>
  <si>
    <t>二级</t>
    <phoneticPr fontId="13" type="noConversion"/>
  </si>
  <si>
    <t>公司是安徽交控集团旗下以房地产开发、经营为主营业务的集团公司，拥有房地产开发企业国家二级资质。</t>
    <phoneticPr fontId="13" type="noConversion"/>
  </si>
  <si>
    <t>评级20160418</t>
    <phoneticPr fontId="13" type="noConversion"/>
  </si>
  <si>
    <t>截至2015年9月30日</t>
    <phoneticPr fontId="13" type="noConversion"/>
  </si>
  <si>
    <t>募集20160418</t>
    <phoneticPr fontId="13" type="noConversion"/>
  </si>
  <si>
    <t>募集20160418</t>
    <phoneticPr fontId="13" type="noConversion"/>
  </si>
  <si>
    <t>一线城市占比为0；二线城市占比为0；三线城市占比为0；四线城市及以下占比为100%</t>
    <phoneticPr fontId="13" type="noConversion"/>
  </si>
  <si>
    <t>截至2015年9月30日</t>
  </si>
  <si>
    <t>一线城市占比为4.7%；二线城市占比为%39.32；三线城市占比为0；四线城市及以下占比为55.98%</t>
    <phoneticPr fontId="13" type="noConversion"/>
  </si>
  <si>
    <t>房地产开发业务：98.59%</t>
    <phoneticPr fontId="13" type="noConversion"/>
  </si>
  <si>
    <t>物业管理服务：0.27668825亿元</t>
    <phoneticPr fontId="13" type="noConversion"/>
  </si>
  <si>
    <t>年报2015</t>
  </si>
  <si>
    <t>非上市</t>
  </si>
  <si>
    <t>东财</t>
    <phoneticPr fontId="13" type="noConversion"/>
  </si>
  <si>
    <t>未发债</t>
  </si>
  <si>
    <t>截止2015年9月30</t>
    <phoneticPr fontId="13" type="noConversion"/>
  </si>
  <si>
    <t>122348.SH</t>
  </si>
  <si>
    <t>北京北辰实业股份有限公司</t>
  </si>
  <si>
    <t>实际控制人为北京市人民政府国有资产监督管理委员会，实际控制人持股比例为34.48%</t>
    <phoneticPr fontId="13" type="noConversion"/>
  </si>
  <si>
    <t>省级地方国有企业</t>
  </si>
  <si>
    <t>北京市人民政府国有资产监督管理委员会</t>
  </si>
  <si>
    <t>评级20150428</t>
    <phoneticPr fontId="13" type="noConversion"/>
  </si>
  <si>
    <t>募集20150116</t>
    <phoneticPr fontId="13" type="noConversion"/>
  </si>
  <si>
    <t>评级20150428</t>
    <phoneticPr fontId="13" type="noConversion"/>
  </si>
  <si>
    <t>募集20150116</t>
    <phoneticPr fontId="13" type="noConversion"/>
  </si>
  <si>
    <t>评级20160428</t>
    <phoneticPr fontId="13" type="noConversion"/>
  </si>
  <si>
    <t>本公司于 2003 年 9 月获得建设部颁发的房地产开发企业国家一级资质证书</t>
    <phoneticPr fontId="13" type="noConversion"/>
  </si>
  <si>
    <t>一线城市占比为29.94%；二线城市占比为70.06%；三线城市占比为0，四线城市及以下占比为0</t>
    <phoneticPr fontId="13" type="noConversion"/>
  </si>
  <si>
    <t>一线城市占比为16.36%；二线城市占比为83.64%；三线城市占比为0%；四线城市及以下占比为0%</t>
    <phoneticPr fontId="13" type="noConversion"/>
  </si>
  <si>
    <t>房地产业务：98.01%</t>
    <phoneticPr fontId="13" type="noConversion"/>
  </si>
  <si>
    <t>物业收入：24.01</t>
    <phoneticPr fontId="13" type="noConversion"/>
  </si>
  <si>
    <t>年报2014</t>
    <phoneticPr fontId="13" type="noConversion"/>
  </si>
  <si>
    <t>上市</t>
    <phoneticPr fontId="13" type="noConversion"/>
  </si>
  <si>
    <t>二地发债</t>
    <phoneticPr fontId="13" type="noConversion"/>
  </si>
  <si>
    <t>公司债，企业债</t>
    <phoneticPr fontId="13" type="noConversion"/>
  </si>
  <si>
    <t>普华永道中天会计师事务所（特殊普通合伙）</t>
  </si>
  <si>
    <t>136419.SH</t>
  </si>
  <si>
    <t>北京国华置业有限公司</t>
  </si>
  <si>
    <t>无实际控制人</t>
    <phoneticPr fontId="13" type="noConversion"/>
  </si>
  <si>
    <t>评级20160909</t>
    <phoneticPr fontId="13" type="noConversion"/>
  </si>
  <si>
    <t>公司为中外合资企业，股权较分散，无实际控制人</t>
  </si>
  <si>
    <t>无实际控制人</t>
  </si>
  <si>
    <t>未上榜</t>
    <phoneticPr fontId="13" type="noConversion"/>
  </si>
  <si>
    <t>公司具有房地产一级房地产开发资质，但商业开发起步时间较晚</t>
    <phoneticPr fontId="13" type="noConversion"/>
  </si>
  <si>
    <t>物业销售及租赁：93.24%</t>
    <phoneticPr fontId="13" type="noConversion"/>
  </si>
  <si>
    <t>物业销售及租赁：95.59%</t>
    <phoneticPr fontId="13" type="noConversion"/>
  </si>
  <si>
    <t>物业销售及租赁：27.25亿元</t>
    <phoneticPr fontId="13" type="noConversion"/>
  </si>
  <si>
    <t>募集20160909</t>
    <phoneticPr fontId="13" type="noConversion"/>
  </si>
  <si>
    <t>非上市</t>
    <phoneticPr fontId="13" type="noConversion"/>
  </si>
  <si>
    <t>未发债</t>
    <phoneticPr fontId="13" type="noConversion"/>
  </si>
  <si>
    <t>北京兴华会计师事务所（特殊普通合伙）</t>
    <phoneticPr fontId="13" type="noConversion"/>
  </si>
  <si>
    <t>136556.SH</t>
    <phoneticPr fontId="13" type="noConversion"/>
  </si>
  <si>
    <t>黄飞</t>
    <phoneticPr fontId="13" type="noConversion"/>
  </si>
  <si>
    <t>黄梦瑶</t>
    <phoneticPr fontId="13" type="noConversion"/>
  </si>
  <si>
    <t>北京鸿坤伟业房地产开发有限公司</t>
  </si>
  <si>
    <t>实际控制人为赵彬、吴虹夫妇；实际控制人持股比例为84%</t>
    <phoneticPr fontId="13" type="noConversion"/>
  </si>
  <si>
    <t>赵彬、吴虹夫妇</t>
    <phoneticPr fontId="13" type="noConversion"/>
  </si>
  <si>
    <t>评级20160712</t>
    <phoneticPr fontId="13" type="noConversion"/>
  </si>
  <si>
    <t>公司具备国家房地产一级开发资质。</t>
    <phoneticPr fontId="13" type="noConversion"/>
  </si>
  <si>
    <t>评级20160712</t>
    <phoneticPr fontId="12" type="noConversion"/>
  </si>
  <si>
    <t>一线城市占比为10.99%；二线城市占比为25.01%；三线城市占比为54%；四线及以下城市占比为10.01%。</t>
    <phoneticPr fontId="11" type="noConversion"/>
  </si>
  <si>
    <t>评级20160712</t>
    <phoneticPr fontId="11" type="noConversion"/>
  </si>
  <si>
    <t>一线城市占比为13.37%；二线城市占比为20.19%；三线城市占比为48.83%；四线城市及以下占比为17.61%</t>
    <phoneticPr fontId="13" type="noConversion"/>
  </si>
  <si>
    <t>房地产开发：98.16%；物业经营：1.84%</t>
    <phoneticPr fontId="13" type="noConversion"/>
  </si>
  <si>
    <t>物业经营：0.9亿元</t>
    <phoneticPr fontId="11" type="noConversion"/>
  </si>
  <si>
    <t>募集说明书20160712</t>
    <phoneticPr fontId="11" type="noConversion"/>
  </si>
  <si>
    <t>非上市，数据缺失</t>
    <phoneticPr fontId="13" type="noConversion"/>
  </si>
  <si>
    <t>大华会计师事务所（特殊普通合伙）</t>
    <phoneticPr fontId="11" type="noConversion"/>
  </si>
  <si>
    <t>101663003.IB</t>
  </si>
  <si>
    <t>北京电子城投资开发集团股份有限公司</t>
  </si>
  <si>
    <t>实际控制人为北京市人民政府国有资产监督管理委员会；实际控制人持股比例为62.96%</t>
    <phoneticPr fontId="13" type="noConversion"/>
  </si>
  <si>
    <t>评级20160219</t>
    <phoneticPr fontId="13" type="noConversion"/>
  </si>
  <si>
    <t>实际控制人持股比例大于50%小于100%</t>
    <phoneticPr fontId="13" type="noConversion"/>
  </si>
  <si>
    <t>http://www.fangchan.com/news/1/2016-03-22/6117638631428788504_5.html</t>
  </si>
  <si>
    <t>电子城有限具有国家二级房地产开发资质</t>
    <phoneticPr fontId="13" type="noConversion"/>
  </si>
  <si>
    <t>评级20150429</t>
  </si>
  <si>
    <t>截止2015年3月底</t>
    <phoneticPr fontId="13" type="noConversion"/>
  </si>
  <si>
    <t>一线城市占比为43.64%；二线城市占比为0%；三线城市占比为0，四线城市及以下占比为56.36%</t>
    <phoneticPr fontId="13" type="noConversion"/>
  </si>
  <si>
    <t>园区地产销售:73.38;园区地产出租:10%;物业管理:12%</t>
    <phoneticPr fontId="13" type="noConversion"/>
  </si>
  <si>
    <t>物业管理收入：2.98亿元，物业出租收入：1.36亿元</t>
    <phoneticPr fontId="13" type="noConversion"/>
  </si>
  <si>
    <t>中审亚太会计师事务所（特殊普通合伙）</t>
    <phoneticPr fontId="13" type="noConversion"/>
  </si>
  <si>
    <t>122514.SH</t>
    <phoneticPr fontId="13" type="noConversion"/>
  </si>
  <si>
    <t>黄飞</t>
    <phoneticPr fontId="11" type="noConversion"/>
  </si>
  <si>
    <t>北京金融街投资(集团)有限公司</t>
    <phoneticPr fontId="13" type="noConversion"/>
  </si>
  <si>
    <t>2013.12.31</t>
    <phoneticPr fontId="13" type="noConversion"/>
  </si>
  <si>
    <t>实际控制人为北京市西城区国资委；实际控制人持股比例为100%</t>
    <phoneticPr fontId="13" type="noConversion"/>
  </si>
  <si>
    <t>其他国有企业</t>
    <phoneticPr fontId="13" type="noConversion"/>
  </si>
  <si>
    <t>北京市西城区国资委</t>
  </si>
  <si>
    <t>评级20140704</t>
    <phoneticPr fontId="11" type="noConversion"/>
  </si>
  <si>
    <t>实际控制人持股比例为100%</t>
    <phoneticPr fontId="13" type="noConversion"/>
  </si>
  <si>
    <t>评级20140704</t>
    <phoneticPr fontId="13" type="noConversion"/>
  </si>
  <si>
    <t>评级20121101</t>
    <phoneticPr fontId="13" type="noConversion"/>
  </si>
  <si>
    <t>http://www.fangchan.com/zt/top500/2016/</t>
    <phoneticPr fontId="13" type="noConversion"/>
  </si>
  <si>
    <t>评级20140704</t>
    <phoneticPr fontId="12" type="noConversion"/>
  </si>
  <si>
    <t>一线城市占比为34.24%；二线城市占比为39.8%；三线城市占比为25.96%；四线城市及以下占比为0</t>
    <phoneticPr fontId="13" type="noConversion"/>
  </si>
  <si>
    <t>产业园区服务业：59.74%；物业经营与管理业：13.32%；商业住宅：15.45%</t>
    <phoneticPr fontId="13" type="noConversion"/>
  </si>
  <si>
    <t>物业经营与管理业：35.02亿元</t>
    <phoneticPr fontId="13" type="noConversion"/>
  </si>
  <si>
    <t>年报2013</t>
    <phoneticPr fontId="13" type="noConversion"/>
  </si>
  <si>
    <t>非上市，企业债、中期票据</t>
    <phoneticPr fontId="11" type="noConversion"/>
  </si>
  <si>
    <t>二地发债</t>
    <phoneticPr fontId="11" type="noConversion"/>
  </si>
  <si>
    <t>企业债、中期票据</t>
    <phoneticPr fontId="13" type="noConversion"/>
  </si>
  <si>
    <t>瑞华会计师事务所（特殊普通合伙）</t>
    <phoneticPr fontId="13" type="noConversion"/>
  </si>
  <si>
    <t>136321.SH</t>
    <phoneticPr fontId="13" type="noConversion"/>
  </si>
  <si>
    <t>北京金泰集团有限公司</t>
  </si>
  <si>
    <t>否</t>
    <phoneticPr fontId="13" type="noConversion"/>
  </si>
  <si>
    <t>房地产收入占比低于50%；评级20160628</t>
    <phoneticPr fontId="13" type="noConversion"/>
  </si>
  <si>
    <t>2014.12.31</t>
    <phoneticPr fontId="13" type="noConversion"/>
  </si>
  <si>
    <t>136287.SH</t>
    <phoneticPr fontId="13" type="noConversion"/>
  </si>
  <si>
    <t>北京首都开发控股(集团)有限公司</t>
    <phoneticPr fontId="13" type="noConversion"/>
  </si>
  <si>
    <t>实际控制人为北京市人民政府国有资产管理委员会；实际控制人持股比例100%</t>
    <phoneticPr fontId="13" type="noConversion"/>
  </si>
  <si>
    <t>北京市人民政府国有资产管理委员会</t>
    <phoneticPr fontId="13" type="noConversion"/>
  </si>
  <si>
    <t>评级20150629</t>
    <phoneticPr fontId="13" type="noConversion"/>
  </si>
  <si>
    <t>评级20150629</t>
    <phoneticPr fontId="13" type="noConversion"/>
  </si>
  <si>
    <t>http://www.fangchan.com/zt/top500/2015/</t>
    <phoneticPr fontId="13" type="noConversion"/>
  </si>
  <si>
    <t>公司具备房地产开发一级资质</t>
    <phoneticPr fontId="13" type="noConversion"/>
  </si>
  <si>
    <t>http://219.142.101.72/showcorpinfo/showcorpinfo.aspx</t>
    <phoneticPr fontId="13" type="noConversion"/>
  </si>
  <si>
    <t xml:space="preserve">本着“稳固京内、发展京外、拓展境外”的区域发展思路，公司继续加大外地市场的拓展力度， 京外项目位于大连、厦门和杭州等地，均为经济较为发达的二三线城市，土地升值空间较大。 </t>
    <phoneticPr fontId="13" type="noConversion"/>
  </si>
  <si>
    <t>房地产开发：94.27%；物业经营与管理：4.91%</t>
    <phoneticPr fontId="13" type="noConversion"/>
  </si>
  <si>
    <t>物业经营与管理：11.5亿</t>
    <phoneticPr fontId="13" type="noConversion"/>
  </si>
  <si>
    <t>非上市，企业债、短融</t>
    <phoneticPr fontId="13" type="noConversion"/>
  </si>
  <si>
    <t>企业债、短融</t>
    <phoneticPr fontId="13" type="noConversion"/>
  </si>
  <si>
    <t>致同会计师事务所（特殊普通合伙）</t>
    <phoneticPr fontId="13" type="noConversion"/>
  </si>
  <si>
    <t>北京首都开发控股(集团)有限公司</t>
  </si>
  <si>
    <t>2013.12.31</t>
    <phoneticPr fontId="13" type="noConversion"/>
  </si>
  <si>
    <t>评级20140930</t>
    <phoneticPr fontId="13" type="noConversion"/>
  </si>
  <si>
    <t>实际控制人持股比例为100%</t>
  </si>
  <si>
    <t>http://www.fangchan.com/zt/top500/2014/</t>
    <phoneticPr fontId="13" type="noConversion"/>
  </si>
  <si>
    <t>一级</t>
    <phoneticPr fontId="13" type="noConversion"/>
  </si>
  <si>
    <t>评级20140703</t>
    <phoneticPr fontId="13" type="noConversion"/>
  </si>
  <si>
    <t>评级20140703</t>
    <phoneticPr fontId="13" type="noConversion"/>
  </si>
  <si>
    <t>土地分布方面，本着“稳固京内、发展京外、拓展境外”的区域发展思路，公司继续加大外地市场的拓展力度，2013 年公司新增加京
外杭州等地区的土地储备。公司在京外项目位于大连、厦门和杭州等
地，均为经济较为发达的二三线城市，土地升值空间较大。</t>
    <phoneticPr fontId="13" type="noConversion"/>
  </si>
  <si>
    <t>公司在房地产开发上， 北京地区占比35%-40%，商品房布局主要分布在天津、重庆、辽宁、山西、山东、江苏、浙江、湖北、福建、四川、贵州等。同时拥有海外项目</t>
    <phoneticPr fontId="13" type="noConversion"/>
  </si>
  <si>
    <t>房产销售：91.62%；物业经营及眚理：4.99%</t>
    <phoneticPr fontId="13" type="noConversion"/>
  </si>
  <si>
    <t>物业经营及管理：9.45</t>
    <phoneticPr fontId="13" type="noConversion"/>
  </si>
  <si>
    <t>截至2014年3月底</t>
    <phoneticPr fontId="13" type="noConversion"/>
  </si>
  <si>
    <t>致同会计师事务所（特殊普通合伙）</t>
  </si>
  <si>
    <t>101574009.IB</t>
    <phoneticPr fontId="13" type="noConversion"/>
  </si>
  <si>
    <t>北京万通地产股份有限公司</t>
    <phoneticPr fontId="13" type="noConversion"/>
  </si>
  <si>
    <t>民营企业</t>
    <phoneticPr fontId="13" type="noConversion"/>
  </si>
  <si>
    <t>冯仑</t>
    <phoneticPr fontId="13" type="noConversion"/>
  </si>
  <si>
    <t>评级20151130</t>
    <phoneticPr fontId="13" type="noConversion"/>
  </si>
  <si>
    <t>实际控制人持股比例小于20%</t>
    <phoneticPr fontId="13" type="noConversion"/>
  </si>
  <si>
    <t>河北香河运河国际生态城二期可售面积以占地面积估算</t>
    <phoneticPr fontId="13" type="noConversion"/>
  </si>
  <si>
    <t>一线城市占比为14.22%；二线城市占比为34.84%；三线城市占比为50.94%；四线城市及以下占比为0</t>
    <phoneticPr fontId="13" type="noConversion"/>
  </si>
  <si>
    <t>公司在建项目主要分布在北京、天津、杭州</t>
    <phoneticPr fontId="13" type="noConversion"/>
  </si>
  <si>
    <t>房地产销售：90.48%；物业出租：9.52%</t>
    <phoneticPr fontId="13" type="noConversion"/>
  </si>
  <si>
    <t>物业出租：1.78亿元</t>
    <phoneticPr fontId="13" type="noConversion"/>
  </si>
  <si>
    <t>截至2015年3月末</t>
    <phoneticPr fontId="13" type="noConversion"/>
  </si>
  <si>
    <t>普华永道中天会计师事务所（特殊普通合伙）</t>
    <phoneticPr fontId="13" type="noConversion"/>
  </si>
  <si>
    <t>北京万通地产股份有限公司</t>
  </si>
  <si>
    <t>评级20140513</t>
    <phoneticPr fontId="13" type="noConversion"/>
  </si>
  <si>
    <t>评级20130708</t>
    <phoneticPr fontId="13" type="noConversion"/>
  </si>
  <si>
    <t>公司土地储备主要分布在北京、天津、杭州</t>
    <phoneticPr fontId="13" type="noConversion"/>
  </si>
  <si>
    <t>房地产销售：95.03%；物业出租：4.97%</t>
    <phoneticPr fontId="13" type="noConversion"/>
  </si>
  <si>
    <t>物业出租：1.62亿元</t>
    <phoneticPr fontId="13" type="noConversion"/>
  </si>
  <si>
    <t>112362.SZ</t>
  </si>
  <si>
    <t>泛海控股股份有限公司</t>
  </si>
  <si>
    <t>卢志强</t>
  </si>
  <si>
    <t>评级20130605</t>
  </si>
  <si>
    <t>评级20140528</t>
  </si>
  <si>
    <t>评级20130629</t>
  </si>
  <si>
    <t>泛海建设集团股份有限公司</t>
    <phoneticPr fontId="13" type="noConversion"/>
  </si>
  <si>
    <t>http://wenku.baidu.com/link?url=iWTpRIp9OY59oz1nvvtcOcX7xOJRjmTZqt8JPSisgxhWgZinKelIIqv1MdyH-lAmiG3euluOjYw7xPvcyGlzFA9oH1HB2v4TtxDHbYQmvWm</t>
  </si>
  <si>
    <t>含美国22.33万平方米</t>
    <phoneticPr fontId="13" type="noConversion"/>
  </si>
  <si>
    <t>一线城市占比为31.91%；二线城市占比为65.36%；三线城市占比为0；四线城市及以下占比为0</t>
  </si>
  <si>
    <t>美国洛杉矶占比2.72%</t>
  </si>
  <si>
    <t>一线城市占比为49.58%；二线城市占比为50.42%；三线城市占比为0；四线城市及以下占比为0</t>
  </si>
  <si>
    <t>房地产销售：92.25%;物业管理与出租：3.29%</t>
    <phoneticPr fontId="13" type="noConversion"/>
  </si>
  <si>
    <t>物业管理及出租：1.95</t>
    <phoneticPr fontId="13" type="noConversion"/>
  </si>
  <si>
    <t>评级20140528</t>
    <phoneticPr fontId="13" type="noConversion"/>
  </si>
  <si>
    <t>立信会计师事务所（特殊普通合伙）</t>
  </si>
  <si>
    <t>112438.SZ</t>
  </si>
  <si>
    <t>广宇集团股份有限公司</t>
  </si>
  <si>
    <t>实际控制人为王轶磊，实际控制人持股比例为13%.</t>
    <phoneticPr fontId="13" type="noConversion"/>
  </si>
  <si>
    <t>王轶磊</t>
    <phoneticPr fontId="13" type="noConversion"/>
  </si>
  <si>
    <t>评级20160826</t>
  </si>
  <si>
    <t>评级20160826</t>
    <phoneticPr fontId="13" type="noConversion"/>
  </si>
  <si>
    <t>公司拥有国家一级房地产开发资质，立足于杭州市房地产市场。</t>
    <phoneticPr fontId="13" type="noConversion"/>
  </si>
  <si>
    <t>公司土地储备主要分布在杭州、黄山、舟山、肇庆</t>
    <phoneticPr fontId="13" type="noConversion"/>
  </si>
  <si>
    <t>评级20160826</t>
    <phoneticPr fontId="13" type="noConversion"/>
  </si>
  <si>
    <t>房地产：83.55%；物业管理与出租：3.99%</t>
    <phoneticPr fontId="13" type="noConversion"/>
  </si>
  <si>
    <t>物业管理与出租：0.69</t>
    <phoneticPr fontId="13" type="noConversion"/>
  </si>
  <si>
    <t>101660061.IB</t>
  </si>
  <si>
    <t>黄飞</t>
    <phoneticPr fontId="11" type="noConversion"/>
  </si>
  <si>
    <t>光明房地产集团股份有限公司</t>
  </si>
  <si>
    <t>实际控制人为上海市国有资产监督管理委员会；实际控制人持股比例为31.33%</t>
    <phoneticPr fontId="13" type="noConversion"/>
  </si>
  <si>
    <t>上海市国有资产监督管理委员会</t>
  </si>
  <si>
    <t>评级20160829</t>
  </si>
  <si>
    <t>评级20160829</t>
    <phoneticPr fontId="13" type="noConversion"/>
  </si>
  <si>
    <t>评级20160829</t>
    <phoneticPr fontId="13" type="noConversion"/>
  </si>
  <si>
    <t>公司具有国家一级房地产开发资质</t>
  </si>
  <si>
    <t>截至2016年3月末</t>
    <phoneticPr fontId="13" type="noConversion"/>
  </si>
  <si>
    <t>一线城市占比为0；二线城市占比为49.23%；三线城市占比为21.77%；四线及以下城市占比为29.00%.</t>
    <phoneticPr fontId="13" type="noConversion"/>
  </si>
  <si>
    <t>募集20160829</t>
  </si>
  <si>
    <t>一线城市占比为20.44%；二线城市占比为37.84%；三线城市占比为30.52%；四线及以下城市占比为11.20%.</t>
    <phoneticPr fontId="13" type="noConversion"/>
  </si>
  <si>
    <t>房地产业务：89.01%;建筑装修：0.03%</t>
    <phoneticPr fontId="13" type="noConversion"/>
  </si>
  <si>
    <t>物业管理及租赁：1.75</t>
    <phoneticPr fontId="13" type="noConversion"/>
  </si>
  <si>
    <t>112346.SZ</t>
  </si>
  <si>
    <t>福星惠誉房地产有限公司</t>
  </si>
  <si>
    <t>实际控制人为汉川钢丝绳厂；实际控制人控股比例为26.02%</t>
    <phoneticPr fontId="13" type="noConversion"/>
  </si>
  <si>
    <t>集体企业</t>
    <phoneticPr fontId="13" type="noConversion"/>
  </si>
  <si>
    <t>湖北省汉川市钢丝绳厂</t>
  </si>
  <si>
    <t>评级20160310</t>
    <phoneticPr fontId="13" type="noConversion"/>
  </si>
  <si>
    <t>http://www.fangchan.com/zt/top500/2015/</t>
    <phoneticPr fontId="13" type="noConversion"/>
  </si>
  <si>
    <t>评级20160617</t>
    <phoneticPr fontId="13" type="noConversion"/>
  </si>
  <si>
    <t>公司房地产开发业务将继续以武汉市为核心
区域，进一步提高“城中村改造”和“旧城改造”综合
水平和规模，不断巩固和提升区域领先地位。</t>
    <phoneticPr fontId="13" type="noConversion"/>
  </si>
  <si>
    <t>房地产：98.97%</t>
    <phoneticPr fontId="13" type="noConversion"/>
  </si>
  <si>
    <t>136175.SH</t>
    <phoneticPr fontId="13" type="noConversion"/>
  </si>
  <si>
    <t>杨凤</t>
    <phoneticPr fontId="11" type="noConversion"/>
  </si>
  <si>
    <t>北京望京搜候房地产有限公司</t>
    <phoneticPr fontId="13" type="noConversion"/>
  </si>
  <si>
    <t>实际控制人为潘张欣；实际控制人持股比例为63.93%</t>
    <phoneticPr fontId="13" type="noConversion"/>
  </si>
  <si>
    <t>潘张欣</t>
    <phoneticPr fontId="13" type="noConversion"/>
  </si>
  <si>
    <t>评级20160622</t>
    <phoneticPr fontId="13" type="noConversion"/>
  </si>
  <si>
    <t>实际控制人持股比例大于50%且小于100%</t>
    <phoneticPr fontId="13" type="noConversion"/>
  </si>
  <si>
    <t>募集20160120</t>
    <phoneticPr fontId="13" type="noConversion"/>
  </si>
  <si>
    <t>使用母公司排名：SOHO中国有限公司</t>
    <phoneticPr fontId="13" type="noConversion"/>
  </si>
  <si>
    <t>四级</t>
    <phoneticPr fontId="13" type="noConversion"/>
  </si>
  <si>
    <t>公司具有国家一级房地产开发资质</t>
    <phoneticPr fontId="13" type="noConversion"/>
  </si>
  <si>
    <t>公司土地储备主要分布在北京、上海</t>
    <phoneticPr fontId="13" type="noConversion"/>
  </si>
  <si>
    <t>房地产销售：6.43% 租金收入：93.57%</t>
    <phoneticPr fontId="13" type="noConversion"/>
  </si>
  <si>
    <t>物业租赁：3.09亿元</t>
    <phoneticPr fontId="13" type="noConversion"/>
  </si>
  <si>
    <t>136175.SH</t>
  </si>
  <si>
    <t>北京望京搜候房地产有限公司</t>
  </si>
  <si>
    <t>www.fangchan.com/zt/top500/2015</t>
    <phoneticPr fontId="13" type="noConversion"/>
  </si>
  <si>
    <t>房地产销售：98.90% 租金收入：1.10%</t>
    <phoneticPr fontId="13" type="noConversion"/>
  </si>
  <si>
    <t>物业租赁：0.48亿元</t>
    <phoneticPr fontId="13" type="noConversion"/>
  </si>
  <si>
    <t>评级20160120</t>
    <phoneticPr fontId="13" type="noConversion"/>
  </si>
  <si>
    <t>136293.SH</t>
  </si>
  <si>
    <t>北京兆泰集团股份有限公司</t>
    <phoneticPr fontId="13" type="noConversion"/>
  </si>
  <si>
    <t>实际控制人为穆麒茹；实际控制人持股比例为42.20%</t>
    <phoneticPr fontId="13" type="noConversion"/>
  </si>
  <si>
    <t>穆麒茹</t>
  </si>
  <si>
    <t>评级20160620</t>
    <phoneticPr fontId="13" type="noConversion"/>
  </si>
  <si>
    <t>评级20160314</t>
    <phoneticPr fontId="13" type="noConversion"/>
  </si>
  <si>
    <t>公司具有住建部批准的房地产开发企业一级资质</t>
    <phoneticPr fontId="13" type="noConversion"/>
  </si>
  <si>
    <t>募集20160314</t>
    <phoneticPr fontId="13" type="noConversion"/>
  </si>
  <si>
    <t>报告期内，公司无新增土地投资、无新增非股权投资项目</t>
  </si>
  <si>
    <t>截至2015年9月底</t>
    <phoneticPr fontId="13" type="noConversion"/>
  </si>
  <si>
    <t>当年合约销售面积为0</t>
    <phoneticPr fontId="13" type="noConversion"/>
  </si>
  <si>
    <t>一线城市占比为81.02%；二线城市占比为18.98%；三线城市占比为0；四线城市及以下占比为0</t>
    <phoneticPr fontId="13" type="noConversion"/>
  </si>
  <si>
    <t>一线城市占比为76.35%；二线城市占比为23.65%；三线城市占比为0%；四线城市及以下占比为0%</t>
    <phoneticPr fontId="13" type="noConversion"/>
  </si>
  <si>
    <t xml:space="preserve">房地产销售：0.18% 租金收入：82.43% </t>
    <phoneticPr fontId="13" type="noConversion"/>
  </si>
  <si>
    <t>物业租赁：8.96亿元</t>
    <phoneticPr fontId="13" type="noConversion"/>
  </si>
  <si>
    <t>中兴财光华会计师事务所（特殊普通合伙）</t>
    <phoneticPr fontId="13" type="noConversion"/>
  </si>
  <si>
    <t>实际控制人为穆麒茹；实际控制人持股比例为42.2%</t>
    <phoneticPr fontId="13" type="noConversion"/>
  </si>
  <si>
    <t>穆麒茹</t>
    <phoneticPr fontId="13" type="noConversion"/>
  </si>
  <si>
    <t>公司具有房地产开发一级资质，主要以房地产开发销售及自持物业经营为主业</t>
    <phoneticPr fontId="13" type="noConversion"/>
  </si>
  <si>
    <t>房地产销售：2.04%;租赁收入:79.72%</t>
    <phoneticPr fontId="13" type="noConversion"/>
  </si>
  <si>
    <t>物业租赁：8.70亿元</t>
    <phoneticPr fontId="13" type="noConversion"/>
  </si>
  <si>
    <t>评级2060314</t>
    <phoneticPr fontId="13" type="noConversion"/>
  </si>
  <si>
    <t>致同会计师事务所</t>
    <phoneticPr fontId="13" type="noConversion"/>
  </si>
  <si>
    <t>136227.SH</t>
    <phoneticPr fontId="13" type="noConversion"/>
  </si>
  <si>
    <t>房地产业务收入占比低于50%；评级20150707</t>
    <phoneticPr fontId="13" type="noConversion"/>
  </si>
  <si>
    <t>136753.SH</t>
  </si>
  <si>
    <t>大华(集团)有限公司</t>
    <phoneticPr fontId="13" type="noConversion"/>
  </si>
  <si>
    <t>实际控制人为金惠明；实际控制人持股比例为33.04%</t>
    <phoneticPr fontId="13" type="noConversion"/>
  </si>
  <si>
    <t>金惠明</t>
    <phoneticPr fontId="13" type="noConversion"/>
  </si>
  <si>
    <t>募集20160930</t>
    <phoneticPr fontId="13" type="noConversion"/>
  </si>
  <si>
    <t>评级20160930</t>
    <phoneticPr fontId="13" type="noConversion"/>
  </si>
  <si>
    <t>www.fangchan.com/zt/top500/2016</t>
    <phoneticPr fontId="13" type="noConversion"/>
  </si>
  <si>
    <t>募集20160330</t>
    <phoneticPr fontId="13" type="noConversion"/>
  </si>
  <si>
    <t>评级20160330</t>
    <phoneticPr fontId="13" type="noConversion"/>
  </si>
  <si>
    <t>截至2015年9月末</t>
    <phoneticPr fontId="13" type="noConversion"/>
  </si>
  <si>
    <t>一线城市占比为33.33%；二线城市占比为47.71%；三线城市占比为18.96%；四线城市及以下占比为0%</t>
    <phoneticPr fontId="13" type="noConversion"/>
  </si>
  <si>
    <t>截至2015 年9 月末</t>
    <phoneticPr fontId="13" type="noConversion"/>
  </si>
  <si>
    <t>公司在建项目主要分布在上海、武汉、南京、西安、海口</t>
    <phoneticPr fontId="13" type="noConversion"/>
  </si>
  <si>
    <t>房地产销售收入：92.33%；物业租赁与管理：3.57%</t>
    <phoneticPr fontId="13" type="noConversion"/>
  </si>
  <si>
    <t>物业租赁及物业管理收入：4.64亿元</t>
    <phoneticPr fontId="13" type="noConversion"/>
  </si>
  <si>
    <t xml:space="preserve">截至2015年9月末 </t>
    <phoneticPr fontId="13" type="noConversion"/>
  </si>
  <si>
    <t>截止2015年9月底</t>
    <phoneticPr fontId="13" type="noConversion"/>
  </si>
  <si>
    <t>刚性债务</t>
    <phoneticPr fontId="13" type="noConversion"/>
  </si>
  <si>
    <t>公司土地储备主要分布在武汉、西安、大连、海口等二线城市地块面积占比达到60.91%</t>
    <phoneticPr fontId="13" type="noConversion"/>
  </si>
  <si>
    <t>房地产销售收入：89.24%；物业租赁与管理：3.53%</t>
    <phoneticPr fontId="13" type="noConversion"/>
  </si>
  <si>
    <t>物业租赁及物业管理收入：3.58亿元</t>
    <phoneticPr fontId="13" type="noConversion"/>
  </si>
  <si>
    <t>北京住总集团有限责任公司</t>
    <phoneticPr fontId="13" type="noConversion"/>
  </si>
  <si>
    <t>127214.SH</t>
  </si>
  <si>
    <t>黄飞</t>
    <phoneticPr fontId="13" type="noConversion"/>
  </si>
  <si>
    <t>黄梦瑶</t>
    <phoneticPr fontId="13" type="noConversion"/>
  </si>
  <si>
    <t>凌知昌</t>
    <phoneticPr fontId="13" type="noConversion"/>
  </si>
  <si>
    <t>建发房地产集团有限公司</t>
  </si>
  <si>
    <t>实际控制人为厦门市国有资产监督管理委员会；实际控制人持股比例为70.69%</t>
    <phoneticPr fontId="13" type="noConversion"/>
  </si>
  <si>
    <t>市级地方国有企业</t>
  </si>
  <si>
    <t>厦门市国有资产监督管理委员会</t>
    <phoneticPr fontId="13" type="noConversion"/>
  </si>
  <si>
    <t>评级20150629</t>
    <phoneticPr fontId="13" type="noConversion"/>
  </si>
  <si>
    <t>评级20150629</t>
    <phoneticPr fontId="13" type="noConversion"/>
  </si>
  <si>
    <t>公司拥有房地产开发企业和物业服务企业一级资质证书</t>
    <phoneticPr fontId="13" type="noConversion"/>
  </si>
  <si>
    <t>评级20150629</t>
    <phoneticPr fontId="13" type="noConversion"/>
  </si>
  <si>
    <t>截止2014年底，公司土地出让金预付款项6.82亿元，其中一年以内的预付账款占比90.95%。</t>
    <phoneticPr fontId="13" type="noConversion"/>
  </si>
  <si>
    <t>数据缺失</t>
    <phoneticPr fontId="13" type="noConversion"/>
  </si>
  <si>
    <t>在开发区域方面，近年来公司房地产开发项目主要以厦门、福州、漳州、长沙一级其他二、三线城市为主</t>
    <phoneticPr fontId="13" type="noConversion"/>
  </si>
  <si>
    <t>公司在建项目集中在厦门、漳州、上海、成都、泉州、南平、福建等地区。</t>
    <phoneticPr fontId="13" type="noConversion"/>
  </si>
  <si>
    <t>房产销售：98.58%；物业租赁及管理：0.99%</t>
    <phoneticPr fontId="13" type="noConversion"/>
  </si>
  <si>
    <t>物业租赁及管理：1.24亿元</t>
    <phoneticPr fontId="13" type="noConversion"/>
  </si>
  <si>
    <t>wind</t>
    <phoneticPr fontId="13" type="noConversion"/>
  </si>
  <si>
    <t>年报2014</t>
    <phoneticPr fontId="13" type="noConversion"/>
  </si>
  <si>
    <t>致同会计师事务所（特殊普通合伙）</t>
    <phoneticPr fontId="13" type="noConversion"/>
  </si>
  <si>
    <t>为购房人抵押贷款担保</t>
    <phoneticPr fontId="13" type="noConversion"/>
  </si>
  <si>
    <t>122323.SH</t>
    <phoneticPr fontId="13" type="noConversion"/>
  </si>
  <si>
    <t>黄梦瑶</t>
    <phoneticPr fontId="13" type="noConversion"/>
  </si>
  <si>
    <t>凌知昌</t>
    <phoneticPr fontId="13" type="noConversion"/>
  </si>
  <si>
    <t>江苏凤凰置业投资股份有限公司</t>
    <phoneticPr fontId="13" type="noConversion"/>
  </si>
  <si>
    <t>实际控制人为江苏省人民政府；实际控制人持股比例为61.72%</t>
    <phoneticPr fontId="13" type="noConversion"/>
  </si>
  <si>
    <t>江苏省人民政府</t>
  </si>
  <si>
    <t>评级20150429</t>
    <phoneticPr fontId="13" type="noConversion"/>
  </si>
  <si>
    <t>数据缺失</t>
    <phoneticPr fontId="13" type="noConversion"/>
  </si>
  <si>
    <t>评级20150429</t>
    <phoneticPr fontId="13" type="noConversion"/>
  </si>
  <si>
    <t>数据缺失</t>
    <phoneticPr fontId="13" type="noConversion"/>
  </si>
  <si>
    <t>评级20140910</t>
    <phoneticPr fontId="13" type="noConversion"/>
  </si>
  <si>
    <t>评级20150429</t>
    <phoneticPr fontId="13" type="noConversion"/>
  </si>
  <si>
    <t>一级</t>
    <phoneticPr fontId="13" type="noConversion"/>
  </si>
  <si>
    <t>一级</t>
    <phoneticPr fontId="13" type="noConversion"/>
  </si>
  <si>
    <t>公司拥有国家一级房地产开发资质，立足于杭州市房地产市场。</t>
    <phoneticPr fontId="13" type="noConversion"/>
  </si>
  <si>
    <t>http://219.142.101.72/showcorpinfo/showcorpinfo.aspx</t>
    <phoneticPr fontId="13" type="noConversion"/>
  </si>
  <si>
    <t>一线城市占比为0；二线城市占比为24.95%；三线城市占比为75.05%；四线城市占比为0.</t>
    <phoneticPr fontId="13" type="noConversion"/>
  </si>
  <si>
    <t>一线城市占比为0；二线城市占比为41.65%；三线城市占比为58.35%；四线城市及以下占比为0</t>
    <phoneticPr fontId="13" type="noConversion"/>
  </si>
  <si>
    <t>房地产开发：99.29%；物业租赁;0.71%</t>
    <phoneticPr fontId="13" type="noConversion"/>
  </si>
  <si>
    <t>房地产开发：100%</t>
    <phoneticPr fontId="13" type="noConversion"/>
  </si>
  <si>
    <t>年报2014</t>
    <phoneticPr fontId="13" type="noConversion"/>
  </si>
  <si>
    <t>物业租赁：0.13亿元</t>
    <phoneticPr fontId="13" type="noConversion"/>
  </si>
  <si>
    <t>wind</t>
    <phoneticPr fontId="13" type="noConversion"/>
  </si>
  <si>
    <t>立信会计师事务所（特殊普通合伙）</t>
    <phoneticPr fontId="13" type="noConversion"/>
  </si>
  <si>
    <t>为购房人抵押贷款担保</t>
    <phoneticPr fontId="13" type="noConversion"/>
  </si>
  <si>
    <t>122434.SH</t>
  </si>
  <si>
    <t>冯羽</t>
    <phoneticPr fontId="13" type="noConversion"/>
  </si>
  <si>
    <t>杨凤</t>
    <phoneticPr fontId="13" type="noConversion"/>
  </si>
  <si>
    <t>凌知昌</t>
    <phoneticPr fontId="13" type="noConversion"/>
  </si>
  <si>
    <t>湖北清能投资发展集团有限公司</t>
    <phoneticPr fontId="13" type="noConversion"/>
  </si>
  <si>
    <t>实际控制人为湖北省人民政府国有资产监督管理委员会；实际控制人持股比例52.931%</t>
    <phoneticPr fontId="13" type="noConversion"/>
  </si>
  <si>
    <t>湖北省人民政府国有资产监督管理委员会</t>
  </si>
  <si>
    <t>评级20160630</t>
    <phoneticPr fontId="13" type="noConversion"/>
  </si>
  <si>
    <t>使用子公司排名：湖北清能地产集团有限公司</t>
    <phoneticPr fontId="13" type="noConversion"/>
  </si>
  <si>
    <t>二级</t>
    <phoneticPr fontId="13" type="noConversion"/>
  </si>
  <si>
    <t>2008年获得湖北省住房和城乡建设厅颁发的房地产开发企业二级资质证书</t>
    <phoneticPr fontId="13" type="noConversion"/>
  </si>
  <si>
    <t>募集20150814</t>
    <phoneticPr fontId="13" type="noConversion"/>
  </si>
  <si>
    <t>全资子公司湖北能源集团清能置业有限公司</t>
    <phoneticPr fontId="13" type="noConversion"/>
  </si>
  <si>
    <t>一线城市占比为0；二线城市占比为77.23%；三线城市占比为12.99%；四线城市及以下占比为9.78%</t>
    <phoneticPr fontId="13" type="noConversion"/>
  </si>
  <si>
    <t>2015年末，公司在建项目合计11个，分布于武汉、珠海、宜昌、重庆、海南等城市，其中位于武汉区域项目建筑面积326.43万平方米，占比61.06%</t>
    <phoneticPr fontId="13" type="noConversion"/>
  </si>
  <si>
    <t xml:space="preserve">房地产占比95.37% </t>
    <phoneticPr fontId="13" type="noConversion"/>
  </si>
  <si>
    <t>无物业收入</t>
    <phoneticPr fontId="13" type="noConversion"/>
  </si>
  <si>
    <t>年报2015</t>
    <phoneticPr fontId="13" type="noConversion"/>
  </si>
  <si>
    <t>136343.SH</t>
    <phoneticPr fontId="13" type="noConversion"/>
  </si>
  <si>
    <t>黄梦瑶</t>
    <phoneticPr fontId="13" type="noConversion"/>
  </si>
  <si>
    <t>黄飞</t>
    <phoneticPr fontId="13" type="noConversion"/>
  </si>
  <si>
    <t>泸州市工业投资集团有限公司</t>
    <phoneticPr fontId="13" type="noConversion"/>
  </si>
  <si>
    <t>否</t>
    <phoneticPr fontId="13" type="noConversion"/>
  </si>
  <si>
    <t>房地产业务收入低于50%；评级20161017</t>
    <phoneticPr fontId="13" type="noConversion"/>
  </si>
  <si>
    <t>136176.SH</t>
    <phoneticPr fontId="13" type="noConversion"/>
  </si>
  <si>
    <t>黄梦瑶</t>
    <phoneticPr fontId="13" type="noConversion"/>
  </si>
  <si>
    <t>凌知昌</t>
    <phoneticPr fontId="13" type="noConversion"/>
  </si>
  <si>
    <t>绿地控股集团有限公司</t>
    <phoneticPr fontId="13" type="noConversion"/>
  </si>
  <si>
    <t>房地产业务的收入和利润均在所有业务中最高，而且均占到公司营业收入和利润的30%以上；评级20160427</t>
    <phoneticPr fontId="13" type="noConversion"/>
  </si>
  <si>
    <t>公司无实际控制人</t>
    <phoneticPr fontId="13" type="noConversion"/>
  </si>
  <si>
    <t>评级20160614</t>
    <phoneticPr fontId="13" type="noConversion"/>
  </si>
  <si>
    <t>无实际控制人</t>
    <phoneticPr fontId="13" type="noConversion"/>
  </si>
  <si>
    <t>募集20160119</t>
    <phoneticPr fontId="13" type="noConversion"/>
  </si>
  <si>
    <t>一级</t>
    <phoneticPr fontId="13" type="noConversion"/>
  </si>
  <si>
    <t>http://219.142.101.72/showcorpinfo/showcorpinfo.aspx</t>
    <phoneticPr fontId="13" type="noConversion"/>
  </si>
  <si>
    <t>评级20160614</t>
    <phoneticPr fontId="13" type="noConversion"/>
  </si>
  <si>
    <t>含境外城市</t>
    <phoneticPr fontId="13" type="noConversion"/>
  </si>
  <si>
    <t>含境外城市</t>
    <phoneticPr fontId="13" type="noConversion"/>
  </si>
  <si>
    <t>一线城市占比为6.47%；二线城市占比为51.33%；三线城市占比为36.53%；四线城市及以下占比为0</t>
    <phoneticPr fontId="13" type="noConversion"/>
  </si>
  <si>
    <t>评级20160614</t>
    <phoneticPr fontId="13" type="noConversion"/>
  </si>
  <si>
    <t>评级20160614</t>
    <phoneticPr fontId="13" type="noConversion"/>
  </si>
  <si>
    <t>公司在建及在售房地产项目中，仍以二三线城市为主</t>
    <phoneticPr fontId="13" type="noConversion"/>
  </si>
  <si>
    <t>数据缺失</t>
    <phoneticPr fontId="13" type="noConversion"/>
  </si>
  <si>
    <t>房地产及相关产业：48.49%；建筑及相关产业：20.77%</t>
    <phoneticPr fontId="13" type="noConversion"/>
  </si>
  <si>
    <t>房地产及相关产业：48.49%；建筑及相关产业：20.77%</t>
    <phoneticPr fontId="13" type="noConversion"/>
  </si>
  <si>
    <t>物业及相关产业及租赁：11.78</t>
    <phoneticPr fontId="13" type="noConversion"/>
  </si>
  <si>
    <t>年报2015</t>
    <phoneticPr fontId="13" type="noConversion"/>
  </si>
  <si>
    <t>瑞华会计师事务所（特殊普通合伙）</t>
    <phoneticPr fontId="13" type="noConversion"/>
  </si>
  <si>
    <t>136176.SH</t>
    <phoneticPr fontId="13" type="noConversion"/>
  </si>
  <si>
    <t>绿地控股集团有限公司</t>
    <phoneticPr fontId="13" type="noConversion"/>
  </si>
  <si>
    <t>公司无实际控制人</t>
    <phoneticPr fontId="13" type="noConversion"/>
  </si>
  <si>
    <t>评级20140521</t>
    <phoneticPr fontId="13" type="noConversion"/>
  </si>
  <si>
    <t>无实际控制人</t>
    <phoneticPr fontId="13" type="noConversion"/>
  </si>
  <si>
    <t>募集20140521</t>
    <phoneticPr fontId="13" type="noConversion"/>
  </si>
  <si>
    <t>一级</t>
    <phoneticPr fontId="13" type="noConversion"/>
  </si>
  <si>
    <t>http://219.142.101.72/showcorpinfo/showcorpinfo.aspx</t>
    <phoneticPr fontId="13" type="noConversion"/>
  </si>
  <si>
    <t>公司以一二线城市为主要扩张领域。</t>
    <phoneticPr fontId="13" type="noConversion"/>
  </si>
  <si>
    <t>物业及相关产业及租赁：11.64</t>
    <phoneticPr fontId="13" type="noConversion"/>
  </si>
  <si>
    <t>评级20140521</t>
    <phoneticPr fontId="13" type="noConversion"/>
  </si>
  <si>
    <t>财报2011-2013</t>
    <phoneticPr fontId="13" type="noConversion"/>
  </si>
  <si>
    <t>为购房人担保： 8.37 亿元</t>
    <phoneticPr fontId="13" type="noConversion"/>
  </si>
  <si>
    <t>101559016.IB</t>
    <phoneticPr fontId="13" type="noConversion"/>
  </si>
  <si>
    <t>黄飞</t>
    <phoneticPr fontId="13" type="noConversion"/>
  </si>
  <si>
    <t>南国置业股份有限公司</t>
    <phoneticPr fontId="13" type="noConversion"/>
  </si>
  <si>
    <t>实际控制人为国务院国资委；实际控制人持股比例为41.68%</t>
    <phoneticPr fontId="13" type="noConversion"/>
  </si>
  <si>
    <t>国家级国有企业</t>
    <phoneticPr fontId="13" type="noConversion"/>
  </si>
  <si>
    <t>国务院国资委</t>
    <phoneticPr fontId="13" type="noConversion"/>
  </si>
  <si>
    <t>评级20160721</t>
    <phoneticPr fontId="13" type="noConversion"/>
  </si>
  <si>
    <t>实际控制人持股比例大于20%且50%</t>
    <phoneticPr fontId="13" type="noConversion"/>
  </si>
  <si>
    <t>评级20160721</t>
    <phoneticPr fontId="13" type="noConversion"/>
  </si>
  <si>
    <t>未上榜</t>
    <phoneticPr fontId="13" type="noConversion"/>
  </si>
  <si>
    <t>公司具有国家建设部批准的一级房地产开发资质，但是主要采取公开招标的方式聘用独立承包商为项目提供策划、勘察、设计、施工、监理等各项服务.</t>
    <phoneticPr fontId="13" type="noConversion"/>
  </si>
  <si>
    <t>公司拟建项目洺悦府、洺悦汇、南京泛悦中央广场、泛悦城项目储备
的土地。</t>
    <phoneticPr fontId="13" type="noConversion"/>
  </si>
  <si>
    <t>2016年3月末，公司在建项目6个，在建面积117.79万平方米，分别为南国中心二期、荆州二期酒店、成都泛悦国际项目、昙华林项目、汉口城市广场二期、襄阳南国城市广场。</t>
    <phoneticPr fontId="13" type="noConversion"/>
  </si>
  <si>
    <t>物业销售：90.86%；物业出租与管理：9.14%</t>
    <phoneticPr fontId="13" type="noConversion"/>
  </si>
  <si>
    <t>物业出租与管理：2.79</t>
    <phoneticPr fontId="13" type="noConversion"/>
  </si>
  <si>
    <t>中天运会计师事务所（特殊普通合伙）</t>
    <phoneticPr fontId="13" type="noConversion"/>
  </si>
  <si>
    <t>136998.SH</t>
    <phoneticPr fontId="13" type="noConversion"/>
  </si>
  <si>
    <t>冯羽</t>
    <phoneticPr fontId="13" type="noConversion"/>
  </si>
  <si>
    <t>金茂投资管理(上海)有限公司</t>
    <phoneticPr fontId="13" type="noConversion"/>
  </si>
  <si>
    <t>实际控制人为国务院国有资产监督管理委员会；实际控制人持股比例为53%</t>
    <phoneticPr fontId="13" type="noConversion"/>
  </si>
  <si>
    <t>国家级国有企业</t>
    <phoneticPr fontId="13" type="noConversion"/>
  </si>
  <si>
    <t>国务院国有资产监督管理委员会</t>
  </si>
  <si>
    <t>评级20151207</t>
    <phoneticPr fontId="13" type="noConversion"/>
  </si>
  <si>
    <t>评级20151207</t>
    <phoneticPr fontId="13" type="noConversion"/>
  </si>
  <si>
    <t>评级20151207</t>
    <phoneticPr fontId="13" type="noConversion"/>
  </si>
  <si>
    <t>www.fangchan.com/zt/top500/2015</t>
    <phoneticPr fontId="13" type="noConversion"/>
  </si>
  <si>
    <t>三级</t>
    <phoneticPr fontId="13" type="noConversion"/>
  </si>
  <si>
    <t>公司的子公司拥有三级房地产开发资质</t>
    <phoneticPr fontId="13" type="noConversion"/>
  </si>
  <si>
    <t>募集20151207</t>
    <phoneticPr fontId="13" type="noConversion"/>
  </si>
  <si>
    <t>子公司：金茂（上海）置业有限公司</t>
    <phoneticPr fontId="13" type="noConversion"/>
  </si>
  <si>
    <t>一线城市占比为47.14%；二线城市占比为52.86%；三线城市占比为0；四线城市及以下占比为0</t>
    <phoneticPr fontId="13" type="noConversion"/>
  </si>
  <si>
    <t>一线城市占比为44.69%；二线城市占比为48.21%；三线城市占比为0%；四线城市及以下占比为7.1%</t>
    <phoneticPr fontId="13" type="noConversion"/>
  </si>
  <si>
    <t>物业销售占比36.30%;租赁：0.25%</t>
    <phoneticPr fontId="13" type="noConversion"/>
  </si>
  <si>
    <t>租赁收入0.12亿元</t>
    <phoneticPr fontId="13" type="noConversion"/>
  </si>
  <si>
    <t>wind</t>
    <phoneticPr fontId="13" type="noConversion"/>
  </si>
  <si>
    <t>天职国际会计师事务所（特殊普通合伙）</t>
    <phoneticPr fontId="13" type="noConversion"/>
  </si>
  <si>
    <t>按揭担保</t>
    <phoneticPr fontId="13" type="noConversion"/>
  </si>
  <si>
    <t>112273.SZ</t>
  </si>
  <si>
    <t>杨凤</t>
    <phoneticPr fontId="13" type="noConversion"/>
  </si>
  <si>
    <t>金融街控股股份有限公司</t>
  </si>
  <si>
    <t>实际控制人为北京市西城区国资委；实际控制人持股比例为30.12%</t>
    <phoneticPr fontId="13" type="noConversion"/>
  </si>
  <si>
    <t>其他国有企业</t>
    <phoneticPr fontId="13" type="noConversion"/>
  </si>
  <si>
    <t>北京市西城区国资委</t>
    <phoneticPr fontId="13" type="noConversion"/>
  </si>
  <si>
    <t>评级20150818</t>
    <phoneticPr fontId="13" type="noConversion"/>
  </si>
  <si>
    <t>评级20150818</t>
    <phoneticPr fontId="13" type="noConversion"/>
  </si>
  <si>
    <t>发行人为住建部批准的一级房地产开发企业（ 证书编号：建开企【 2005】483 号），可在全国范围内从事房地产开发项目。</t>
    <phoneticPr fontId="13" type="noConversion"/>
  </si>
  <si>
    <t>募集20150818</t>
    <phoneticPr fontId="13" type="noConversion"/>
  </si>
  <si>
    <t>从区域分布来看，公司强化在一线城市和区域中心城市的土地储备力度，截至 2014 年末，北京、上海、广州、重庆、天津的土地储备面积合计占公司总体的比重达到
78%。</t>
    <phoneticPr fontId="13" type="noConversion"/>
  </si>
  <si>
    <t>评级20150818</t>
  </si>
  <si>
    <t>项目区域分布方面，目前项目主要集中在北京、上海、 广州、 天津、重庆、惠州等一线城市及区域中心城市，</t>
    <phoneticPr fontId="13" type="noConversion"/>
  </si>
  <si>
    <t xml:space="preserve">房产开发占比94.32% 物业租赁占比3.16% 物业经营占比2.32%  </t>
  </si>
  <si>
    <t>物业租赁和经营：12.09亿元</t>
    <phoneticPr fontId="13" type="noConversion"/>
  </si>
  <si>
    <t>112482.SZ</t>
  </si>
  <si>
    <t>金世旗国际控股股份有限公司</t>
  </si>
  <si>
    <t>实际控制人为罗玉平；实际控制人持股比例为74.8%</t>
    <phoneticPr fontId="13" type="noConversion"/>
  </si>
  <si>
    <t>罗玉平</t>
    <phoneticPr fontId="13" type="noConversion"/>
  </si>
  <si>
    <t>募集20161118</t>
    <phoneticPr fontId="13" type="noConversion"/>
  </si>
  <si>
    <t>评级20161118</t>
    <phoneticPr fontId="13" type="noConversion"/>
  </si>
  <si>
    <t>评级20161118</t>
    <phoneticPr fontId="13" type="noConversion"/>
  </si>
  <si>
    <t>使用子公司排名：中天城投集团股份有限公司</t>
    <phoneticPr fontId="13" type="noConversion"/>
  </si>
  <si>
    <t>具有一级房地产开发资质</t>
    <phoneticPr fontId="13" type="noConversion"/>
  </si>
  <si>
    <t>子公司资质：中天城投集团股份有限公司</t>
    <phoneticPr fontId="13" type="noConversion"/>
  </si>
  <si>
    <t>公司土地储备主要分布在贵阳市</t>
    <phoneticPr fontId="13" type="noConversion"/>
  </si>
  <si>
    <t>房地产占比95.64%</t>
    <phoneticPr fontId="13" type="noConversion"/>
  </si>
  <si>
    <t>信永中和会计师事务所（特殊普通合伙）</t>
  </si>
  <si>
    <t>136170.SH</t>
  </si>
  <si>
    <t>杨凤</t>
    <phoneticPr fontId="13" type="noConversion"/>
  </si>
  <si>
    <t>冯羽</t>
    <phoneticPr fontId="13" type="noConversion"/>
  </si>
  <si>
    <t>凌知昌</t>
    <phoneticPr fontId="13" type="noConversion"/>
  </si>
  <si>
    <t>景瑞地产(集团)有限公司</t>
    <phoneticPr fontId="13" type="noConversion"/>
  </si>
  <si>
    <t>实际控制人为闫浩先生和陈新戈先生；实际控制人持股比例为70.3%</t>
    <phoneticPr fontId="13" type="noConversion"/>
  </si>
  <si>
    <t>民营企业</t>
    <phoneticPr fontId="13" type="noConversion"/>
  </si>
  <si>
    <t>闫浩和陈新戈</t>
    <phoneticPr fontId="13" type="noConversion"/>
  </si>
  <si>
    <t>募集20160315</t>
    <phoneticPr fontId="13" type="noConversion"/>
  </si>
  <si>
    <t>评级20160629</t>
    <phoneticPr fontId="13" type="noConversion"/>
  </si>
  <si>
    <t>评级20160315</t>
    <phoneticPr fontId="13" type="noConversion"/>
  </si>
  <si>
    <t>公司具有一级房地产开发资质</t>
  </si>
  <si>
    <t>评级20160629</t>
    <phoneticPr fontId="13" type="noConversion"/>
  </si>
  <si>
    <t>评级20160629</t>
    <phoneticPr fontId="13" type="noConversion"/>
  </si>
  <si>
    <t>一线城市占比为11.05%；二线城市占比为45.53%；三线城市占比为43.42%；四线城市及以下占比为0</t>
    <phoneticPr fontId="13" type="noConversion"/>
  </si>
  <si>
    <t>评级20160629</t>
    <phoneticPr fontId="13" type="noConversion"/>
  </si>
  <si>
    <t>评级20160629</t>
    <phoneticPr fontId="13" type="noConversion"/>
  </si>
  <si>
    <t>评级20160629</t>
    <phoneticPr fontId="13" type="noConversion"/>
  </si>
  <si>
    <t>一线城市占比为0.26%；二线城市占比为49.28%；三线城市占比为42.98%；四线城市及以下占比为7.48%</t>
    <phoneticPr fontId="13" type="noConversion"/>
  </si>
  <si>
    <t>评级20160629</t>
    <phoneticPr fontId="13" type="noConversion"/>
  </si>
  <si>
    <t>售房收入：98.52%</t>
    <phoneticPr fontId="13" type="noConversion"/>
  </si>
  <si>
    <t>评级20160629</t>
    <phoneticPr fontId="13" type="noConversion"/>
  </si>
  <si>
    <t>物业管理及房租收入：1.08亿元</t>
    <phoneticPr fontId="13" type="noConversion"/>
  </si>
  <si>
    <t>wind</t>
    <phoneticPr fontId="13" type="noConversion"/>
  </si>
  <si>
    <t>年报2015</t>
    <phoneticPr fontId="13" type="noConversion"/>
  </si>
  <si>
    <t>年报2015</t>
    <phoneticPr fontId="13" type="noConversion"/>
  </si>
  <si>
    <t>众华会计师事务所（特殊普通合伙）</t>
    <phoneticPr fontId="13" type="noConversion"/>
  </si>
  <si>
    <t>122473.SH</t>
  </si>
  <si>
    <t>联发集团有限公司</t>
    <phoneticPr fontId="13" type="noConversion"/>
  </si>
  <si>
    <t>实际控制人为厦门市人民政府国有资产监督管理委员会；实际控制人持股比例为35.12%</t>
    <phoneticPr fontId="13" type="noConversion"/>
  </si>
  <si>
    <t>市级地方国有企业</t>
    <phoneticPr fontId="13" type="noConversion"/>
  </si>
  <si>
    <t>厦门市人民政府国有资产监督管理委员会</t>
  </si>
  <si>
    <t>评级20160629</t>
    <phoneticPr fontId="13" type="noConversion"/>
  </si>
  <si>
    <t>评级20150922</t>
    <phoneticPr fontId="13" type="noConversion"/>
  </si>
  <si>
    <t>评级20160629</t>
  </si>
  <si>
    <t>评级20150922</t>
  </si>
  <si>
    <t>公司具有一级房地产开发资质</t>
    <phoneticPr fontId="13" type="noConversion"/>
  </si>
  <si>
    <t>募集20150922</t>
    <phoneticPr fontId="13" type="noConversion"/>
  </si>
  <si>
    <t>建筑面积*楼面均价</t>
    <phoneticPr fontId="13" type="noConversion"/>
  </si>
  <si>
    <t>截至到2016年3月底</t>
    <phoneticPr fontId="13" type="noConversion"/>
  </si>
  <si>
    <t>截至到2016年3月底</t>
    <phoneticPr fontId="13" type="noConversion"/>
  </si>
  <si>
    <t>一线城市占比为0；二线城市占比为38.06%；三线城市占比为4.57%；四线城市及以下占比为57.36%</t>
    <phoneticPr fontId="13" type="noConversion"/>
  </si>
  <si>
    <t>截至2016年末</t>
    <phoneticPr fontId="13" type="noConversion"/>
  </si>
  <si>
    <t>权益建筑面积</t>
    <phoneticPr fontId="13" type="noConversion"/>
  </si>
  <si>
    <t>一线城市占比为0；二线城市占比为48.75%；三线城市占比为5.63%；四线城市及以下占比为45.62%</t>
    <phoneticPr fontId="13" type="noConversion"/>
  </si>
  <si>
    <t xml:space="preserve">房地产开发占比88%    物业及租赁管理业务占比4%   </t>
    <phoneticPr fontId="13" type="noConversion"/>
  </si>
  <si>
    <t xml:space="preserve">房地产开发占比88%    物业及租赁管理业务占比4%   </t>
    <phoneticPr fontId="13" type="noConversion"/>
  </si>
  <si>
    <t>物业及租赁管理业务：3.22亿元</t>
    <phoneticPr fontId="13" type="noConversion"/>
  </si>
  <si>
    <t>为购房人抵押贷款担保:54.59</t>
    <phoneticPr fontId="13" type="noConversion"/>
  </si>
  <si>
    <t>杨凤</t>
    <phoneticPr fontId="13" type="noConversion"/>
  </si>
  <si>
    <t>冯羽</t>
    <phoneticPr fontId="13" type="noConversion"/>
  </si>
  <si>
    <t>联发集团有限公司</t>
    <phoneticPr fontId="13" type="noConversion"/>
  </si>
  <si>
    <t>实际控制人为厦门市人民政府国有资产监督管理委员会；实际控制人持股比例为33.82%</t>
    <phoneticPr fontId="13" type="noConversion"/>
  </si>
  <si>
    <t>评级20150922</t>
    <phoneticPr fontId="13" type="noConversion"/>
  </si>
  <si>
    <t>公司具有一级房地产开发资质</t>
    <phoneticPr fontId="13" type="noConversion"/>
  </si>
  <si>
    <t>募集20150922</t>
    <phoneticPr fontId="13" type="noConversion"/>
  </si>
  <si>
    <t>评级20150922</t>
    <phoneticPr fontId="13" type="noConversion"/>
  </si>
  <si>
    <t>评级20150922</t>
    <phoneticPr fontId="13" type="noConversion"/>
  </si>
  <si>
    <t>一线城市占比为0；二线城市占比为46.34%；三线城市占比为6.9%；四线城市及以下占比为46.76%</t>
    <phoneticPr fontId="13" type="noConversion"/>
  </si>
  <si>
    <t>评级20160629</t>
    <phoneticPr fontId="13" type="noConversion"/>
  </si>
  <si>
    <t>一线城市占比为0%；二线城市占比为56.98%；三线城市占比为5.50%；四线城市及以下占比为37.51%</t>
    <phoneticPr fontId="13" type="noConversion"/>
  </si>
  <si>
    <t xml:space="preserve">房地产开发占比86%    物业及租赁管理业务占比4%  </t>
    <phoneticPr fontId="13" type="noConversion"/>
  </si>
  <si>
    <t xml:space="preserve">房地产开发占比86%    物业及租赁管理业务占比4%  </t>
    <phoneticPr fontId="13" type="noConversion"/>
  </si>
  <si>
    <t>物业及租赁管理业务：2.77亿元</t>
    <phoneticPr fontId="13" type="noConversion"/>
  </si>
  <si>
    <t>募集20150922</t>
    <phoneticPr fontId="13" type="noConversion"/>
  </si>
  <si>
    <t xml:space="preserve">wind </t>
    <phoneticPr fontId="13" type="noConversion"/>
  </si>
  <si>
    <t xml:space="preserve">wind </t>
    <phoneticPr fontId="13" type="noConversion"/>
  </si>
  <si>
    <t>募集20150922</t>
    <phoneticPr fontId="13" type="noConversion"/>
  </si>
  <si>
    <t>wind</t>
    <phoneticPr fontId="13" type="noConversion"/>
  </si>
  <si>
    <t>致同会计师事务所（特殊普通合伙）</t>
    <phoneticPr fontId="13" type="noConversion"/>
  </si>
  <si>
    <t>wind</t>
    <phoneticPr fontId="13" type="noConversion"/>
  </si>
  <si>
    <t>136607.SH</t>
  </si>
  <si>
    <t>南京安居建设集团有限责任公司</t>
    <phoneticPr fontId="13" type="noConversion"/>
  </si>
  <si>
    <t>实际控制人为南京市人民政府国有资产监督管理委员会；实际控制人持股比例为100%</t>
    <phoneticPr fontId="13" type="noConversion"/>
  </si>
  <si>
    <t>南京市人民政府国有资产监督管理委员会</t>
    <phoneticPr fontId="13" type="noConversion"/>
  </si>
  <si>
    <t>募集20160803</t>
    <phoneticPr fontId="13" type="noConversion"/>
  </si>
  <si>
    <t>评级20160803</t>
    <phoneticPr fontId="13" type="noConversion"/>
  </si>
  <si>
    <t>截至 2016 年一季度末</t>
    <phoneticPr fontId="13" type="noConversion"/>
  </si>
  <si>
    <t>一线城市占比为0；二线城市占比为100%；三线城市占比为0；四线城市及以下占比为0</t>
    <phoneticPr fontId="13" type="noConversion"/>
  </si>
  <si>
    <t>截至 2016 年一季度末</t>
  </si>
  <si>
    <t>募集20160406</t>
    <phoneticPr fontId="13" type="noConversion"/>
  </si>
  <si>
    <t>房地产销售：87.03%</t>
    <phoneticPr fontId="13" type="noConversion"/>
  </si>
  <si>
    <t>财报2015</t>
    <phoneticPr fontId="13" type="noConversion"/>
  </si>
  <si>
    <t>财报2015</t>
    <phoneticPr fontId="13" type="noConversion"/>
  </si>
  <si>
    <t>wind</t>
    <phoneticPr fontId="13" type="noConversion"/>
  </si>
  <si>
    <t>中兴华会计师事务所（特殊普通合伙）</t>
    <phoneticPr fontId="13" type="noConversion"/>
  </si>
  <si>
    <t>101571007.IB</t>
  </si>
  <si>
    <t>南京高科股份有限公司</t>
    <phoneticPr fontId="13" type="noConversion"/>
  </si>
  <si>
    <t>实际控制人为南京市人民政府国有资产监督管理委员会；实际控制人持股比例为34.65%</t>
    <phoneticPr fontId="13" type="noConversion"/>
  </si>
  <si>
    <t>南京市人民政府国有资产监督管理委员会</t>
  </si>
  <si>
    <t>评级20160624</t>
    <phoneticPr fontId="13" type="noConversion"/>
  </si>
  <si>
    <t>评级20160624</t>
  </si>
  <si>
    <t>募集20150710</t>
    <phoneticPr fontId="13" type="noConversion"/>
  </si>
  <si>
    <t>子公司资质：高科置业</t>
    <phoneticPr fontId="13" type="noConversion"/>
  </si>
  <si>
    <t xml:space="preserve">房地产开发销售占比63.90%  市政基础设施承建占比17.23%   </t>
    <phoneticPr fontId="13" type="noConversion"/>
  </si>
  <si>
    <t>评级20160624</t>
    <phoneticPr fontId="13" type="noConversion"/>
  </si>
  <si>
    <t>年报2015</t>
    <phoneticPr fontId="13" type="noConversion"/>
  </si>
  <si>
    <t>截至2016年3月底</t>
    <phoneticPr fontId="13" type="noConversion"/>
  </si>
  <si>
    <t>数据缺失</t>
    <phoneticPr fontId="13" type="noConversion"/>
  </si>
  <si>
    <t>评级20160624</t>
    <phoneticPr fontId="13" type="noConversion"/>
  </si>
  <si>
    <t>评级20160624</t>
    <phoneticPr fontId="13" type="noConversion"/>
  </si>
  <si>
    <t>为购房人提供的银行按揭担保：26.51039亿元</t>
    <phoneticPr fontId="13" type="noConversion"/>
  </si>
  <si>
    <t>杨凤</t>
    <phoneticPr fontId="13" type="noConversion"/>
  </si>
  <si>
    <t>冯羽</t>
    <phoneticPr fontId="13" type="noConversion"/>
  </si>
  <si>
    <t>凌知昌</t>
    <phoneticPr fontId="13" type="noConversion"/>
  </si>
  <si>
    <t>南京高科股份有限公司</t>
    <phoneticPr fontId="13" type="noConversion"/>
  </si>
  <si>
    <t>实际控制人为南京市人民政府国有资产监督管理委员会；实际控制人持股比例为34.65%</t>
    <phoneticPr fontId="13" type="noConversion"/>
  </si>
  <si>
    <t>市级地方国有企业</t>
    <phoneticPr fontId="13" type="noConversion"/>
  </si>
  <si>
    <t>年报2014</t>
    <phoneticPr fontId="13" type="noConversion"/>
  </si>
  <si>
    <t>评级20160624</t>
    <phoneticPr fontId="13" type="noConversion"/>
  </si>
  <si>
    <t>评级20150710</t>
  </si>
  <si>
    <t>评级20150710</t>
    <phoneticPr fontId="13" type="noConversion"/>
  </si>
  <si>
    <t>原名：南京新港高科股份有限公司</t>
    <phoneticPr fontId="13" type="noConversion"/>
  </si>
  <si>
    <t>具备房地产开发企业国家一级资质</t>
    <phoneticPr fontId="13" type="noConversion"/>
  </si>
  <si>
    <t>募集20150710</t>
    <phoneticPr fontId="13" type="noConversion"/>
  </si>
  <si>
    <t>子公司资质：高科置业</t>
    <phoneticPr fontId="13" type="noConversion"/>
  </si>
  <si>
    <t>数据缺失</t>
    <phoneticPr fontId="13" type="noConversion"/>
  </si>
  <si>
    <t>一线城市占比为0%；二线城市占比为100%；三线城市占比为0%；四线城市及以下占比为0%</t>
    <phoneticPr fontId="13" type="noConversion"/>
  </si>
  <si>
    <t>募集20150710</t>
    <phoneticPr fontId="13" type="noConversion"/>
  </si>
  <si>
    <t>房地产开发销售：54.19%；市政基础设施承建：23.34%</t>
    <phoneticPr fontId="13" type="noConversion"/>
  </si>
  <si>
    <t>wind</t>
    <phoneticPr fontId="13" type="noConversion"/>
  </si>
  <si>
    <t>截至2014年9月末</t>
    <phoneticPr fontId="13" type="noConversion"/>
  </si>
  <si>
    <t>评级20151231</t>
    <phoneticPr fontId="13" type="noConversion"/>
  </si>
  <si>
    <t>为购房人提供的银行按揭担保：13.81855亿元</t>
    <phoneticPr fontId="13" type="noConversion"/>
  </si>
  <si>
    <t>南京高科股份有限公司</t>
  </si>
  <si>
    <t>实际控制人为南京市人民政府国有资产监督管理委员会；实际控制人持股比例为34.65%</t>
    <phoneticPr fontId="13" type="noConversion"/>
  </si>
  <si>
    <t>市级地方国有企业</t>
    <phoneticPr fontId="13" type="noConversion"/>
  </si>
  <si>
    <t>年报2013</t>
    <phoneticPr fontId="13" type="noConversion"/>
  </si>
  <si>
    <t>募集20150710</t>
    <phoneticPr fontId="13" type="noConversion"/>
  </si>
  <si>
    <t>评级20150710</t>
    <phoneticPr fontId="13" type="noConversion"/>
  </si>
  <si>
    <t>http://www.phbang.cn/finance/corporation/141594.html</t>
  </si>
  <si>
    <t>原名：南京新港高科股份有限公司</t>
    <phoneticPr fontId="13" type="noConversion"/>
  </si>
  <si>
    <t>具备房地产开发企业国家一级资质</t>
    <phoneticPr fontId="13" type="noConversion"/>
  </si>
  <si>
    <t>子公司资质：高科置业</t>
    <phoneticPr fontId="13" type="noConversion"/>
  </si>
  <si>
    <t>数据缺失</t>
    <phoneticPr fontId="13" type="noConversion"/>
  </si>
  <si>
    <t xml:space="preserve">房地产开发销售占比63.76%  市政基础设施承建占比17.61% </t>
    <phoneticPr fontId="13" type="noConversion"/>
  </si>
  <si>
    <t>wind</t>
    <phoneticPr fontId="13" type="noConversion"/>
  </si>
  <si>
    <t>年报2013</t>
    <phoneticPr fontId="13" type="noConversion"/>
  </si>
  <si>
    <t>评级20150710</t>
    <phoneticPr fontId="13" type="noConversion"/>
  </si>
  <si>
    <t>按揭担保</t>
    <phoneticPr fontId="13" type="noConversion"/>
  </si>
  <si>
    <t>121617001.IB</t>
  </si>
  <si>
    <t>南京金融城建设发展股份有限公司</t>
  </si>
  <si>
    <t>实际控制人为南京市人民政府国有资产监督管理委员会；实际控制人持股比例为57.14%</t>
    <phoneticPr fontId="13" type="noConversion"/>
  </si>
  <si>
    <t>未上榜</t>
    <phoneticPr fontId="13" type="noConversion"/>
  </si>
  <si>
    <t>二级</t>
    <phoneticPr fontId="13" type="noConversion"/>
  </si>
  <si>
    <t>公司具有房地产开发二级资质</t>
    <phoneticPr fontId="13" type="noConversion"/>
  </si>
  <si>
    <t>募集20161118</t>
    <phoneticPr fontId="13" type="noConversion"/>
  </si>
  <si>
    <t>物业服务占比100%</t>
    <phoneticPr fontId="13" type="noConversion"/>
  </si>
  <si>
    <t>财报2015</t>
    <phoneticPr fontId="13" type="noConversion"/>
  </si>
  <si>
    <t>物业服务0.0000122509亿元</t>
    <phoneticPr fontId="13" type="noConversion"/>
  </si>
  <si>
    <t>评级20160612</t>
    <phoneticPr fontId="13" type="noConversion"/>
  </si>
  <si>
    <t>评级20160612</t>
    <phoneticPr fontId="13" type="noConversion"/>
  </si>
  <si>
    <t>评级20160612</t>
    <phoneticPr fontId="13" type="noConversion"/>
  </si>
  <si>
    <t>立信会计师事务所（特殊普通合伙）</t>
    <phoneticPr fontId="13" type="noConversion"/>
  </si>
  <si>
    <t>评级20161118</t>
    <phoneticPr fontId="13" type="noConversion"/>
  </si>
  <si>
    <t>136612.SH</t>
    <phoneticPr fontId="13" type="noConversion"/>
  </si>
  <si>
    <t>平安不动产有限公司</t>
  </si>
  <si>
    <t>实际控制人为谢国民；实际控制人持股比例为99.64%</t>
    <phoneticPr fontId="13" type="noConversion"/>
  </si>
  <si>
    <t>中国平安保险（集团）股份有限公司</t>
  </si>
  <si>
    <t>评级20160318</t>
    <phoneticPr fontId="13" type="noConversion"/>
  </si>
  <si>
    <t>未上榜</t>
    <phoneticPr fontId="13" type="noConversion"/>
  </si>
  <si>
    <t>数据缺失</t>
    <phoneticPr fontId="13" type="noConversion"/>
  </si>
  <si>
    <t>公司在建项目主要分布在杭州、广州、郑州、深圳</t>
    <phoneticPr fontId="13" type="noConversion"/>
  </si>
  <si>
    <t>评级20160318</t>
    <phoneticPr fontId="13" type="noConversion"/>
  </si>
  <si>
    <t xml:space="preserve"> 租赁及物业管理:32.58%</t>
    <phoneticPr fontId="13" type="noConversion"/>
  </si>
  <si>
    <t>租赁及物业管理1.6760亿元</t>
    <phoneticPr fontId="13" type="noConversion"/>
  </si>
  <si>
    <t>募集20160318</t>
    <phoneticPr fontId="13" type="noConversion"/>
  </si>
  <si>
    <t>超档</t>
    <phoneticPr fontId="13" type="noConversion"/>
  </si>
  <si>
    <t>评级20160318</t>
    <phoneticPr fontId="13" type="noConversion"/>
  </si>
  <si>
    <t>普华永道中天会计师事务所（特殊普通合伙）</t>
    <phoneticPr fontId="13" type="noConversion"/>
  </si>
  <si>
    <t>112262.SZ</t>
    <phoneticPr fontId="13" type="noConversion"/>
  </si>
  <si>
    <t>黄飞</t>
    <phoneticPr fontId="11" type="noConversion"/>
  </si>
  <si>
    <t>黄梦瑶</t>
    <phoneticPr fontId="13" type="noConversion"/>
  </si>
  <si>
    <t>凌知昌</t>
    <phoneticPr fontId="13" type="noConversion"/>
  </si>
  <si>
    <t>荣安地产股份有限公司</t>
    <phoneticPr fontId="13" type="noConversion"/>
  </si>
  <si>
    <t>实际控制人为王久芳及其一致行动人；实际控制人持股比例为68.59%</t>
    <phoneticPr fontId="13" type="noConversion"/>
  </si>
  <si>
    <t>王久芳及其一致行动人</t>
    <phoneticPr fontId="13" type="noConversion"/>
  </si>
  <si>
    <t>募集20150805</t>
    <phoneticPr fontId="13" type="noConversion"/>
  </si>
  <si>
    <t>评级20150805</t>
    <phoneticPr fontId="13" type="noConversion"/>
  </si>
  <si>
    <t>评级20150805</t>
    <phoneticPr fontId="13" type="noConversion"/>
  </si>
  <si>
    <t>http://www.fangchan.com/zt/top500/2015/</t>
    <phoneticPr fontId="13" type="noConversion"/>
  </si>
  <si>
    <t>一级</t>
    <phoneticPr fontId="13" type="noConversion"/>
  </si>
  <si>
    <t>公司具有国家建设部批准的一级房地产开发资质，但是主要采取公开招标的方式聘用独立承包商为项目提供策划、勘察、设计、施工、监理等各项服务.</t>
    <phoneticPr fontId="13" type="noConversion"/>
  </si>
  <si>
    <t>从土地储备的目标区域来看，以宁波、杭州和台州为重点布局区域，并择机在常熟、上海及其他城市进行开发建设。其中鄞州中心区是公司首选布局，必须保证有项目处于开发期，同时扎根杭州发展，并逐步加大在台州的开发力度。</t>
    <phoneticPr fontId="13" type="noConversion"/>
  </si>
  <si>
    <t>截至2015 年3 月底</t>
  </si>
  <si>
    <t>公司在建项目主要分布在宁波</t>
    <phoneticPr fontId="13" type="noConversion"/>
  </si>
  <si>
    <t>房地产销售：95.87%</t>
    <phoneticPr fontId="13" type="noConversion"/>
  </si>
  <si>
    <t>房地产销售：95.87%</t>
    <phoneticPr fontId="13" type="noConversion"/>
  </si>
  <si>
    <t>物业服务：0.32亿元</t>
    <phoneticPr fontId="13" type="noConversion"/>
  </si>
  <si>
    <t>年报2014</t>
    <phoneticPr fontId="13" type="noConversion"/>
  </si>
  <si>
    <t>wind</t>
    <phoneticPr fontId="13" type="noConversion"/>
  </si>
  <si>
    <t>wind</t>
    <phoneticPr fontId="13" type="noConversion"/>
  </si>
  <si>
    <t>截至2015年3月底</t>
    <phoneticPr fontId="13" type="noConversion"/>
  </si>
  <si>
    <t>募集20150805</t>
    <phoneticPr fontId="13" type="noConversion"/>
  </si>
  <si>
    <t>天衡会计师事务所（特殊普通合伙）</t>
    <phoneticPr fontId="13" type="noConversion"/>
  </si>
  <si>
    <t>天衡会计师事务所（特殊普通合伙）</t>
  </si>
  <si>
    <t>整体看， 2015 年公司销售情况较上年有所提升， 公司可售房源主要位于二、三线城市，</t>
  </si>
  <si>
    <t>东财</t>
    <phoneticPr fontId="13" type="noConversion"/>
  </si>
  <si>
    <t>截至2014年9月30日</t>
    <phoneticPr fontId="13" type="noConversion"/>
  </si>
  <si>
    <t>wind</t>
    <phoneticPr fontId="13" type="noConversion"/>
  </si>
  <si>
    <t>评级20150818</t>
    <phoneticPr fontId="13" type="noConversion"/>
  </si>
  <si>
    <t>年报2014</t>
    <phoneticPr fontId="13" type="noConversion"/>
  </si>
  <si>
    <t>湖北省汉川市钢丝绳</t>
    <phoneticPr fontId="13" type="noConversion"/>
  </si>
  <si>
    <t>实际控制人为湖北省汉川市钢丝绳厂；实际控制人持股比例为26.02%</t>
    <phoneticPr fontId="13" type="noConversion"/>
  </si>
  <si>
    <t>实际控制人持股比例小于20%</t>
  </si>
  <si>
    <t>实际控制人为冯仑；实际控制人持股比例为25.71%</t>
    <phoneticPr fontId="13" type="noConversion"/>
  </si>
  <si>
    <t>实际控制人为卢志强；实际控制人持股比例为58.93%</t>
    <phoneticPr fontId="13" type="noConversion"/>
  </si>
  <si>
    <t xml:space="preserve"> www.fangchan.com/zt/top500/2014</t>
    <phoneticPr fontId="13" type="noConversion"/>
  </si>
  <si>
    <t>评级20150821</t>
    <phoneticPr fontId="13" type="noConversion"/>
  </si>
  <si>
    <t>wind</t>
    <phoneticPr fontId="13" type="noConversion"/>
  </si>
  <si>
    <t>http://www.bjjs.gov.cn/eportal/ui?pageId=309058</t>
  </si>
  <si>
    <t>子公司资质：金融街控股股份有限公司</t>
    <phoneticPr fontId="13" type="noConversion"/>
  </si>
  <si>
    <t>二级</t>
    <phoneticPr fontId="13" type="noConversion"/>
  </si>
  <si>
    <t>http://113.108.219.40/Dop/Open/EntCreditList.aspx</t>
  </si>
  <si>
    <t>子公司：福星惠誉房地产有限公司</t>
    <phoneticPr fontId="13" type="noConversion"/>
  </si>
  <si>
    <t>http://www.njhouse.com.cn/spf/kfs/index.php?compno=184140</t>
  </si>
  <si>
    <t>评级20160628</t>
    <phoneticPr fontId="13" type="noConversion"/>
  </si>
  <si>
    <t>评级20160323</t>
    <phoneticPr fontId="13" type="noConversion"/>
  </si>
  <si>
    <t>年报2015</t>
    <phoneticPr fontId="13" type="noConversion"/>
  </si>
  <si>
    <t>2015年报</t>
    <phoneticPr fontId="13" type="noConversion"/>
  </si>
  <si>
    <t>评级20140521</t>
    <phoneticPr fontId="13" type="noConversion"/>
  </si>
  <si>
    <t>房地产及相关产业：37.34%；建筑及相关产业：8.29%</t>
    <phoneticPr fontId="13" type="noConversion"/>
  </si>
  <si>
    <t>房地产及相关产业：37.34%；建筑及相关产业：8.29%</t>
    <phoneticPr fontId="13" type="noConversion"/>
  </si>
  <si>
    <t>wind</t>
    <phoneticPr fontId="13" type="noConversion"/>
  </si>
  <si>
    <t>122445.SH</t>
    <phoneticPr fontId="13" type="noConversion"/>
  </si>
  <si>
    <t>黄飞</t>
    <phoneticPr fontId="11" type="noConversion"/>
  </si>
  <si>
    <t>凌知昌</t>
    <phoneticPr fontId="13" type="noConversion"/>
  </si>
  <si>
    <t>融创房地产集团有限公司</t>
    <phoneticPr fontId="13" type="noConversion"/>
  </si>
  <si>
    <t>孙宏斌</t>
    <phoneticPr fontId="13" type="noConversion"/>
  </si>
  <si>
    <t>评级20160616</t>
    <phoneticPr fontId="13" type="noConversion"/>
  </si>
  <si>
    <t>年报2015</t>
    <phoneticPr fontId="13" type="noConversion"/>
  </si>
  <si>
    <t>评级20150828</t>
    <phoneticPr fontId="13" type="noConversion"/>
  </si>
  <si>
    <t>评级20160616</t>
    <phoneticPr fontId="13" type="noConversion"/>
  </si>
  <si>
    <t>评级20150828</t>
    <phoneticPr fontId="13" type="noConversion"/>
  </si>
  <si>
    <t>年报2015</t>
    <phoneticPr fontId="13" type="noConversion"/>
  </si>
  <si>
    <t>使用控股公司排名：融创中国控股有限公司</t>
    <phoneticPr fontId="13" type="noConversion"/>
  </si>
  <si>
    <t>一级</t>
    <phoneticPr fontId="13" type="noConversion"/>
  </si>
  <si>
    <t>一级</t>
    <phoneticPr fontId="13" type="noConversion"/>
  </si>
  <si>
    <t>公司具有国家建设部批准的一级房地产开发资质，但是主要采取公开招标的方式聘用独立承包商为项目提供策划、勘察、设计、施工、监理等各项服务.</t>
    <phoneticPr fontId="13" type="noConversion"/>
  </si>
  <si>
    <t>评级20150828</t>
    <phoneticPr fontId="13" type="noConversion"/>
  </si>
  <si>
    <t>数据缺失</t>
    <phoneticPr fontId="13" type="noConversion"/>
  </si>
  <si>
    <t>年报2015</t>
    <phoneticPr fontId="13" type="noConversion"/>
  </si>
  <si>
    <t>一线城市占比为40.28%；二线城市占比为59.72%；三线城市占比为0%；四线城市及以下占比为0%</t>
    <phoneticPr fontId="13" type="noConversion"/>
  </si>
  <si>
    <t>年报2015</t>
    <phoneticPr fontId="13" type="noConversion"/>
  </si>
  <si>
    <t>公司在建项目主要分布在共7个城市（包括天津、上海、杭州、无锡、苏州、常州）共计12 个项目</t>
    <phoneticPr fontId="13" type="noConversion"/>
  </si>
  <si>
    <t>数据缺失</t>
    <phoneticPr fontId="13" type="noConversion"/>
  </si>
  <si>
    <t>房地产销售：96.01%</t>
    <phoneticPr fontId="13" type="noConversion"/>
  </si>
  <si>
    <t>房地产销售：96.01%</t>
    <phoneticPr fontId="13" type="noConversion"/>
  </si>
  <si>
    <t>物业管理及其他：4.49亿元</t>
    <phoneticPr fontId="13" type="noConversion"/>
  </si>
  <si>
    <t>wind</t>
    <phoneticPr fontId="13" type="noConversion"/>
  </si>
  <si>
    <t>wind</t>
    <phoneticPr fontId="13" type="noConversion"/>
  </si>
  <si>
    <t>wind</t>
    <phoneticPr fontId="13" type="noConversion"/>
  </si>
  <si>
    <t>wind</t>
    <phoneticPr fontId="13" type="noConversion"/>
  </si>
  <si>
    <t>评级20160616</t>
    <phoneticPr fontId="13" type="noConversion"/>
  </si>
  <si>
    <t>普华永道中天会计师事务所（特殊普通合伙）</t>
    <phoneticPr fontId="13" type="noConversion"/>
  </si>
  <si>
    <t>按揭贷款担保</t>
    <phoneticPr fontId="13" type="noConversion"/>
  </si>
  <si>
    <t>122445.SH</t>
    <phoneticPr fontId="13" type="noConversion"/>
  </si>
  <si>
    <t>黄飞</t>
    <phoneticPr fontId="11" type="noConversion"/>
  </si>
  <si>
    <t>黄梦瑶</t>
    <phoneticPr fontId="13" type="noConversion"/>
  </si>
  <si>
    <t>凌知昌</t>
    <phoneticPr fontId="13" type="noConversion"/>
  </si>
  <si>
    <t>实际控制人为孙宏斌；实际控制人持股比例为46.95%。</t>
    <phoneticPr fontId="13" type="noConversion"/>
  </si>
  <si>
    <t>民营企业</t>
    <phoneticPr fontId="13" type="noConversion"/>
  </si>
  <si>
    <t>孙宏斌</t>
    <phoneticPr fontId="13" type="noConversion"/>
  </si>
  <si>
    <t>评级20150828</t>
    <phoneticPr fontId="13" type="noConversion"/>
  </si>
  <si>
    <t>评级20160616</t>
    <phoneticPr fontId="13" type="noConversion"/>
  </si>
  <si>
    <t>评级20150828</t>
    <phoneticPr fontId="13" type="noConversion"/>
  </si>
  <si>
    <t>评级20160616</t>
    <phoneticPr fontId="13" type="noConversion"/>
  </si>
  <si>
    <t>数据缺失</t>
    <phoneticPr fontId="13" type="noConversion"/>
  </si>
  <si>
    <t>截至2015年3月底</t>
    <phoneticPr fontId="13" type="noConversion"/>
  </si>
  <si>
    <t>一线城市占比为59.84%；二线城市占比为40.16%；三线城市占比为0%；四线城市及以下占比为0%</t>
    <phoneticPr fontId="13" type="noConversion"/>
  </si>
  <si>
    <t>截至2015年3月末</t>
    <phoneticPr fontId="13" type="noConversion"/>
  </si>
  <si>
    <t>公司在建项目主要分布在无锡、天津、杭州</t>
    <phoneticPr fontId="13" type="noConversion"/>
  </si>
  <si>
    <t>房地产销售：97.47%</t>
    <phoneticPr fontId="13" type="noConversion"/>
  </si>
  <si>
    <t>募集20150828</t>
    <phoneticPr fontId="13" type="noConversion"/>
  </si>
  <si>
    <t>物业管理及其他：3.79亿元</t>
    <phoneticPr fontId="13" type="noConversion"/>
  </si>
  <si>
    <t>募集20160504</t>
    <phoneticPr fontId="13" type="noConversion"/>
  </si>
  <si>
    <t>瑞华会计师事务所（特殊普通合伙）</t>
    <phoneticPr fontId="13" type="noConversion"/>
  </si>
  <si>
    <t>136589.SH</t>
    <phoneticPr fontId="13" type="noConversion"/>
  </si>
  <si>
    <t>黄飞</t>
    <phoneticPr fontId="11" type="noConversion"/>
  </si>
  <si>
    <t>凌知昌</t>
    <phoneticPr fontId="13" type="noConversion"/>
  </si>
  <si>
    <t>融侨集团股份有限公司</t>
    <phoneticPr fontId="13" type="noConversion"/>
  </si>
  <si>
    <t>评级20160727</t>
    <phoneticPr fontId="13" type="noConversion"/>
  </si>
  <si>
    <t>评级20160727</t>
    <phoneticPr fontId="13" type="noConversion"/>
  </si>
  <si>
    <t>募集20160727</t>
    <phoneticPr fontId="13" type="noConversion"/>
  </si>
  <si>
    <t>计容建筑面积</t>
    <phoneticPr fontId="13" type="noConversion"/>
  </si>
  <si>
    <t>计容建筑面积</t>
    <phoneticPr fontId="13" type="noConversion"/>
  </si>
  <si>
    <t>一线城市占比为3.00%；二线城市占比为49.58%；三线城市占比为32.78%；四线城市及以下占比为14.64%</t>
    <phoneticPr fontId="13" type="noConversion"/>
  </si>
  <si>
    <t>一线城市占比为0；二线城市占比为91.50%；三线城市占比为8.50%；四线城市占比为0.</t>
    <phoneticPr fontId="13" type="noConversion"/>
  </si>
  <si>
    <t>房地产销售：97.12%</t>
    <phoneticPr fontId="13" type="noConversion"/>
  </si>
  <si>
    <t>房地产销售：97.12%</t>
    <phoneticPr fontId="13" type="noConversion"/>
  </si>
  <si>
    <t>物业服务：1.83亿元</t>
    <phoneticPr fontId="13" type="noConversion"/>
  </si>
  <si>
    <t>募集20160727</t>
    <phoneticPr fontId="13" type="noConversion"/>
  </si>
  <si>
    <t>wind</t>
    <phoneticPr fontId="13" type="noConversion"/>
  </si>
  <si>
    <t>评级20160713</t>
    <phoneticPr fontId="13" type="noConversion"/>
  </si>
  <si>
    <t>按揭贷款担保：77.97</t>
    <phoneticPr fontId="13" type="noConversion"/>
  </si>
  <si>
    <t>136158.SH</t>
  </si>
  <si>
    <t>杨凤</t>
    <phoneticPr fontId="13" type="noConversion"/>
  </si>
  <si>
    <t>融信(福建)投资集团有限公司</t>
    <phoneticPr fontId="13" type="noConversion"/>
  </si>
  <si>
    <t>实际控制人为欧宗洪；实际控制人持股比例为100%</t>
    <phoneticPr fontId="13" type="noConversion"/>
  </si>
  <si>
    <t>欧宗洪</t>
    <phoneticPr fontId="13" type="noConversion"/>
  </si>
  <si>
    <t>募集20160114</t>
    <phoneticPr fontId="13" type="noConversion"/>
  </si>
  <si>
    <t>评级20160629</t>
    <phoneticPr fontId="13" type="noConversion"/>
  </si>
  <si>
    <t>募集20160114</t>
    <phoneticPr fontId="13" type="noConversion"/>
  </si>
  <si>
    <t>评级20160629</t>
    <phoneticPr fontId="13" type="noConversion"/>
  </si>
  <si>
    <t>使用母公司排名：融信中国控股有限公司</t>
    <phoneticPr fontId="13" type="noConversion"/>
  </si>
  <si>
    <t>公司的房地产开发资质等级为一级</t>
    <phoneticPr fontId="13" type="noConversion"/>
  </si>
  <si>
    <t xml:space="preserve"> 2015 年内，由于行业景气度不高等原因， 公司认为 2015 年土地市场不够理想， 没有增加新的土地储备</t>
    <phoneticPr fontId="13" type="noConversion"/>
  </si>
  <si>
    <t>评级20160629</t>
    <phoneticPr fontId="13" type="noConversion"/>
  </si>
  <si>
    <t>一线城市土地储备占 20.23%，二线城市土地储备占 54.04%，三线及以下城市土地储备占 25.73%。</t>
    <phoneticPr fontId="13" type="noConversion"/>
  </si>
  <si>
    <t>土地储备面积占比</t>
    <phoneticPr fontId="13" type="noConversion"/>
  </si>
  <si>
    <t>评级20160629</t>
    <phoneticPr fontId="13" type="noConversion"/>
  </si>
  <si>
    <t>一线城市占比为13.62%；二线城市占比为60.09%；三线城市占比为26.29%；四线城市及以下占比为0%</t>
    <phoneticPr fontId="13" type="noConversion"/>
  </si>
  <si>
    <t>房地产销售：100%</t>
    <phoneticPr fontId="13" type="noConversion"/>
  </si>
  <si>
    <t>无物业收入</t>
    <phoneticPr fontId="13" type="noConversion"/>
  </si>
  <si>
    <t>年报2015</t>
    <phoneticPr fontId="13" type="noConversion"/>
  </si>
  <si>
    <t>wind</t>
    <phoneticPr fontId="13" type="noConversion"/>
  </si>
  <si>
    <t>wind</t>
    <phoneticPr fontId="13" type="noConversion"/>
  </si>
  <si>
    <t>wind</t>
    <phoneticPr fontId="13" type="noConversion"/>
  </si>
  <si>
    <t>年报2015</t>
    <phoneticPr fontId="13" type="noConversion"/>
  </si>
  <si>
    <t>wind</t>
    <phoneticPr fontId="13" type="noConversion"/>
  </si>
  <si>
    <t>天健会计师事务所（特殊普通合伙）</t>
    <phoneticPr fontId="13" type="noConversion"/>
  </si>
  <si>
    <t>天健会计师事务所（特殊普通合伙）</t>
    <phoneticPr fontId="13" type="noConversion"/>
  </si>
  <si>
    <t>按揭担保</t>
    <phoneticPr fontId="13" type="noConversion"/>
  </si>
  <si>
    <t>136327.SH</t>
    <phoneticPr fontId="13" type="noConversion"/>
  </si>
  <si>
    <t>凌知昌</t>
    <phoneticPr fontId="13" type="noConversion"/>
  </si>
  <si>
    <t>厦门经济特区房地产开发集团有限公司</t>
    <phoneticPr fontId="13" type="noConversion"/>
  </si>
  <si>
    <t>实际控制人为厦门市人民政府国有资产监督管理委员会；实际控制人持股比例为100%</t>
    <phoneticPr fontId="13" type="noConversion"/>
  </si>
  <si>
    <t>厦门市国有资产监督管理委员会</t>
    <phoneticPr fontId="13" type="noConversion"/>
  </si>
  <si>
    <t>募集20160318</t>
    <phoneticPr fontId="13" type="noConversion"/>
  </si>
  <si>
    <t>评级20160630</t>
    <phoneticPr fontId="13" type="noConversion"/>
  </si>
  <si>
    <t>募集20160318</t>
    <phoneticPr fontId="13" type="noConversion"/>
  </si>
  <si>
    <t>评级20160630</t>
    <phoneticPr fontId="13" type="noConversion"/>
  </si>
  <si>
    <t>评级20160630</t>
    <phoneticPr fontId="13" type="noConversion"/>
  </si>
  <si>
    <t>公司的房地产开发资质等级为一级</t>
  </si>
  <si>
    <t>公司土地储备主要分布在分布在厦门、 漳州和天津</t>
    <phoneticPr fontId="13" type="noConversion"/>
  </si>
  <si>
    <t>数据缺失</t>
    <phoneticPr fontId="13" type="noConversion"/>
  </si>
  <si>
    <t>数据缺失</t>
    <phoneticPr fontId="13" type="noConversion"/>
  </si>
  <si>
    <t>截至到2015年9月末</t>
  </si>
  <si>
    <t>一线城市占比为0%；二线城市占比为42.29%；三线城市占比为57.71%；四线城市及以下占比为0%</t>
    <phoneticPr fontId="13" type="noConversion"/>
  </si>
  <si>
    <t>建筑面积；截至到2015年9月末</t>
  </si>
  <si>
    <t>募集20160318</t>
    <phoneticPr fontId="13" type="noConversion"/>
  </si>
  <si>
    <t>房地产开发占比73.48%；建筑施工占比19.52%</t>
    <phoneticPr fontId="13" type="noConversion"/>
  </si>
  <si>
    <t>物业管理及租赁：1.77亿元</t>
    <phoneticPr fontId="13" type="noConversion"/>
  </si>
  <si>
    <t>年报2015</t>
    <phoneticPr fontId="13" type="noConversion"/>
  </si>
  <si>
    <t>wind</t>
    <phoneticPr fontId="13" type="noConversion"/>
  </si>
  <si>
    <t>年报2015</t>
    <phoneticPr fontId="13" type="noConversion"/>
  </si>
  <si>
    <t>wind</t>
    <phoneticPr fontId="13" type="noConversion"/>
  </si>
  <si>
    <t>刚性债务</t>
    <phoneticPr fontId="13" type="noConversion"/>
  </si>
  <si>
    <t>按揭担保</t>
    <phoneticPr fontId="13" type="noConversion"/>
  </si>
  <si>
    <t>101474004.IB</t>
  </si>
  <si>
    <t>杨凤</t>
    <phoneticPr fontId="13" type="noConversion"/>
  </si>
  <si>
    <t>上海城投控股股份有限公司</t>
  </si>
  <si>
    <t>实际控制人为上海市国有资产监督管理委员会；实际控制人持股比例为45.61%%</t>
    <phoneticPr fontId="13" type="noConversion"/>
  </si>
  <si>
    <t>省级地方国有企业</t>
    <phoneticPr fontId="13" type="noConversion"/>
  </si>
  <si>
    <t>评级20140627</t>
    <phoneticPr fontId="13" type="noConversion"/>
  </si>
  <si>
    <t>评级20160624</t>
    <phoneticPr fontId="13" type="noConversion"/>
  </si>
  <si>
    <t>使用子公司排名：上海城投置地（集团）有限公司</t>
    <phoneticPr fontId="13" type="noConversion"/>
  </si>
  <si>
    <t>子公司资质：置地集团</t>
    <phoneticPr fontId="13" type="noConversion"/>
  </si>
  <si>
    <t>规划计容建筑面
积</t>
    <phoneticPr fontId="13" type="noConversion"/>
  </si>
  <si>
    <t>规划计容建筑面
积</t>
    <phoneticPr fontId="13" type="noConversion"/>
  </si>
  <si>
    <t>一线城市占比为100%；二线城市占比为0；三线城市占比为0；四线城市及以下占比为0</t>
    <phoneticPr fontId="13" type="noConversion"/>
  </si>
  <si>
    <t>评级20160624</t>
    <phoneticPr fontId="13" type="noConversion"/>
  </si>
  <si>
    <t>房产业务：78.87%；承包及设计规划：6.69%</t>
    <phoneticPr fontId="13" type="noConversion"/>
  </si>
  <si>
    <t>无物业收入</t>
    <phoneticPr fontId="13" type="noConversion"/>
  </si>
  <si>
    <t>截至2016年3月末</t>
    <phoneticPr fontId="13" type="noConversion"/>
  </si>
  <si>
    <t>上海城投控股股份有限公司</t>
    <phoneticPr fontId="13" type="noConversion"/>
  </si>
  <si>
    <t>实际控制人为上海市国有资产监督管理委员会；实际控制人持股比例为55.61%</t>
    <phoneticPr fontId="13" type="noConversion"/>
  </si>
  <si>
    <t>省级地方国有企业</t>
    <phoneticPr fontId="13" type="noConversion"/>
  </si>
  <si>
    <t>上海市国有资产监督管理委员会</t>
    <phoneticPr fontId="13" type="noConversion"/>
  </si>
  <si>
    <t>年报2013</t>
    <phoneticPr fontId="13" type="noConversion"/>
  </si>
  <si>
    <t>数据缺失</t>
    <phoneticPr fontId="13" type="noConversion"/>
  </si>
  <si>
    <t>使用子公司排名：上海城投置地（集团）有限公司</t>
    <phoneticPr fontId="13" type="noConversion"/>
  </si>
  <si>
    <t>募集20140414</t>
    <phoneticPr fontId="13" type="noConversion"/>
  </si>
  <si>
    <t>子公司资质：置地集团</t>
    <phoneticPr fontId="13" type="noConversion"/>
  </si>
  <si>
    <t>评级20140627</t>
    <phoneticPr fontId="13" type="noConversion"/>
  </si>
  <si>
    <t>截至 2014 年 3 月末</t>
    <phoneticPr fontId="13" type="noConversion"/>
  </si>
  <si>
    <t>一线城市占比为100%；二线城市占比为0；三线城市占比为0；四线城市及以下占比为0</t>
    <phoneticPr fontId="13" type="noConversion"/>
  </si>
  <si>
    <t>房产业务占比65.25%</t>
    <phoneticPr fontId="13" type="noConversion"/>
  </si>
  <si>
    <t>无物业收入</t>
    <phoneticPr fontId="13" type="noConversion"/>
  </si>
  <si>
    <t>截至2014年3月末</t>
    <phoneticPr fontId="13" type="noConversion"/>
  </si>
  <si>
    <t>136017.SH</t>
  </si>
  <si>
    <t>冯羽</t>
    <phoneticPr fontId="13" type="noConversion"/>
  </si>
  <si>
    <t>上海大名城企业股份有限公司</t>
  </si>
  <si>
    <t>实际控制人为俞培俤；实际控制人持股比例为20.48%</t>
    <phoneticPr fontId="13" type="noConversion"/>
  </si>
  <si>
    <t>俞培俤</t>
  </si>
  <si>
    <t>募集20151102</t>
    <phoneticPr fontId="13" type="noConversion"/>
  </si>
  <si>
    <t>募集20151102</t>
    <phoneticPr fontId="13" type="noConversion"/>
  </si>
  <si>
    <t>募集20151102</t>
    <phoneticPr fontId="13" type="noConversion"/>
  </si>
  <si>
    <t>公司具有一级开发资质</t>
    <phoneticPr fontId="13" type="noConversion"/>
  </si>
  <si>
    <t>评级20151102</t>
    <phoneticPr fontId="13" type="noConversion"/>
  </si>
  <si>
    <t>数据缺失</t>
    <phoneticPr fontId="13" type="noConversion"/>
  </si>
  <si>
    <t>公司土地储备主要分布在福州和兰州</t>
    <phoneticPr fontId="13" type="noConversion"/>
  </si>
  <si>
    <t>评级20151102</t>
    <phoneticPr fontId="13" type="noConversion"/>
  </si>
  <si>
    <t>施工面积-竣工面积</t>
    <phoneticPr fontId="13" type="noConversion"/>
  </si>
  <si>
    <t>公司在建项目主要分布在福州和兰州</t>
    <phoneticPr fontId="13" type="noConversion"/>
  </si>
  <si>
    <t>房地产开发占比96.36%</t>
    <phoneticPr fontId="13" type="noConversion"/>
  </si>
  <si>
    <t>评级20151102</t>
    <phoneticPr fontId="13" type="noConversion"/>
  </si>
  <si>
    <t>评级20151102</t>
    <phoneticPr fontId="13" type="noConversion"/>
  </si>
  <si>
    <t>wind</t>
    <phoneticPr fontId="13" type="noConversion"/>
  </si>
  <si>
    <t>天职国际会计师事务所（特殊普通合伙）</t>
  </si>
  <si>
    <t>年报2014</t>
    <phoneticPr fontId="13" type="noConversion"/>
  </si>
  <si>
    <t>122333.SH</t>
  </si>
  <si>
    <t>上海嘉宝实业(集团)股份有限公司</t>
  </si>
  <si>
    <t>上海市嘉定区国资委</t>
    <phoneticPr fontId="13" type="noConversion"/>
  </si>
  <si>
    <t>评级20160608</t>
    <phoneticPr fontId="13" type="noConversion"/>
  </si>
  <si>
    <t>评级20141021</t>
    <phoneticPr fontId="13" type="noConversion"/>
  </si>
  <si>
    <t>评级20160608</t>
    <phoneticPr fontId="13" type="noConversion"/>
  </si>
  <si>
    <t>一级</t>
    <phoneticPr fontId="13" type="noConversion"/>
  </si>
  <si>
    <t>公司未新增土地储备</t>
    <phoneticPr fontId="13" type="noConversion"/>
  </si>
  <si>
    <t>评级20160608</t>
    <phoneticPr fontId="13" type="noConversion"/>
  </si>
  <si>
    <t>一线城市占比为100%;二线城市占比为0；三线城市占比为0；四线及以下城市占比为0.</t>
    <phoneticPr fontId="13" type="noConversion"/>
  </si>
  <si>
    <t>一线城市占比为53.56%；二线城市占比为0；三线城市占比为46.44%;四线及以下城市占比为0.</t>
    <phoneticPr fontId="13" type="noConversion"/>
  </si>
  <si>
    <t>房地产开发业务：96.27%</t>
    <phoneticPr fontId="13" type="noConversion"/>
  </si>
  <si>
    <t>物业出租收入：0.45亿元</t>
    <phoneticPr fontId="13" type="noConversion"/>
  </si>
  <si>
    <t>众华会计师事务所（特殊普通合伙）</t>
  </si>
  <si>
    <t>上海嘉宝实业(集团)股份有限公司</t>
    <phoneticPr fontId="13" type="noConversion"/>
  </si>
  <si>
    <t xml:space="preserve">http://www.phbang.cn/finance/corporation/141594.html </t>
  </si>
  <si>
    <t>公司土地储备主要分布在上海地区</t>
    <phoneticPr fontId="13" type="noConversion"/>
  </si>
  <si>
    <t>评级20141021</t>
    <phoneticPr fontId="13" type="noConversion"/>
  </si>
  <si>
    <t>数据缺失</t>
    <phoneticPr fontId="13" type="noConversion"/>
  </si>
  <si>
    <t>公司在建项目主要分布在上海地区</t>
    <phoneticPr fontId="13" type="noConversion"/>
  </si>
  <si>
    <t>房地产业：80.51%</t>
    <phoneticPr fontId="13" type="noConversion"/>
  </si>
  <si>
    <t>物业服务：0.54</t>
    <phoneticPr fontId="13" type="noConversion"/>
  </si>
  <si>
    <t>wind</t>
    <phoneticPr fontId="13" type="noConversion"/>
  </si>
  <si>
    <t>年报2013</t>
    <phoneticPr fontId="13" type="noConversion"/>
  </si>
  <si>
    <t>众华会计师事务所（特殊普通合伙）</t>
    <phoneticPr fontId="13" type="noConversion"/>
  </si>
  <si>
    <t>122525.SH</t>
  </si>
  <si>
    <t>上海嘉定工业区开发(集团)有限公司</t>
    <phoneticPr fontId="13" type="noConversion"/>
  </si>
  <si>
    <t>房地产业务的收入占比小于50%；评级20160829</t>
    <phoneticPr fontId="13" type="noConversion"/>
  </si>
  <si>
    <t>上海嘉定工业区开发(集团)有限公司</t>
  </si>
  <si>
    <t>否</t>
    <phoneticPr fontId="13" type="noConversion"/>
  </si>
  <si>
    <t>房地产业务的收入占比小于50%；评级20160829</t>
    <phoneticPr fontId="13" type="noConversion"/>
  </si>
  <si>
    <t>101658058.IB</t>
    <phoneticPr fontId="13" type="noConversion"/>
  </si>
  <si>
    <t>上海新黄浦置业股份有限公司</t>
    <phoneticPr fontId="13" type="noConversion"/>
  </si>
  <si>
    <t>实际控制人为北京市人民政府；实际控制人持股比例为20.23%</t>
    <phoneticPr fontId="13" type="noConversion"/>
  </si>
  <si>
    <t>北京市人民政府</t>
    <phoneticPr fontId="13" type="noConversion"/>
  </si>
  <si>
    <t>募集20160930</t>
    <phoneticPr fontId="13" type="noConversion"/>
  </si>
  <si>
    <t>募集20160930</t>
    <phoneticPr fontId="13" type="noConversion"/>
  </si>
  <si>
    <t>发行人为住建部批准的一级房地产开发企业</t>
  </si>
  <si>
    <t>无土地储备</t>
    <phoneticPr fontId="13" type="noConversion"/>
  </si>
  <si>
    <t>数据缺失</t>
    <phoneticPr fontId="13" type="noConversion"/>
  </si>
  <si>
    <t>总开工面积</t>
    <phoneticPr fontId="13" type="noConversion"/>
  </si>
  <si>
    <t>评级20160930</t>
    <phoneticPr fontId="13" type="noConversion"/>
  </si>
  <si>
    <t>一线城市占比为62.90%；二线城市占比为0；三线城市占比为37.10%;四线及以下城市占比为0.</t>
    <phoneticPr fontId="13" type="noConversion"/>
  </si>
  <si>
    <t>房地产业务：91.69%</t>
    <phoneticPr fontId="13" type="noConversion"/>
  </si>
  <si>
    <t>财报2015</t>
    <phoneticPr fontId="13" type="noConversion"/>
  </si>
  <si>
    <t>物业收入：1.01</t>
    <phoneticPr fontId="13" type="noConversion"/>
  </si>
  <si>
    <t>wind</t>
    <phoneticPr fontId="13" type="noConversion"/>
  </si>
  <si>
    <t>立信会计师事务所（特殊普通合伙）</t>
    <phoneticPr fontId="13" type="noConversion"/>
  </si>
  <si>
    <t>黄梦瑶</t>
    <phoneticPr fontId="13" type="noConversion"/>
  </si>
  <si>
    <t>上海新黄浦置业股份有限公司</t>
    <phoneticPr fontId="13" type="noConversion"/>
  </si>
  <si>
    <t>北京市人民政府</t>
    <phoneticPr fontId="13" type="noConversion"/>
  </si>
  <si>
    <t>评级20140610</t>
    <phoneticPr fontId="13" type="noConversion"/>
  </si>
  <si>
    <t xml:space="preserve">http://www.phbang.cn/finance/corporation/141594.html </t>
    <phoneticPr fontId="13" type="noConversion"/>
  </si>
  <si>
    <t>该公司是一家以房地产综合开发为主业的上市公司，具有国家住房与城乡建设部核发的房地产开发一级资质</t>
    <phoneticPr fontId="13" type="noConversion"/>
  </si>
  <si>
    <t>评级20140610</t>
    <phoneticPr fontId="13" type="noConversion"/>
  </si>
  <si>
    <t>无土地储备</t>
    <phoneticPr fontId="13" type="noConversion"/>
  </si>
  <si>
    <t>评级20140610</t>
    <phoneticPr fontId="13" type="noConversion"/>
  </si>
  <si>
    <t>评级20140610</t>
    <phoneticPr fontId="13" type="noConversion"/>
  </si>
  <si>
    <t>一线城市占比为92.83%；二线城市占比为0；三线城市占比为7.17%;四线城市占比为0.</t>
    <phoneticPr fontId="13" type="noConversion"/>
  </si>
  <si>
    <t>房地产业务：88.05%</t>
    <phoneticPr fontId="13" type="noConversion"/>
  </si>
  <si>
    <t>财报2013</t>
    <phoneticPr fontId="13" type="noConversion"/>
  </si>
  <si>
    <t>物业租赁：1.03亿元</t>
    <phoneticPr fontId="13" type="noConversion"/>
  </si>
  <si>
    <t>财报2013</t>
    <phoneticPr fontId="13" type="noConversion"/>
  </si>
  <si>
    <t>wind</t>
    <phoneticPr fontId="13" type="noConversion"/>
  </si>
  <si>
    <t>截至2014年3月末</t>
    <phoneticPr fontId="13" type="noConversion"/>
  </si>
  <si>
    <t>评级20140609</t>
    <phoneticPr fontId="13" type="noConversion"/>
  </si>
  <si>
    <t>评级20140609</t>
    <phoneticPr fontId="13" type="noConversion"/>
  </si>
  <si>
    <t>评级20140609</t>
    <phoneticPr fontId="13" type="noConversion"/>
  </si>
  <si>
    <t>评级20140609</t>
    <phoneticPr fontId="13" type="noConversion"/>
  </si>
  <si>
    <t>立信会计师事务所（特殊普通合伙）</t>
    <phoneticPr fontId="13" type="noConversion"/>
  </si>
  <si>
    <t>立信会计师事务所（特殊普通合伙）</t>
    <phoneticPr fontId="13" type="noConversion"/>
  </si>
  <si>
    <t>财报2013</t>
    <phoneticPr fontId="13" type="noConversion"/>
  </si>
  <si>
    <t>136462.SH</t>
    <phoneticPr fontId="13" type="noConversion"/>
  </si>
  <si>
    <t>上海市漕河泾新兴技术开发区发展总公司</t>
    <phoneticPr fontId="13" type="noConversion"/>
  </si>
  <si>
    <t>实际控制人为上海市国资委；实际控制人持股比例为47.08%</t>
    <phoneticPr fontId="13" type="noConversion"/>
  </si>
  <si>
    <t>上海市国资委</t>
    <phoneticPr fontId="13" type="noConversion"/>
  </si>
  <si>
    <t>募集20150504</t>
    <phoneticPr fontId="13" type="noConversion"/>
  </si>
  <si>
    <t>评级20150630</t>
    <phoneticPr fontId="13" type="noConversion"/>
  </si>
  <si>
    <t>公司拥有房地产开发一级资质</t>
    <phoneticPr fontId="13" type="noConversion"/>
  </si>
  <si>
    <t>评级20150630</t>
    <phoneticPr fontId="13" type="noConversion"/>
  </si>
  <si>
    <t>一线城市占比为100%;二线城市占比为0；三线城市占比为0；四线及以下城市占比为0.</t>
  </si>
  <si>
    <t>房地产业务：67.42%</t>
    <phoneticPr fontId="13" type="noConversion"/>
  </si>
  <si>
    <t>年报2014</t>
    <phoneticPr fontId="13" type="noConversion"/>
  </si>
  <si>
    <t>物业收入：14.68亿元</t>
    <phoneticPr fontId="13" type="noConversion"/>
  </si>
  <si>
    <t>wind</t>
    <phoneticPr fontId="13" type="noConversion"/>
  </si>
  <si>
    <t>截至2015年3月末</t>
    <phoneticPr fontId="13" type="noConversion"/>
  </si>
  <si>
    <t>截至2015年3月份</t>
    <phoneticPr fontId="13" type="noConversion"/>
  </si>
  <si>
    <t>评级20150630</t>
    <phoneticPr fontId="13" type="noConversion"/>
  </si>
  <si>
    <t>年报2014</t>
    <phoneticPr fontId="13" type="noConversion"/>
  </si>
  <si>
    <t>wind</t>
    <phoneticPr fontId="13" type="noConversion"/>
  </si>
  <si>
    <t>136462.SH</t>
    <phoneticPr fontId="13" type="noConversion"/>
  </si>
  <si>
    <t>黄飞</t>
    <phoneticPr fontId="11" type="noConversion"/>
  </si>
  <si>
    <t>上海市漕河泾新兴技术开发区发展总公司</t>
    <phoneticPr fontId="13" type="noConversion"/>
  </si>
  <si>
    <t>募集20140416</t>
    <phoneticPr fontId="13" type="noConversion"/>
  </si>
  <si>
    <t>实际控制人持股比例大于20%且51%</t>
  </si>
  <si>
    <t>评级20140703</t>
    <phoneticPr fontId="13" type="noConversion"/>
  </si>
  <si>
    <t>未上榜</t>
    <phoneticPr fontId="13" type="noConversion"/>
  </si>
  <si>
    <t>房地产业务：72.83%；建筑;0.47%</t>
    <phoneticPr fontId="13" type="noConversion"/>
  </si>
  <si>
    <t>房地产业务：72.83%；建筑;0.47%</t>
    <phoneticPr fontId="13" type="noConversion"/>
  </si>
  <si>
    <t>物业收入：8.23亿元</t>
    <phoneticPr fontId="13" type="noConversion"/>
  </si>
  <si>
    <t>年报2013</t>
    <phoneticPr fontId="13" type="noConversion"/>
  </si>
  <si>
    <t xml:space="preserve">wind </t>
    <phoneticPr fontId="13" type="noConversion"/>
  </si>
  <si>
    <t xml:space="preserve">wind </t>
    <phoneticPr fontId="13" type="noConversion"/>
  </si>
  <si>
    <t>评级20140703</t>
    <phoneticPr fontId="13" type="noConversion"/>
  </si>
  <si>
    <t>众华会计师事务所（特殊普通合伙）</t>
    <phoneticPr fontId="13" type="noConversion"/>
  </si>
  <si>
    <t>101351011.IB</t>
  </si>
  <si>
    <t>上海金桥(集团)有限公司</t>
    <phoneticPr fontId="13" type="noConversion"/>
  </si>
  <si>
    <t>实际控制人为上海市浦东新区国有资产监督管理委员会；实际控制人持股比例为100%</t>
    <phoneticPr fontId="13" type="noConversion"/>
  </si>
  <si>
    <t>其他国有企业</t>
    <phoneticPr fontId="13" type="noConversion"/>
  </si>
  <si>
    <t>上海市浦东新区国有资产监督管理委员会</t>
  </si>
  <si>
    <t>评级20150619</t>
    <phoneticPr fontId="13" type="noConversion"/>
  </si>
  <si>
    <t>评级20150619</t>
    <phoneticPr fontId="13" type="noConversion"/>
  </si>
  <si>
    <t>数据缺失</t>
    <phoneticPr fontId="13" type="noConversion"/>
  </si>
  <si>
    <t>使用子公司排名：上海金桥出口加工区开发股份有限公司</t>
    <phoneticPr fontId="13" type="noConversion"/>
  </si>
  <si>
    <t>公司土地储备主要分布在上海</t>
    <phoneticPr fontId="13" type="noConversion"/>
  </si>
  <si>
    <t>公司在建项目主要分布在上海</t>
    <phoneticPr fontId="13" type="noConversion"/>
  </si>
  <si>
    <t>房地产收入：67.4%</t>
    <phoneticPr fontId="13" type="noConversion"/>
  </si>
  <si>
    <t>评级20150619</t>
    <phoneticPr fontId="13" type="noConversion"/>
  </si>
  <si>
    <t>物业：10.85亿元</t>
    <phoneticPr fontId="13" type="noConversion"/>
  </si>
  <si>
    <t>年报2014</t>
    <phoneticPr fontId="13" type="noConversion"/>
  </si>
  <si>
    <t>德勤华永会计师事务所（特殊普通合伙）</t>
    <phoneticPr fontId="13" type="noConversion"/>
  </si>
  <si>
    <t>122338.SH</t>
  </si>
  <si>
    <t>冯羽</t>
    <phoneticPr fontId="13" type="noConversion"/>
  </si>
  <si>
    <t>杨凤</t>
    <phoneticPr fontId="13" type="noConversion"/>
  </si>
  <si>
    <t>凌知昌</t>
    <phoneticPr fontId="13" type="noConversion"/>
  </si>
  <si>
    <t>上海金桥出口加工区开发股份有限公司</t>
    <phoneticPr fontId="13" type="noConversion"/>
  </si>
  <si>
    <t>实际控制人为上海市浦东新区国有资产监督管理委员会；实际控制人持股比例为49.37%</t>
    <phoneticPr fontId="13" type="noConversion"/>
  </si>
  <si>
    <t>其他国有企业</t>
    <phoneticPr fontId="13" type="noConversion"/>
  </si>
  <si>
    <t>评级20160604</t>
    <phoneticPr fontId="13" type="noConversion"/>
  </si>
  <si>
    <t>评级20160604</t>
    <phoneticPr fontId="13" type="noConversion"/>
  </si>
  <si>
    <t>数据缺失</t>
    <phoneticPr fontId="13" type="noConversion"/>
  </si>
  <si>
    <t>公司在建项目主要分布在上海</t>
    <phoneticPr fontId="13" type="noConversion"/>
  </si>
  <si>
    <t>房地产销售及租赁;92.18%</t>
    <phoneticPr fontId="13" type="noConversion"/>
  </si>
  <si>
    <t>房地产租赁：11.71202103亿元</t>
    <phoneticPr fontId="13" type="noConversion"/>
  </si>
  <si>
    <t>截至2015年3月底</t>
  </si>
  <si>
    <t>1280151.IB</t>
  </si>
  <si>
    <t>杨凤</t>
    <phoneticPr fontId="13" type="noConversion"/>
  </si>
  <si>
    <t>凌知昌</t>
    <phoneticPr fontId="13" type="noConversion"/>
  </si>
  <si>
    <t>上海地产(集团)有限公司</t>
    <phoneticPr fontId="13" type="noConversion"/>
  </si>
  <si>
    <t>实际控制人为上海市国有资产监督管理委员会；实际控制人持股比例为100%</t>
    <phoneticPr fontId="13" type="noConversion"/>
  </si>
  <si>
    <t>评级20161223</t>
    <phoneticPr fontId="13" type="noConversion"/>
  </si>
  <si>
    <t>数据缺失</t>
    <phoneticPr fontId="13" type="noConversion"/>
  </si>
  <si>
    <t>数据缺失</t>
    <phoneticPr fontId="13" type="noConversion"/>
  </si>
  <si>
    <t>评级20161223</t>
    <phoneticPr fontId="13" type="noConversion"/>
  </si>
  <si>
    <t>使用子公司排名：上海中星（集团）有限公司</t>
    <phoneticPr fontId="13" type="noConversion"/>
  </si>
  <si>
    <t>公司具有一级开发资质</t>
    <phoneticPr fontId="13" type="noConversion"/>
  </si>
  <si>
    <t>评级20150703</t>
    <phoneticPr fontId="13" type="noConversion"/>
  </si>
  <si>
    <t>使用子公司排名：上海中星（集团）有限公司</t>
    <phoneticPr fontId="13" type="noConversion"/>
  </si>
  <si>
    <t>一线城市占比为86.8%；二线城市占比为10.28%；三线城市占比为2.91%；四线城市及以下占比为0%</t>
    <phoneticPr fontId="13" type="noConversion"/>
  </si>
  <si>
    <t>房地产业：60.64%  建筑材料销售：19.54%</t>
    <phoneticPr fontId="13" type="noConversion"/>
  </si>
  <si>
    <t>物业租赁：15.87亿元</t>
    <phoneticPr fontId="13" type="noConversion"/>
  </si>
  <si>
    <t>wind</t>
    <phoneticPr fontId="13" type="noConversion"/>
  </si>
  <si>
    <t>财报2015</t>
    <phoneticPr fontId="13" type="noConversion"/>
  </si>
  <si>
    <t>wind</t>
    <phoneticPr fontId="13" type="noConversion"/>
  </si>
  <si>
    <t>评级20161223</t>
    <phoneticPr fontId="13" type="noConversion"/>
  </si>
  <si>
    <t>立信会计师事务所（特殊普通合伙）</t>
    <phoneticPr fontId="13" type="noConversion"/>
  </si>
  <si>
    <t>101570001.IB</t>
  </si>
  <si>
    <t>黄飞</t>
    <phoneticPr fontId="11" type="noConversion"/>
  </si>
  <si>
    <t>黄梦瑶</t>
    <phoneticPr fontId="13" type="noConversion"/>
  </si>
  <si>
    <t>凌知昌</t>
    <phoneticPr fontId="13" type="noConversion"/>
  </si>
  <si>
    <t>上海帝泰发展有限公司</t>
  </si>
  <si>
    <t>实际控制人为谢国民及其兄弟；实际控制人持股比例为31.08%</t>
    <phoneticPr fontId="13" type="noConversion"/>
  </si>
  <si>
    <t>谢国民及其兄弟</t>
    <phoneticPr fontId="13" type="noConversion"/>
  </si>
  <si>
    <t>评级20160727</t>
    <phoneticPr fontId="13" type="noConversion"/>
  </si>
  <si>
    <t>数据缺失</t>
    <phoneticPr fontId="13" type="noConversion"/>
  </si>
  <si>
    <t>公司拟建项目分布在昆山、汕头</t>
    <phoneticPr fontId="13" type="noConversion"/>
  </si>
  <si>
    <t>公司在建项目分布在合肥、洛阳</t>
    <phoneticPr fontId="13" type="noConversion"/>
  </si>
  <si>
    <t>评级20161024</t>
    <phoneticPr fontId="13" type="noConversion"/>
  </si>
  <si>
    <t>房地产收入：81.07%</t>
    <phoneticPr fontId="13" type="noConversion"/>
  </si>
  <si>
    <t>物业租赁及管理：6.85亿元</t>
    <phoneticPr fontId="13" type="noConversion"/>
  </si>
  <si>
    <t>毕马威华振会计师事务所（特殊普通合伙）</t>
    <phoneticPr fontId="13" type="noConversion"/>
  </si>
  <si>
    <t>评级20161024</t>
    <phoneticPr fontId="13" type="noConversion"/>
  </si>
  <si>
    <t>截至2016年3月末</t>
    <phoneticPr fontId="13" type="noConversion"/>
  </si>
  <si>
    <t>136214.SH</t>
  </si>
  <si>
    <t>上海实业发展股份有限公司</t>
    <phoneticPr fontId="13" type="noConversion"/>
  </si>
  <si>
    <t>实际控制人为上海市国有资产监督管理委员会；实际控制人持股比例为37.73%</t>
    <phoneticPr fontId="13" type="noConversion"/>
  </si>
  <si>
    <t>评级20150605</t>
    <phoneticPr fontId="13" type="noConversion"/>
  </si>
  <si>
    <t>评级20150605</t>
    <phoneticPr fontId="13" type="noConversion"/>
  </si>
  <si>
    <t>http://www.phbang.cn/finance/corporation/141594.html</t>
    <phoneticPr fontId="13" type="noConversion"/>
  </si>
  <si>
    <t>使用子公司排名：上海实业城市开发集团有限公司</t>
    <phoneticPr fontId="13" type="noConversion"/>
  </si>
  <si>
    <t>一级</t>
    <phoneticPr fontId="13" type="noConversion"/>
  </si>
  <si>
    <t>公司具有国家建设部批准的一级房地产开发资质，但是主要采取公开招标的方式聘用独立承包商为项目提供策划、勘察、设计、施工、监理等各项服务.</t>
    <phoneticPr fontId="13" type="noConversion"/>
  </si>
  <si>
    <t>http://219.142.101.72/showcorpinfo/showcorpinfo.aspx</t>
    <phoneticPr fontId="13" type="noConversion"/>
  </si>
  <si>
    <t>数据缺失</t>
    <phoneticPr fontId="13" type="noConversion"/>
  </si>
  <si>
    <t>开复工面积</t>
    <phoneticPr fontId="13" type="noConversion"/>
  </si>
  <si>
    <t>房地产业务占比99.64%</t>
    <phoneticPr fontId="13" type="noConversion"/>
  </si>
  <si>
    <t>年报2013</t>
    <phoneticPr fontId="13" type="noConversion"/>
  </si>
  <si>
    <t>物业租赁及管理：2.45亿元</t>
    <phoneticPr fontId="13" type="noConversion"/>
  </si>
  <si>
    <t>wind</t>
    <phoneticPr fontId="13" type="noConversion"/>
  </si>
  <si>
    <t>上会会计师事务所（特殊普通合伙）</t>
  </si>
  <si>
    <t>按揭担保</t>
    <phoneticPr fontId="13" type="noConversion"/>
  </si>
  <si>
    <t>101654010.IB</t>
  </si>
  <si>
    <t>冯羽</t>
    <phoneticPr fontId="13" type="noConversion"/>
  </si>
  <si>
    <t>杨凤</t>
    <phoneticPr fontId="13" type="noConversion"/>
  </si>
  <si>
    <t>凌知昌</t>
    <phoneticPr fontId="13" type="noConversion"/>
  </si>
  <si>
    <t>上海世博发展(集团)有限公司</t>
    <phoneticPr fontId="13" type="noConversion"/>
  </si>
  <si>
    <t>实际控制人为上海市国有资产监督管理委员会；实际控制人持股比例为100%</t>
    <phoneticPr fontId="13" type="noConversion"/>
  </si>
  <si>
    <t>省级地方国有企业</t>
    <phoneticPr fontId="13" type="noConversion"/>
  </si>
  <si>
    <t>评级20160725</t>
    <phoneticPr fontId="13" type="noConversion"/>
  </si>
  <si>
    <t>未上榜</t>
    <phoneticPr fontId="13" type="noConversion"/>
  </si>
  <si>
    <t>公司土地储备分布在上海</t>
    <phoneticPr fontId="13" type="noConversion"/>
  </si>
  <si>
    <t>公司在建项目分布在上海</t>
    <phoneticPr fontId="13" type="noConversion"/>
  </si>
  <si>
    <t>场地租赁占比62.48%；物业管理占比19.27%</t>
    <phoneticPr fontId="13" type="noConversion"/>
  </si>
  <si>
    <t>物业及租赁：4.52亿元</t>
    <phoneticPr fontId="13" type="noConversion"/>
  </si>
  <si>
    <t>年报2015</t>
    <phoneticPr fontId="13" type="noConversion"/>
  </si>
  <si>
    <t>东财</t>
    <phoneticPr fontId="13" type="noConversion"/>
  </si>
  <si>
    <t>截至2015年9月末</t>
    <phoneticPr fontId="13" type="noConversion"/>
  </si>
  <si>
    <t>评级201560725</t>
    <phoneticPr fontId="13" type="noConversion"/>
  </si>
  <si>
    <t>136528.SH</t>
  </si>
  <si>
    <t>上海世茂股份有限公司</t>
    <phoneticPr fontId="13" type="noConversion"/>
  </si>
  <si>
    <t>实际控制人为许荣茂；实际控制人持股比例为41.67%</t>
    <phoneticPr fontId="13" type="noConversion"/>
  </si>
  <si>
    <t>民营企业</t>
    <phoneticPr fontId="13" type="noConversion"/>
  </si>
  <si>
    <t>许荣茂</t>
  </si>
  <si>
    <t>年报2014</t>
    <phoneticPr fontId="13" type="noConversion"/>
  </si>
  <si>
    <t>评级20150703</t>
    <phoneticPr fontId="13" type="noConversion"/>
  </si>
  <si>
    <t>评级20150703</t>
    <phoneticPr fontId="13" type="noConversion"/>
  </si>
  <si>
    <t>评级20150703</t>
  </si>
  <si>
    <t>评级20150703</t>
    <phoneticPr fontId="13" type="noConversion"/>
  </si>
  <si>
    <t>使用母公司排名：世茂房地产控股有限公司</t>
  </si>
  <si>
    <t>一线城市占比为0；二线城市占比为84.62%；三线城市占比为15.38%；四线城市及以下占比为0</t>
    <phoneticPr fontId="13" type="noConversion"/>
  </si>
  <si>
    <t>一线城市占比为3.63%；二线城市占比为53.15%；三线城市占比为32.7%；四线城市及以下占比为10.52%</t>
    <phoneticPr fontId="13" type="noConversion"/>
  </si>
  <si>
    <t>房地产销售：91.95%</t>
    <phoneticPr fontId="13" type="noConversion"/>
  </si>
  <si>
    <t>房地产销售：91.95%</t>
    <phoneticPr fontId="13" type="noConversion"/>
  </si>
  <si>
    <t>物业管理及房地产租赁：5.88亿元</t>
    <phoneticPr fontId="13" type="noConversion"/>
  </si>
  <si>
    <t>年报2014</t>
    <phoneticPr fontId="13" type="noConversion"/>
  </si>
  <si>
    <t>wind</t>
    <phoneticPr fontId="13" type="noConversion"/>
  </si>
  <si>
    <t>按揭担保：46.78亿元</t>
    <phoneticPr fontId="13" type="noConversion"/>
  </si>
  <si>
    <t>冯羽</t>
    <phoneticPr fontId="13" type="noConversion"/>
  </si>
  <si>
    <t>杨凤</t>
    <phoneticPr fontId="13" type="noConversion"/>
  </si>
  <si>
    <t>实际控制人为许荣茂；实际控制人持股比例为41.41%</t>
    <phoneticPr fontId="13" type="noConversion"/>
  </si>
  <si>
    <t>民营企业</t>
    <phoneticPr fontId="13" type="noConversion"/>
  </si>
  <si>
    <t>评级20150703</t>
    <phoneticPr fontId="13" type="noConversion"/>
  </si>
  <si>
    <t>评级20140403</t>
    <phoneticPr fontId="13" type="noConversion"/>
  </si>
  <si>
    <t>使用母公司排名：世茂房地产控股有限公司</t>
    <phoneticPr fontId="13" type="noConversion"/>
  </si>
  <si>
    <t>评级20140815</t>
    <phoneticPr fontId="13" type="noConversion"/>
  </si>
  <si>
    <t>一线城市占比为0；二线城市占比为83.49%；三线城市占比为16.51%；四线城市及以下占比为0</t>
    <phoneticPr fontId="13" type="noConversion"/>
  </si>
  <si>
    <t>拟建项目</t>
    <phoneticPr fontId="13" type="noConversion"/>
  </si>
  <si>
    <t>评级20140815</t>
    <phoneticPr fontId="13" type="noConversion"/>
  </si>
  <si>
    <t>一线城市占比为3.73%；二线城市占比为56.12%；三线城市占比为29.38%；四线城市及以下占比为10.77%</t>
    <phoneticPr fontId="13" type="noConversion"/>
  </si>
  <si>
    <t>评级20140815</t>
    <phoneticPr fontId="13" type="noConversion"/>
  </si>
  <si>
    <t>房地产销售：92.37%</t>
    <phoneticPr fontId="13" type="noConversion"/>
  </si>
  <si>
    <t>物业管理及房地产租赁：4.03亿元</t>
    <phoneticPr fontId="13" type="noConversion"/>
  </si>
  <si>
    <t>年报2013</t>
    <phoneticPr fontId="13" type="noConversion"/>
  </si>
  <si>
    <t>募集20140815</t>
    <phoneticPr fontId="13" type="noConversion"/>
  </si>
  <si>
    <t>wind</t>
    <phoneticPr fontId="13" type="noConversion"/>
  </si>
  <si>
    <t>募集20140815</t>
    <phoneticPr fontId="13" type="noConversion"/>
  </si>
  <si>
    <t>截至2014年3月底</t>
    <phoneticPr fontId="13" type="noConversion"/>
  </si>
  <si>
    <t>评级20140815</t>
  </si>
  <si>
    <t>年报2013</t>
    <phoneticPr fontId="13" type="noConversion"/>
  </si>
  <si>
    <t>按揭贷款担保：24.590139亿元</t>
    <phoneticPr fontId="13" type="noConversion"/>
  </si>
  <si>
    <t>122496.SH</t>
  </si>
  <si>
    <t>冯羽</t>
    <phoneticPr fontId="13" type="noConversion"/>
  </si>
  <si>
    <t>凌知昌</t>
    <phoneticPr fontId="13" type="noConversion"/>
  </si>
  <si>
    <t>上海世茂建设有限公司</t>
  </si>
  <si>
    <t>实际控制人为许荣茂；实际控制人持股比例为65.96%</t>
    <phoneticPr fontId="13" type="noConversion"/>
  </si>
  <si>
    <t>评级20160701</t>
    <phoneticPr fontId="13" type="noConversion"/>
  </si>
  <si>
    <t>评级20160701</t>
    <phoneticPr fontId="13" type="noConversion"/>
  </si>
  <si>
    <t>暂定</t>
    <phoneticPr fontId="13" type="noConversion"/>
  </si>
  <si>
    <t>募集20151014</t>
    <phoneticPr fontId="13" type="noConversion"/>
  </si>
  <si>
    <t>数据缺失</t>
    <phoneticPr fontId="13" type="noConversion"/>
  </si>
  <si>
    <t>权益后计容建筑面积</t>
    <phoneticPr fontId="13" type="noConversion"/>
  </si>
  <si>
    <t>2015 年末共有约 3,299 万平方米（权益后） 的优质土地，且主要集中于长三角、福建及华北等区域的一、二线城市。</t>
    <phoneticPr fontId="13" type="noConversion"/>
  </si>
  <si>
    <t>公司在建项目主要分布在上海、北京、天津、苏州、南京、合肥、南昌、西安、成都、青岛等一线及二线核心城市。</t>
    <phoneticPr fontId="13" type="noConversion"/>
  </si>
  <si>
    <t>房地产销售占比87.88%；物业管理占比4.45%</t>
    <phoneticPr fontId="13" type="noConversion"/>
  </si>
  <si>
    <t>物业管理：6.56亿元</t>
    <phoneticPr fontId="13" type="noConversion"/>
  </si>
  <si>
    <t>年报2015</t>
    <phoneticPr fontId="13" type="noConversion"/>
  </si>
  <si>
    <t>财报2015</t>
    <phoneticPr fontId="13" type="noConversion"/>
  </si>
  <si>
    <t>立信会计师事务所（特殊普通合伙）</t>
    <phoneticPr fontId="13" type="noConversion"/>
  </si>
  <si>
    <t>按揭贷款</t>
    <phoneticPr fontId="13" type="noConversion"/>
  </si>
  <si>
    <t>实际控制人为许荣茂；实际控制人持股比例为64.99%</t>
    <phoneticPr fontId="13" type="noConversion"/>
  </si>
  <si>
    <t>评级20151026</t>
    <phoneticPr fontId="13" type="noConversion"/>
  </si>
  <si>
    <t>评级20151026</t>
    <phoneticPr fontId="13" type="noConversion"/>
  </si>
  <si>
    <t>使用母公司排名：世茂房地产控股有限公司</t>
    <phoneticPr fontId="13" type="noConversion"/>
  </si>
  <si>
    <t>暂定</t>
    <phoneticPr fontId="13" type="noConversion"/>
  </si>
  <si>
    <t>主要集中于长三角、福建及环渤海等区域的一、二线城市。</t>
    <phoneticPr fontId="13" type="noConversion"/>
  </si>
  <si>
    <t>评级20151026</t>
    <phoneticPr fontId="13" type="noConversion"/>
  </si>
  <si>
    <t>公司在建项目主要分布在大连、大厂、武汉、青岛、成都及天津等发展潜
力较大城市。</t>
    <phoneticPr fontId="13" type="noConversion"/>
  </si>
  <si>
    <t>房地产销售占比89.66%；物业管理占比4.56%</t>
    <phoneticPr fontId="13" type="noConversion"/>
  </si>
  <si>
    <t>物业管理：5.09亿元</t>
    <phoneticPr fontId="13" type="noConversion"/>
  </si>
  <si>
    <t>募集20151014</t>
    <phoneticPr fontId="13" type="noConversion"/>
  </si>
  <si>
    <t>募集201501014</t>
    <phoneticPr fontId="13" type="noConversion"/>
  </si>
  <si>
    <t>评级20160701</t>
  </si>
  <si>
    <t>136223.SH</t>
  </si>
  <si>
    <t>冯羽</t>
    <phoneticPr fontId="13" type="noConversion"/>
  </si>
  <si>
    <t>深圳卓越世纪城房地产开发有限公司</t>
  </si>
  <si>
    <t>实际控制人为李华；实际控制人持股比例为95%</t>
    <phoneticPr fontId="13" type="noConversion"/>
  </si>
  <si>
    <t>李华</t>
    <phoneticPr fontId="13" type="noConversion"/>
  </si>
  <si>
    <t>评级20160616</t>
    <phoneticPr fontId="13" type="noConversion"/>
  </si>
  <si>
    <t>评级20160218</t>
    <phoneticPr fontId="13" type="noConversion"/>
  </si>
  <si>
    <t>评级20160218</t>
    <phoneticPr fontId="13" type="noConversion"/>
  </si>
  <si>
    <t>评级20160218</t>
    <phoneticPr fontId="13" type="noConversion"/>
  </si>
  <si>
    <t>使用母公司排名：卓越置业集团有限公司</t>
    <phoneticPr fontId="13" type="noConversion"/>
  </si>
  <si>
    <t>二级</t>
    <phoneticPr fontId="13" type="noConversion"/>
  </si>
  <si>
    <t>公司具有房地产开发二级资质</t>
  </si>
  <si>
    <t>数据缺失</t>
    <phoneticPr fontId="13" type="noConversion"/>
  </si>
  <si>
    <t>数据缺失</t>
    <phoneticPr fontId="13" type="noConversion"/>
  </si>
  <si>
    <t>公司在建项目主要分布在深圳</t>
    <phoneticPr fontId="13" type="noConversion"/>
  </si>
  <si>
    <t>房产租赁占比96.57%；停车场收费占比3.08%</t>
    <phoneticPr fontId="13" type="noConversion"/>
  </si>
  <si>
    <t>房屋租赁及停车场收费：3.49亿元</t>
    <phoneticPr fontId="13" type="noConversion"/>
  </si>
  <si>
    <t>wind</t>
    <phoneticPr fontId="13" type="noConversion"/>
  </si>
  <si>
    <t>wind</t>
    <phoneticPr fontId="13" type="noConversion"/>
  </si>
  <si>
    <t>大华会计师事务所（特殊普通合伙）</t>
    <phoneticPr fontId="13" type="noConversion"/>
  </si>
  <si>
    <t>大华会计师事务所（特殊普通合伙）</t>
    <phoneticPr fontId="13" type="noConversion"/>
  </si>
  <si>
    <t>112396.SZ</t>
  </si>
  <si>
    <t>冯羽</t>
    <phoneticPr fontId="13" type="noConversion"/>
  </si>
  <si>
    <t>石榴置业集团股份有限公司</t>
  </si>
  <si>
    <t>实际控制人为崔巍；实际控制人持股比例为58.03%</t>
    <phoneticPr fontId="13" type="noConversion"/>
  </si>
  <si>
    <t>崔巍</t>
    <phoneticPr fontId="13" type="noConversion"/>
  </si>
  <si>
    <t>募集20160523</t>
    <phoneticPr fontId="13" type="noConversion"/>
  </si>
  <si>
    <t>评级20160523</t>
    <phoneticPr fontId="13" type="noConversion"/>
  </si>
  <si>
    <t>募集20160523</t>
    <phoneticPr fontId="13" type="noConversion"/>
  </si>
  <si>
    <t>二级</t>
    <phoneticPr fontId="13" type="noConversion"/>
  </si>
  <si>
    <t>公司具有国家二级房地产开发资质，项目开发经验丰富，经营区域以北京市通州区及周边区域为主，近年已逐步扩展至山东青岛、广东珠海、浙江宁波和上海等地。</t>
    <phoneticPr fontId="13" type="noConversion"/>
  </si>
  <si>
    <t>评级20160629</t>
    <phoneticPr fontId="13" type="noConversion"/>
  </si>
  <si>
    <t>数据缺失</t>
    <phoneticPr fontId="13" type="noConversion"/>
  </si>
  <si>
    <t>房地产销售：99.93%</t>
    <phoneticPr fontId="13" type="noConversion"/>
  </si>
  <si>
    <t>评级20160523</t>
    <phoneticPr fontId="13" type="noConversion"/>
  </si>
  <si>
    <t>物业管理：0.05亿元</t>
    <phoneticPr fontId="13" type="noConversion"/>
  </si>
  <si>
    <t>wind</t>
    <phoneticPr fontId="13" type="noConversion"/>
  </si>
  <si>
    <t>募集20160309</t>
    <phoneticPr fontId="13" type="noConversion"/>
  </si>
  <si>
    <t>年报2015</t>
    <phoneticPr fontId="13" type="noConversion"/>
  </si>
  <si>
    <t>大华会计师事务所（特殊普通合伙）</t>
    <phoneticPr fontId="13" type="noConversion"/>
  </si>
  <si>
    <t>136084.SH</t>
  </si>
  <si>
    <t>冯羽</t>
    <phoneticPr fontId="13" type="noConversion"/>
  </si>
  <si>
    <t>世纪金源投资集团有限公司</t>
  </si>
  <si>
    <t>实际控制人为黄如论;实际控制人持股比例为80%</t>
    <phoneticPr fontId="13" type="noConversion"/>
  </si>
  <si>
    <t>黄如论</t>
    <phoneticPr fontId="13" type="noConversion"/>
  </si>
  <si>
    <t>募集20151207</t>
    <phoneticPr fontId="13" type="noConversion"/>
  </si>
  <si>
    <t>评级20151207</t>
    <phoneticPr fontId="13" type="noConversion"/>
  </si>
  <si>
    <t>使用母公司排名：世纪金源集团有限公司</t>
    <phoneticPr fontId="13" type="noConversion"/>
  </si>
  <si>
    <t>具有房地产开发一级资质</t>
    <phoneticPr fontId="13" type="noConversion"/>
  </si>
  <si>
    <t>子公司资质：北京金源鸿大地产有限公司</t>
    <phoneticPr fontId="13" type="noConversion"/>
  </si>
  <si>
    <t>评级20151207</t>
    <phoneticPr fontId="13" type="noConversion"/>
  </si>
  <si>
    <t>数据缺失</t>
    <phoneticPr fontId="13" type="noConversion"/>
  </si>
  <si>
    <t>数据缺失</t>
    <phoneticPr fontId="13" type="noConversion"/>
  </si>
  <si>
    <t>数据缺失</t>
    <phoneticPr fontId="13" type="noConversion"/>
  </si>
  <si>
    <t>房地产销售：90.27%；购物中心业务：6.61%</t>
    <phoneticPr fontId="13" type="noConversion"/>
  </si>
  <si>
    <t>评级20151207</t>
    <phoneticPr fontId="13" type="noConversion"/>
  </si>
  <si>
    <t>物业中心业务：0.01亿元</t>
    <phoneticPr fontId="13" type="noConversion"/>
  </si>
  <si>
    <t>年报2015</t>
    <phoneticPr fontId="13" type="noConversion"/>
  </si>
  <si>
    <t>122376.SH</t>
  </si>
  <si>
    <t>杨凤</t>
    <phoneticPr fontId="13" type="noConversion"/>
  </si>
  <si>
    <t>凌知昌</t>
    <phoneticPr fontId="13" type="noConversion"/>
  </si>
  <si>
    <t>首创置业股份有限公司</t>
    <phoneticPr fontId="13" type="noConversion"/>
  </si>
  <si>
    <t>实际控制人为北京市国资委；实际控制人持股比例为36.29%</t>
    <phoneticPr fontId="13" type="noConversion"/>
  </si>
  <si>
    <t>北京市国资委</t>
    <phoneticPr fontId="13" type="noConversion"/>
  </si>
  <si>
    <t>评级20150526</t>
    <phoneticPr fontId="13" type="noConversion"/>
  </si>
  <si>
    <t>http://www.phbang.cn/finance/corporation/141594.html</t>
    <phoneticPr fontId="13" type="noConversion"/>
  </si>
  <si>
    <t>数据缺失</t>
    <phoneticPr fontId="13" type="noConversion"/>
  </si>
  <si>
    <t>评级20150526</t>
    <phoneticPr fontId="13" type="noConversion"/>
  </si>
  <si>
    <t>2013 年，公司在建项目 36 个，分布于全国 13个地区，其中 14 个项目位于京津地区</t>
    <phoneticPr fontId="13" type="noConversion"/>
  </si>
  <si>
    <t>房地产销售：98.80%</t>
    <phoneticPr fontId="13" type="noConversion"/>
  </si>
  <si>
    <t>奥特莱斯租赁收入：0.34亿元</t>
    <phoneticPr fontId="13" type="noConversion"/>
  </si>
  <si>
    <t>年报2013</t>
    <phoneticPr fontId="13" type="noConversion"/>
  </si>
  <si>
    <t>wind</t>
    <phoneticPr fontId="13" type="noConversion"/>
  </si>
  <si>
    <t>按揭担保</t>
    <phoneticPr fontId="13" type="noConversion"/>
  </si>
  <si>
    <t>136541.SH</t>
  </si>
  <si>
    <t>四川新希望房地产开发有限公司</t>
    <phoneticPr fontId="13" type="noConversion"/>
  </si>
  <si>
    <t>刘永好</t>
    <phoneticPr fontId="13" type="noConversion"/>
  </si>
  <si>
    <t>评级20160526</t>
    <phoneticPr fontId="13" type="noConversion"/>
  </si>
  <si>
    <t>评级20160712</t>
    <phoneticPr fontId="13" type="noConversion"/>
  </si>
  <si>
    <t>募集20160712</t>
    <phoneticPr fontId="13" type="noConversion"/>
  </si>
  <si>
    <t>募集20160712</t>
    <phoneticPr fontId="13" type="noConversion"/>
  </si>
  <si>
    <t>一线城市占比为0%；二线城市占比为66.8%；三线城市占比为33.2%；四线城市及以下占比为0</t>
    <phoneticPr fontId="13" type="noConversion"/>
  </si>
  <si>
    <t>一线城市占比为0%；二线城市占比为75.69%；三线城市占比为24.31%；四线城市及以下占比为0%</t>
    <phoneticPr fontId="13" type="noConversion"/>
  </si>
  <si>
    <t>房地产开发与销售：84.10%</t>
    <phoneticPr fontId="13" type="noConversion"/>
  </si>
  <si>
    <t>租赁：5.33亿元</t>
    <phoneticPr fontId="13" type="noConversion"/>
  </si>
  <si>
    <t>wind</t>
    <phoneticPr fontId="13" type="noConversion"/>
  </si>
  <si>
    <t>136155.SH</t>
    <phoneticPr fontId="13" type="noConversion"/>
  </si>
  <si>
    <t>中国电建地产集团有限公司</t>
  </si>
  <si>
    <t>实际控制人为国务院国有资产监督管理委员会；实际控制人持股比例为77.26%.</t>
    <phoneticPr fontId="13" type="noConversion"/>
  </si>
  <si>
    <t>国家级国有企业</t>
  </si>
  <si>
    <t>评级20160118</t>
    <phoneticPr fontId="13" type="noConversion"/>
  </si>
  <si>
    <t>评级20160118</t>
    <phoneticPr fontId="13" type="noConversion"/>
  </si>
  <si>
    <t>评级20160118</t>
    <phoneticPr fontId="13" type="noConversion"/>
  </si>
  <si>
    <t>从城市级别来看， 公司在一、二线城市的土地储备面积占比约为 65.76%，三线及以下城市占比约为 34.24%。</t>
    <phoneticPr fontId="13" type="noConversion"/>
  </si>
  <si>
    <t>数据缺失</t>
    <phoneticPr fontId="13" type="noConversion"/>
  </si>
  <si>
    <t xml:space="preserve">从区域上看，公司已初步形成了以北京、 上海等一线城市， 以武汉、长沙、 成都、南京等核心二线城市以及其他城市构成的“4+4+X”区域战略布局，并实现对区域内北京、成都、武汉、 长沙四个城市的战略深耕。 </t>
    <phoneticPr fontId="13" type="noConversion"/>
  </si>
  <si>
    <t>数据缺失</t>
    <phoneticPr fontId="13" type="noConversion"/>
  </si>
  <si>
    <t>无物业收入</t>
    <phoneticPr fontId="13" type="noConversion"/>
  </si>
  <si>
    <t>财报2014</t>
    <phoneticPr fontId="13" type="noConversion"/>
  </si>
  <si>
    <t>wind</t>
    <phoneticPr fontId="13" type="noConversion"/>
  </si>
  <si>
    <t>截止2015年3月31日</t>
    <phoneticPr fontId="13" type="noConversion"/>
  </si>
  <si>
    <t>136155.SH</t>
    <phoneticPr fontId="13" type="noConversion"/>
  </si>
  <si>
    <t>黄飞</t>
    <phoneticPr fontId="13" type="noConversion"/>
  </si>
  <si>
    <t>国务院国资委</t>
    <phoneticPr fontId="13" type="noConversion"/>
  </si>
  <si>
    <t>评级20160118</t>
    <phoneticPr fontId="13" type="noConversion"/>
  </si>
  <si>
    <t>评级20160118</t>
    <phoneticPr fontId="13" type="noConversion"/>
  </si>
  <si>
    <t>数据缺失</t>
    <phoneticPr fontId="13" type="noConversion"/>
  </si>
  <si>
    <t>未上榜</t>
    <phoneticPr fontId="13" type="noConversion"/>
  </si>
  <si>
    <t>http://www.fangchan.com/zt/top500/2014/</t>
    <phoneticPr fontId="13" type="noConversion"/>
  </si>
  <si>
    <t>一级</t>
    <phoneticPr fontId="13" type="noConversion"/>
  </si>
  <si>
    <t>评级20160108</t>
    <phoneticPr fontId="13" type="noConversion"/>
  </si>
  <si>
    <t>评级20160108</t>
    <phoneticPr fontId="13" type="noConversion"/>
  </si>
  <si>
    <t>评级20160108</t>
    <phoneticPr fontId="13" type="noConversion"/>
  </si>
  <si>
    <t xml:space="preserve">从区域上看，公司已初步形成了以北京、 上海等一线城市， 以武汉、长沙、 成都、南京等核心二线城市以及其他城市构成的“4+4+X”区域战略布局，并实现对区域内北京、成都、武汉、 长沙四个城市的战略深耕。 </t>
    <phoneticPr fontId="13" type="noConversion"/>
  </si>
  <si>
    <t>评级20160118</t>
    <phoneticPr fontId="13" type="noConversion"/>
  </si>
  <si>
    <t>房地产开发：100%</t>
    <phoneticPr fontId="13" type="noConversion"/>
  </si>
  <si>
    <t>无物业收入</t>
    <phoneticPr fontId="13" type="noConversion"/>
  </si>
  <si>
    <t>wind</t>
    <phoneticPr fontId="13" type="noConversion"/>
  </si>
  <si>
    <t>财报2013</t>
    <phoneticPr fontId="13" type="noConversion"/>
  </si>
  <si>
    <t>财报2013</t>
    <phoneticPr fontId="13" type="noConversion"/>
  </si>
  <si>
    <t>中天运会计师事务所（特殊普通合伙）</t>
    <phoneticPr fontId="13" type="noConversion"/>
  </si>
  <si>
    <t>123004.SH</t>
    <phoneticPr fontId="13" type="noConversion"/>
  </si>
  <si>
    <t>黄飞</t>
    <phoneticPr fontId="13" type="noConversion"/>
  </si>
  <si>
    <t>凌知昌</t>
    <phoneticPr fontId="13" type="noConversion"/>
  </si>
  <si>
    <t>中国高科集团股份有限公司</t>
    <phoneticPr fontId="13" type="noConversion"/>
  </si>
  <si>
    <t>房地产业务的收入占比小于50%；年报2015</t>
    <phoneticPr fontId="13" type="noConversion"/>
  </si>
  <si>
    <t>1382078.IB</t>
    <phoneticPr fontId="13" type="noConversion"/>
  </si>
  <si>
    <t>黄飞</t>
    <phoneticPr fontId="13" type="noConversion"/>
  </si>
  <si>
    <t>凌知昌</t>
    <phoneticPr fontId="13" type="noConversion"/>
  </si>
  <si>
    <t>中国葛洲坝集团有限公司</t>
    <phoneticPr fontId="13" type="noConversion"/>
  </si>
  <si>
    <t>否</t>
    <phoneticPr fontId="13" type="noConversion"/>
  </si>
  <si>
    <t>房地产业务的收入占比小于50%；评级20151204</t>
    <phoneticPr fontId="13" type="noConversion"/>
  </si>
  <si>
    <t>136055.SH</t>
    <phoneticPr fontId="13" type="noConversion"/>
  </si>
  <si>
    <t>黄飞</t>
    <phoneticPr fontId="13" type="noConversion"/>
  </si>
  <si>
    <t>凌知昌</t>
    <phoneticPr fontId="13" type="noConversion"/>
  </si>
  <si>
    <t>中国国际贸易中心股份有限公司</t>
    <phoneticPr fontId="13" type="noConversion"/>
  </si>
  <si>
    <t>其他</t>
  </si>
  <si>
    <t>中国世贸投资有限公司和嘉里兴业有限公司</t>
  </si>
  <si>
    <t>评级20160919</t>
    <phoneticPr fontId="13" type="noConversion"/>
  </si>
  <si>
    <t>数据缺失</t>
    <phoneticPr fontId="13" type="noConversion"/>
  </si>
  <si>
    <t>数据缺失</t>
    <phoneticPr fontId="13" type="noConversion"/>
  </si>
  <si>
    <t>未上榜</t>
    <phoneticPr fontId="13" type="noConversion"/>
  </si>
  <si>
    <t>公司主要业务为物业租赁及管理，业务集中在北京市CBD地区。</t>
    <phoneticPr fontId="13" type="noConversion"/>
  </si>
  <si>
    <t>评级20160919</t>
    <phoneticPr fontId="13" type="noConversion"/>
  </si>
  <si>
    <t>在建项目在北京</t>
    <phoneticPr fontId="13" type="noConversion"/>
  </si>
  <si>
    <t>物业租赁及管理：74.89%</t>
    <phoneticPr fontId="13" type="noConversion"/>
  </si>
  <si>
    <t>物业租赁及管理：17.34亿元</t>
    <phoneticPr fontId="13" type="noConversion"/>
  </si>
  <si>
    <t>财报2015</t>
    <phoneticPr fontId="13" type="noConversion"/>
  </si>
  <si>
    <t>评级20160418</t>
    <phoneticPr fontId="13" type="noConversion"/>
  </si>
  <si>
    <t>评级20160919</t>
    <phoneticPr fontId="13" type="noConversion"/>
  </si>
  <si>
    <t>普华永道中天会计师事务所（特殊普通合伙）</t>
    <phoneticPr fontId="13" type="noConversion"/>
  </si>
  <si>
    <t>年报2015</t>
    <phoneticPr fontId="13" type="noConversion"/>
  </si>
  <si>
    <t>房地产开发业务：95.37%</t>
    <phoneticPr fontId="13" type="noConversion"/>
  </si>
  <si>
    <t>冯羽</t>
    <phoneticPr fontId="13" type="noConversion"/>
  </si>
  <si>
    <t>136186.SH</t>
  </si>
  <si>
    <t>冯羽</t>
    <phoneticPr fontId="13" type="noConversion"/>
  </si>
  <si>
    <t>苏州新区高新技术产业股份有限公司</t>
    <phoneticPr fontId="13" type="noConversion"/>
  </si>
  <si>
    <t>实际控制人为苏州国家高新技术产业开发区管理委员会;实际控制人持股比例为41.87%</t>
    <phoneticPr fontId="13" type="noConversion"/>
  </si>
  <si>
    <t>其他国有企业</t>
  </si>
  <si>
    <t>苏州国家高新技术产业开发区管理委员会</t>
  </si>
  <si>
    <t>评级20151120</t>
    <phoneticPr fontId="13" type="noConversion"/>
  </si>
  <si>
    <t>评级20151120</t>
    <phoneticPr fontId="13" type="noConversion"/>
  </si>
  <si>
    <t>一级</t>
    <phoneticPr fontId="13" type="noConversion"/>
  </si>
  <si>
    <t>具有房地产开发一级资质</t>
    <phoneticPr fontId="13" type="noConversion"/>
  </si>
  <si>
    <t>募集20150729</t>
    <phoneticPr fontId="13" type="noConversion"/>
  </si>
  <si>
    <t>子公司资质：苏州新港建设集团有限公司</t>
    <phoneticPr fontId="13" type="noConversion"/>
  </si>
  <si>
    <t>募集20150729</t>
    <phoneticPr fontId="13" type="noConversion"/>
  </si>
  <si>
    <t>截至到2014年9月30日</t>
    <phoneticPr fontId="13" type="noConversion"/>
  </si>
  <si>
    <t>一线城市占比为0%；二线城市占比为41.62%；三线城市占比为58.38%；四线城市及以下占比为0</t>
    <phoneticPr fontId="13" type="noConversion"/>
  </si>
  <si>
    <t>截至到2014年9月30日</t>
    <phoneticPr fontId="13" type="noConversion"/>
  </si>
  <si>
    <t>评级20160121</t>
    <phoneticPr fontId="13" type="noConversion"/>
  </si>
  <si>
    <t>评级20160121</t>
    <phoneticPr fontId="13" type="noConversion"/>
  </si>
  <si>
    <t>评级20151120</t>
    <phoneticPr fontId="13" type="noConversion"/>
  </si>
  <si>
    <t>截至2014年9月末</t>
    <phoneticPr fontId="13" type="noConversion"/>
  </si>
  <si>
    <t>一线城市占比为0%；二线城市占比为78.99%；三线城市占比为21.01%；四线城市及以下占比为0%</t>
    <phoneticPr fontId="13" type="noConversion"/>
  </si>
  <si>
    <t>商品房销售：86.13%；游乐服务：9.11%；建筑：0.03%</t>
    <phoneticPr fontId="13" type="noConversion"/>
  </si>
  <si>
    <t>房地产租赁：1.06亿元</t>
    <phoneticPr fontId="13" type="noConversion"/>
  </si>
  <si>
    <t>年报2014</t>
    <phoneticPr fontId="13" type="noConversion"/>
  </si>
  <si>
    <t>评级20161020</t>
    <phoneticPr fontId="13" type="noConversion"/>
  </si>
  <si>
    <t>冯羽</t>
    <phoneticPr fontId="13" type="noConversion"/>
  </si>
  <si>
    <t>杨凤</t>
    <phoneticPr fontId="13" type="noConversion"/>
  </si>
  <si>
    <t>凌知昌</t>
    <phoneticPr fontId="13" type="noConversion"/>
  </si>
  <si>
    <t>苏州新区高新技术产业股份有限公司</t>
  </si>
  <si>
    <t>实际控制人为苏州国家高新技术产业开发区管理委员会；实际控制人持股比例为42.48%</t>
    <phoneticPr fontId="13" type="noConversion"/>
  </si>
  <si>
    <t>其他国有企业</t>
    <phoneticPr fontId="13" type="noConversion"/>
  </si>
  <si>
    <t>年报2013</t>
    <phoneticPr fontId="13" type="noConversion"/>
  </si>
  <si>
    <t>募集20150729</t>
    <phoneticPr fontId="13" type="noConversion"/>
  </si>
  <si>
    <t>一级</t>
    <phoneticPr fontId="13" type="noConversion"/>
  </si>
  <si>
    <t>具有房地产开发一级资质</t>
    <phoneticPr fontId="13" type="noConversion"/>
  </si>
  <si>
    <t>募集20150730</t>
  </si>
  <si>
    <t>子公司资质：苏州新港建设集团有限公司</t>
    <phoneticPr fontId="13" type="noConversion"/>
  </si>
  <si>
    <t>募集20150729</t>
    <phoneticPr fontId="13" type="noConversion"/>
  </si>
  <si>
    <t>评级20150528</t>
    <phoneticPr fontId="13" type="noConversion"/>
  </si>
  <si>
    <t>截至 2013 年末，公司徐州储备面积占比 48.67%，苏州储备面积占比为 37.54%， 扬州储备面积占比 13.79%</t>
    <phoneticPr fontId="13" type="noConversion"/>
  </si>
  <si>
    <t>评级20150528</t>
    <phoneticPr fontId="13" type="noConversion"/>
  </si>
  <si>
    <t>数据缺失</t>
    <phoneticPr fontId="13" type="noConversion"/>
  </si>
  <si>
    <t>评级20151120</t>
    <phoneticPr fontId="13" type="noConversion"/>
  </si>
  <si>
    <t>评级20151120</t>
    <phoneticPr fontId="13" type="noConversion"/>
  </si>
  <si>
    <t>施工面积</t>
    <phoneticPr fontId="13" type="noConversion"/>
  </si>
  <si>
    <t>项目区域分布方面，目前公司房地产开发区域主要集中在苏州地区，并已拓展至扬州和徐州地区，2013 年公司苏州地区的在建项目约占当年施工面积的 87.72%。</t>
    <phoneticPr fontId="13" type="noConversion"/>
  </si>
  <si>
    <t>房地产销售收入占比76.13%；房地产出租占比3.07%；游乐服务收入占比8.97%；建筑：7.23%</t>
    <phoneticPr fontId="13" type="noConversion"/>
  </si>
  <si>
    <t>房地产租赁：1.04亿元</t>
    <phoneticPr fontId="13" type="noConversion"/>
  </si>
  <si>
    <t>年报2013</t>
    <phoneticPr fontId="13" type="noConversion"/>
  </si>
  <si>
    <t>wind</t>
    <phoneticPr fontId="13" type="noConversion"/>
  </si>
  <si>
    <t>东财</t>
    <phoneticPr fontId="13" type="noConversion"/>
  </si>
  <si>
    <t>评级20140429</t>
    <phoneticPr fontId="13" type="noConversion"/>
  </si>
  <si>
    <t>评级20140429</t>
    <phoneticPr fontId="13" type="noConversion"/>
  </si>
  <si>
    <t>112448.SZ</t>
  </si>
  <si>
    <t>黄飞</t>
    <phoneticPr fontId="11" type="noConversion"/>
  </si>
  <si>
    <t>凌知昌</t>
    <phoneticPr fontId="13" type="noConversion"/>
  </si>
  <si>
    <t>深圳深国投房地产开发有限公司</t>
  </si>
  <si>
    <t>实际控制人黄俊康；实际控制人持股比例为25.13%。</t>
    <phoneticPr fontId="13" type="noConversion"/>
  </si>
  <si>
    <t>民营企业</t>
    <phoneticPr fontId="13" type="noConversion"/>
  </si>
  <si>
    <t>黄俊康</t>
    <phoneticPr fontId="13" type="noConversion"/>
  </si>
  <si>
    <t>实际控制人持股比例大于20%且小于50%</t>
    <phoneticPr fontId="13" type="noConversion"/>
  </si>
  <si>
    <t>募集20160909</t>
    <phoneticPr fontId="13" type="noConversion"/>
  </si>
  <si>
    <t>数据缺失</t>
    <phoneticPr fontId="13" type="noConversion"/>
  </si>
  <si>
    <t>数据缺失</t>
    <phoneticPr fontId="13" type="noConversion"/>
  </si>
  <si>
    <t>募集20160909</t>
    <phoneticPr fontId="13" type="noConversion"/>
  </si>
  <si>
    <t>http://www.fangchan.com/zt/top500/2015/</t>
    <phoneticPr fontId="13" type="noConversion"/>
  </si>
  <si>
    <t>使用母公司排名：莱蒙国际集团有限公司</t>
    <phoneticPr fontId="13" type="noConversion"/>
  </si>
  <si>
    <t>三级</t>
    <phoneticPr fontId="13" type="noConversion"/>
  </si>
  <si>
    <t>三级</t>
    <phoneticPr fontId="13" type="noConversion"/>
  </si>
  <si>
    <t>公司具有房地产开发企业三级资质。</t>
    <phoneticPr fontId="13" type="noConversion"/>
  </si>
  <si>
    <t>房地产业务：94.7%；</t>
    <phoneticPr fontId="13" type="noConversion"/>
  </si>
  <si>
    <t>房地产业务：94.7%</t>
    <phoneticPr fontId="13" type="noConversion"/>
  </si>
  <si>
    <t>评级20160909</t>
    <phoneticPr fontId="13" type="noConversion"/>
  </si>
  <si>
    <t>物业租赁：1.26亿元</t>
    <phoneticPr fontId="13" type="noConversion"/>
  </si>
  <si>
    <t>wind</t>
    <phoneticPr fontId="13" type="noConversion"/>
  </si>
  <si>
    <t>wind</t>
    <phoneticPr fontId="13" type="noConversion"/>
  </si>
  <si>
    <t>评级20160909</t>
    <phoneticPr fontId="13" type="noConversion"/>
  </si>
  <si>
    <t>中兴财光华会计师事务所（特殊普通合伙）</t>
    <phoneticPr fontId="13" type="noConversion"/>
  </si>
  <si>
    <t>122440.SH</t>
  </si>
  <si>
    <t>黄飞</t>
    <phoneticPr fontId="13" type="noConversion"/>
  </si>
  <si>
    <t>凌知昌</t>
    <phoneticPr fontId="13" type="noConversion"/>
  </si>
  <si>
    <t>深圳市龙光控股有限公司</t>
  </si>
  <si>
    <t>实际控制人为纪海鹏先生和纪凯婷女士；实际控制人持股比例为85%</t>
    <phoneticPr fontId="13" type="noConversion"/>
  </si>
  <si>
    <t>纪海鹏和纪凯婷</t>
    <phoneticPr fontId="13" type="noConversion"/>
  </si>
  <si>
    <t>募集20150817</t>
    <phoneticPr fontId="13" type="noConversion"/>
  </si>
  <si>
    <t>募集20150817</t>
    <phoneticPr fontId="13" type="noConversion"/>
  </si>
  <si>
    <t>使用控股公司排名：龙光地产控股有限公司</t>
    <phoneticPr fontId="13" type="noConversion"/>
  </si>
  <si>
    <t>公司拥有房地产开发国家一级资质及建筑施工一级资质。</t>
    <phoneticPr fontId="13" type="noConversion"/>
  </si>
  <si>
    <t>评级20150817</t>
    <phoneticPr fontId="13" type="noConversion"/>
  </si>
  <si>
    <t>评级20150817</t>
    <phoneticPr fontId="13" type="noConversion"/>
  </si>
  <si>
    <t>公司主要在建项目分布深圳、惠州、南宁、汕头。</t>
    <phoneticPr fontId="13" type="noConversion"/>
  </si>
  <si>
    <t>商品房销售：100%</t>
    <phoneticPr fontId="13" type="noConversion"/>
  </si>
  <si>
    <t>商品房销售：100%</t>
    <phoneticPr fontId="13" type="noConversion"/>
  </si>
  <si>
    <t>租金收入：0.56</t>
    <phoneticPr fontId="13" type="noConversion"/>
  </si>
  <si>
    <t>wind</t>
    <phoneticPr fontId="13" type="noConversion"/>
  </si>
  <si>
    <t>评级20150817</t>
    <phoneticPr fontId="13" type="noConversion"/>
  </si>
  <si>
    <t>毕马威华振会计师事务所（特殊普通合伙 ）</t>
    <phoneticPr fontId="13" type="noConversion"/>
  </si>
  <si>
    <t>募集20150817</t>
    <phoneticPr fontId="13" type="noConversion"/>
  </si>
  <si>
    <t>评级20150817</t>
  </si>
  <si>
    <t>112238.SZ</t>
  </si>
  <si>
    <t>深圳市振业(集团)股份有限公司</t>
    <phoneticPr fontId="13" type="noConversion"/>
  </si>
  <si>
    <t>实际控制人为深圳市人民政府国有资产监督管理委员会；实际控制人持股比例为34%.</t>
    <phoneticPr fontId="13" type="noConversion"/>
  </si>
  <si>
    <t>市级地方国有企业</t>
    <phoneticPr fontId="13" type="noConversion"/>
  </si>
  <si>
    <t>深圳市国资委</t>
    <phoneticPr fontId="13" type="noConversion"/>
  </si>
  <si>
    <t>年报2015</t>
    <phoneticPr fontId="13" type="noConversion"/>
  </si>
  <si>
    <t>评级20160507</t>
    <phoneticPr fontId="13" type="noConversion"/>
  </si>
  <si>
    <t>评级20150529</t>
    <phoneticPr fontId="13" type="noConversion"/>
  </si>
  <si>
    <t>评级20150529</t>
    <phoneticPr fontId="13" type="noConversion"/>
  </si>
  <si>
    <t>一级</t>
    <phoneticPr fontId="13" type="noConversion"/>
  </si>
  <si>
    <t>公司具有国家建设部批准的一级房地产开发资质，但是主要采取公开招标的方式聘用独立承包商为项目提供策划、勘察、设计、施工、监理等各项服务.</t>
    <phoneticPr fontId="13" type="noConversion"/>
  </si>
  <si>
    <t>http://219.142.101.72/showcorpinfo/showcorpinfo.aspx</t>
    <phoneticPr fontId="13" type="noConversion"/>
  </si>
  <si>
    <t>评级20160507</t>
    <phoneticPr fontId="13" type="noConversion"/>
  </si>
  <si>
    <t>评级20160507</t>
  </si>
  <si>
    <t>评级20160507</t>
    <phoneticPr fontId="13" type="noConversion"/>
  </si>
  <si>
    <t>一线城市占比为18.19%；二线城市占比为81.81%；三线城市占比为0；四线及以下城市占比为0</t>
    <phoneticPr fontId="13" type="noConversion"/>
  </si>
  <si>
    <t>一线城市占比为0%；二线城市占比为48.93%；三线城市占比为51.07%；四线城市及以下占比为0%</t>
    <phoneticPr fontId="13" type="noConversion"/>
  </si>
  <si>
    <t>房产销售：97.65%；物业租赁：2.35%</t>
    <phoneticPr fontId="13" type="noConversion"/>
  </si>
  <si>
    <t>年报2015</t>
    <phoneticPr fontId="13" type="noConversion"/>
  </si>
  <si>
    <t>物业租赁：0.86亿元</t>
    <phoneticPr fontId="13" type="noConversion"/>
  </si>
  <si>
    <t>按揭担保</t>
    <phoneticPr fontId="13" type="noConversion"/>
  </si>
  <si>
    <t>122339.SH</t>
  </si>
  <si>
    <t>黄飞</t>
    <phoneticPr fontId="13" type="noConversion"/>
  </si>
  <si>
    <t>黄梦瑶</t>
    <phoneticPr fontId="13" type="noConversion"/>
  </si>
  <si>
    <t>凌知昌</t>
    <phoneticPr fontId="13" type="noConversion"/>
  </si>
  <si>
    <t>深圳香江控股股份有限公司</t>
  </si>
  <si>
    <t>实际控制人为刘志强和翟美卿；实际控制人持股比例为52.60%.</t>
    <phoneticPr fontId="13" type="noConversion"/>
  </si>
  <si>
    <t>民营企业</t>
    <phoneticPr fontId="13" type="noConversion"/>
  </si>
  <si>
    <t>刘志强和翟美卿</t>
    <phoneticPr fontId="13" type="noConversion"/>
  </si>
  <si>
    <t>年报2013</t>
    <phoneticPr fontId="13" type="noConversion"/>
  </si>
  <si>
    <t>评级20141208</t>
    <phoneticPr fontId="13" type="noConversion"/>
  </si>
  <si>
    <t>评级20141208</t>
    <phoneticPr fontId="13" type="noConversion"/>
  </si>
  <si>
    <t xml:space="preserve">http://www.phbang.cn/finance/corporation/141594.html </t>
    <phoneticPr fontId="13" type="noConversion"/>
  </si>
  <si>
    <t>数据缺失</t>
    <phoneticPr fontId="13" type="noConversion"/>
  </si>
  <si>
    <t>截至2014年3月底</t>
    <phoneticPr fontId="13" type="noConversion"/>
  </si>
  <si>
    <t>一线城市占比为25.43%；二线城市占比为21.31%；三线城市占比为3.32%；四线及以下城市占比为49.94%.</t>
    <phoneticPr fontId="13" type="noConversion"/>
  </si>
  <si>
    <t>一线城市占比为29.07%；二线城市占比为33.21%；三线城市占比为19.08%；四线及以下城市占比为18.65%.</t>
    <phoneticPr fontId="13" type="noConversion"/>
  </si>
  <si>
    <t>房地产销售：84.83%; 物业管理及其他：7.67%；</t>
    <phoneticPr fontId="13" type="noConversion"/>
  </si>
  <si>
    <t>物业管理及其他：2.236509878亿元</t>
    <phoneticPr fontId="13" type="noConversion"/>
  </si>
  <si>
    <t>wind</t>
    <phoneticPr fontId="13" type="noConversion"/>
  </si>
  <si>
    <t>德勤华永会计师事务所（特殊普通合伙）</t>
  </si>
  <si>
    <t>按揭担保</t>
    <phoneticPr fontId="13" type="noConversion"/>
  </si>
  <si>
    <t>112395.SZ</t>
  </si>
  <si>
    <t>实际控制人为黄其森；实际控制人持股比例为73.81%</t>
    <phoneticPr fontId="13" type="noConversion"/>
  </si>
  <si>
    <t>评级20160722</t>
    <phoneticPr fontId="13" type="noConversion"/>
  </si>
  <si>
    <t>评级20160722</t>
    <phoneticPr fontId="13" type="noConversion"/>
  </si>
  <si>
    <t>http://www.fangchan.com/zt/top500/2015/</t>
    <phoneticPr fontId="13" type="noConversion"/>
  </si>
  <si>
    <t>公司具有国家一级房地产开发资质，项目开发经验丰富，产品业态较多元，近年开发范围逐渐从福州及周边区域，拓展至北京、上海等一线城市</t>
    <phoneticPr fontId="13" type="noConversion"/>
  </si>
  <si>
    <t>数据缺失</t>
    <phoneticPr fontId="13" type="noConversion"/>
  </si>
  <si>
    <t>开复工面积</t>
    <phoneticPr fontId="13" type="noConversion"/>
  </si>
  <si>
    <t>房地产行业：98.73%</t>
    <phoneticPr fontId="13" type="noConversion"/>
  </si>
  <si>
    <t>房地产行业：98.73%</t>
    <phoneticPr fontId="13" type="noConversion"/>
  </si>
  <si>
    <t>年报2014</t>
    <phoneticPr fontId="13" type="noConversion"/>
  </si>
  <si>
    <t>服务收入：1.83</t>
    <phoneticPr fontId="13" type="noConversion"/>
  </si>
  <si>
    <t>wind</t>
    <phoneticPr fontId="13" type="noConversion"/>
  </si>
  <si>
    <t>截止2015年3月31日</t>
    <phoneticPr fontId="13" type="noConversion"/>
  </si>
  <si>
    <t>年报2014</t>
  </si>
  <si>
    <t>其中按揭贷款担保:85.20亿元</t>
    <phoneticPr fontId="13" type="noConversion"/>
  </si>
  <si>
    <t>101579001.IB</t>
  </si>
  <si>
    <t>黄飞</t>
    <phoneticPr fontId="13" type="noConversion"/>
  </si>
  <si>
    <t>天地源股份有限公司</t>
    <phoneticPr fontId="13" type="noConversion"/>
  </si>
  <si>
    <t>实际控制人为西安市高新技术产业开发区管委会；实际控制人持股比例为56.52%.</t>
    <phoneticPr fontId="13" type="noConversion"/>
  </si>
  <si>
    <t>西安市高新技术产业开发区管委会</t>
  </si>
  <si>
    <t>评级20160629</t>
    <phoneticPr fontId="13" type="noConversion"/>
  </si>
  <si>
    <t>公司具有国家建设部批准的一级房地产开发资质，但是主要采取公开招标的方式聘用独立承包商为项目提供策划、勘察、设计、施工、监理等各项服务.</t>
    <phoneticPr fontId="13" type="noConversion"/>
  </si>
  <si>
    <t>一线城市占比为0；二线城市占比为100%；三线城市占比为0%；四线及以下城市占比为0%.</t>
    <phoneticPr fontId="13" type="noConversion"/>
  </si>
  <si>
    <t>一线城市占比为0.00%；二线城市占比为88.25%；三线城市占比为11.75%；四线城市及以下占比为0.00%</t>
    <phoneticPr fontId="13" type="noConversion"/>
  </si>
  <si>
    <t>房地产开发业务：95.59%</t>
    <phoneticPr fontId="13" type="noConversion"/>
  </si>
  <si>
    <t>房地产开发业务占比95.59%</t>
    <phoneticPr fontId="13" type="noConversion"/>
  </si>
  <si>
    <t>物业管理：1</t>
    <phoneticPr fontId="13" type="noConversion"/>
  </si>
  <si>
    <t>数据缺失</t>
    <phoneticPr fontId="13" type="noConversion"/>
  </si>
  <si>
    <t>希格玛会计师事务所（特殊普通合伙）</t>
    <phoneticPr fontId="13" type="noConversion"/>
  </si>
  <si>
    <t>按揭担保</t>
    <phoneticPr fontId="13" type="noConversion"/>
  </si>
  <si>
    <t>124276.SH</t>
  </si>
  <si>
    <t>黄梦瑶</t>
    <phoneticPr fontId="13" type="noConversion"/>
  </si>
  <si>
    <t>天津滨海发展投资控股有限公司</t>
    <phoneticPr fontId="13" type="noConversion"/>
  </si>
  <si>
    <t>实际控制人为天津市人民政府国有资产监督管理委员会</t>
    <phoneticPr fontId="13" type="noConversion"/>
  </si>
  <si>
    <t>天津市国资委</t>
    <phoneticPr fontId="13" type="noConversion"/>
  </si>
  <si>
    <t>评级20150731</t>
    <phoneticPr fontId="13" type="noConversion"/>
  </si>
  <si>
    <t>评级20140709</t>
    <phoneticPr fontId="13" type="noConversion"/>
  </si>
  <si>
    <t>评级20150731</t>
    <phoneticPr fontId="13" type="noConversion"/>
  </si>
  <si>
    <t>未上榜</t>
    <phoneticPr fontId="13" type="noConversion"/>
  </si>
  <si>
    <t>一线城市占比为0；二线城市占比为53.79%；三线城市占比为19.95%；四线及以下城市占比为26.26%.</t>
    <phoneticPr fontId="13" type="noConversion"/>
  </si>
  <si>
    <t>一线城市占比为0；二线城市占比为64.37%；三线城市占比为27.30%；四线及以下城市占比为8.33%。</t>
    <phoneticPr fontId="13" type="noConversion"/>
  </si>
  <si>
    <t>房屋销售：73.28%；工程施工：7.69%；代建费：5.32%</t>
    <phoneticPr fontId="13" type="noConversion"/>
  </si>
  <si>
    <t>房屋销售：73.28%；工程施工：7.69%；代建费：5.32%</t>
    <phoneticPr fontId="13" type="noConversion"/>
  </si>
  <si>
    <t>年报2014</t>
    <phoneticPr fontId="13" type="noConversion"/>
  </si>
  <si>
    <t>wind</t>
    <phoneticPr fontId="13" type="noConversion"/>
  </si>
  <si>
    <t>中审华寅五洲会计师事务所（特殊普通合伙）</t>
    <phoneticPr fontId="13" type="noConversion"/>
  </si>
  <si>
    <t>101658003.IB</t>
  </si>
  <si>
    <t>黄飞</t>
    <phoneticPr fontId="13" type="noConversion"/>
  </si>
  <si>
    <t>黄梦瑶</t>
    <phoneticPr fontId="13" type="noConversion"/>
  </si>
  <si>
    <t>凌知昌</t>
    <phoneticPr fontId="13" type="noConversion"/>
  </si>
  <si>
    <t>天安数码城(集团)有限公司</t>
    <phoneticPr fontId="13" type="noConversion"/>
  </si>
  <si>
    <t>实际控制人为深圳市人民政府国有资产监督管理委员会和李成辉共同控制；实际控制人持股比例分别为17.16%和18.56%</t>
    <phoneticPr fontId="13" type="noConversion"/>
  </si>
  <si>
    <t>其他</t>
    <phoneticPr fontId="13" type="noConversion"/>
  </si>
  <si>
    <t>深圳市人民政府国有资产监督管理委员会和李成辉</t>
  </si>
  <si>
    <t>评级20160726</t>
    <phoneticPr fontId="13" type="noConversion"/>
  </si>
  <si>
    <t>实际控制人持股比例大于20%小于50%</t>
    <phoneticPr fontId="13" type="noConversion"/>
  </si>
  <si>
    <t>评级20160726</t>
    <phoneticPr fontId="13" type="noConversion"/>
  </si>
  <si>
    <t>评级20160726</t>
    <phoneticPr fontId="13" type="noConversion"/>
  </si>
  <si>
    <t>未上榜</t>
    <phoneticPr fontId="13" type="noConversion"/>
  </si>
  <si>
    <t>http://www.fangchan.com/zt/top500/2016/</t>
    <phoneticPr fontId="13" type="noConversion"/>
  </si>
  <si>
    <t>公司土地储备主要分布在广州、常州、重庆、天津、江阴、青岛、东莞</t>
    <phoneticPr fontId="13" type="noConversion"/>
  </si>
  <si>
    <t>截至2016年3月底</t>
    <phoneticPr fontId="13" type="noConversion"/>
  </si>
  <si>
    <t>截至到2016年3月末</t>
    <phoneticPr fontId="13" type="noConversion"/>
  </si>
  <si>
    <t>从区域分布看，珠三角地区项目 3个（龙岗 1 个、佛山 2 个）、环渤海经济圈项目4 个（天津 3 个、青岛 1 个）、成渝经济圈项目 1个（重庆 1 个）</t>
    <phoneticPr fontId="13" type="noConversion"/>
  </si>
  <si>
    <t>房地产销售：94.51%  物业管理收入：5.25%</t>
    <phoneticPr fontId="13" type="noConversion"/>
  </si>
  <si>
    <t>年报2015</t>
    <phoneticPr fontId="13" type="noConversion"/>
  </si>
  <si>
    <t>物业管理收入：1.15亿元</t>
    <phoneticPr fontId="13" type="noConversion"/>
  </si>
  <si>
    <t>wind</t>
    <phoneticPr fontId="13" type="noConversion"/>
  </si>
  <si>
    <t>截至2016年3月底</t>
    <phoneticPr fontId="13" type="noConversion"/>
  </si>
  <si>
    <t>年报2015</t>
    <phoneticPr fontId="13" type="noConversion"/>
  </si>
  <si>
    <t>截至2016年3月末</t>
    <phoneticPr fontId="13" type="noConversion"/>
  </si>
  <si>
    <t>希格玛会计师事务所（特殊普通合伙）</t>
    <phoneticPr fontId="13" type="noConversion"/>
  </si>
  <si>
    <t>122327.SH</t>
  </si>
  <si>
    <t>黄飞</t>
    <phoneticPr fontId="13" type="noConversion"/>
  </si>
  <si>
    <t>黄梦瑶</t>
    <phoneticPr fontId="13" type="noConversion"/>
  </si>
  <si>
    <t>卧龙地产集团股份有限公司</t>
    <phoneticPr fontId="13" type="noConversion"/>
  </si>
  <si>
    <t>实际控制人为陈建成与陈嫣妮（父女)；实际控制人持股比例为34.66%</t>
    <phoneticPr fontId="13" type="noConversion"/>
  </si>
  <si>
    <t>陈建成与陈嫣妮（父女)</t>
    <phoneticPr fontId="13" type="noConversion"/>
  </si>
  <si>
    <t>评级20150608</t>
    <phoneticPr fontId="13" type="noConversion"/>
  </si>
  <si>
    <t>评级20150608</t>
    <phoneticPr fontId="13" type="noConversion"/>
  </si>
  <si>
    <t>评级20140919</t>
    <phoneticPr fontId="13" type="noConversion"/>
  </si>
  <si>
    <t>评级20140919</t>
    <phoneticPr fontId="13" type="noConversion"/>
  </si>
  <si>
    <t>评级20150608</t>
    <phoneticPr fontId="13" type="noConversion"/>
  </si>
  <si>
    <t>评级20150608</t>
    <phoneticPr fontId="13" type="noConversion"/>
  </si>
  <si>
    <t>http://www.fangchan.com/zt/top500/2015/</t>
    <phoneticPr fontId="13" type="noConversion"/>
  </si>
  <si>
    <t>一级</t>
    <phoneticPr fontId="13" type="noConversion"/>
  </si>
  <si>
    <t>公司具有国家一级房地产开发资质。</t>
    <phoneticPr fontId="13" type="noConversion"/>
  </si>
  <si>
    <t>http://219.142.101.72/showcorpinfo/showcorpinfo.aspx</t>
    <phoneticPr fontId="13" type="noConversion"/>
  </si>
  <si>
    <t>数据缺失</t>
    <phoneticPr fontId="13" type="noConversion"/>
  </si>
  <si>
    <t>数据缺失</t>
    <phoneticPr fontId="13" type="noConversion"/>
  </si>
  <si>
    <t>评级20150608</t>
    <phoneticPr fontId="13" type="noConversion"/>
  </si>
  <si>
    <t>从公司在建项目的分布来看 主要分布在浙江省绍兴市（三线）、湖北省武汉市（二线）、广东省清远市（四线及以下）、山东省青岛市（二线)。</t>
    <phoneticPr fontId="13" type="noConversion"/>
  </si>
  <si>
    <t>房地产：98.93%</t>
  </si>
  <si>
    <t>年报2014</t>
    <phoneticPr fontId="13" type="noConversion"/>
  </si>
  <si>
    <t>物业管理：0.19亿元</t>
    <phoneticPr fontId="13" type="noConversion"/>
  </si>
  <si>
    <t>wind</t>
  </si>
  <si>
    <t>年报2014</t>
    <phoneticPr fontId="13" type="noConversion"/>
  </si>
  <si>
    <t>wind</t>
    <phoneticPr fontId="13" type="noConversion"/>
  </si>
  <si>
    <t>数据缺失</t>
    <phoneticPr fontId="13" type="noConversion"/>
  </si>
  <si>
    <t>评级20150608</t>
    <phoneticPr fontId="13" type="noConversion"/>
  </si>
  <si>
    <t>立信会计师事务所（特殊普通合伙)</t>
    <phoneticPr fontId="13" type="noConversion"/>
  </si>
  <si>
    <t>立信会计师事务所（特殊普通合伙)</t>
    <phoneticPr fontId="13" type="noConversion"/>
  </si>
  <si>
    <t>其中按揭担保：17.99亿元</t>
    <phoneticPr fontId="13" type="noConversion"/>
  </si>
  <si>
    <t>136313.SH</t>
    <phoneticPr fontId="13" type="noConversion"/>
  </si>
  <si>
    <t>黄飞</t>
    <phoneticPr fontId="13" type="noConversion"/>
  </si>
  <si>
    <t>黄梦瑶</t>
    <phoneticPr fontId="13" type="noConversion"/>
  </si>
  <si>
    <t>凌知昌</t>
    <phoneticPr fontId="13" type="noConversion"/>
  </si>
  <si>
    <t>西安高科(集团)公司</t>
    <phoneticPr fontId="13" type="noConversion"/>
  </si>
  <si>
    <t>实际控制人为西安高新区管委会；实际控制人持股比例为100%</t>
    <phoneticPr fontId="13" type="noConversion"/>
  </si>
  <si>
    <t>西安高新区管委会</t>
  </si>
  <si>
    <t>募集20160317</t>
    <phoneticPr fontId="13" type="noConversion"/>
  </si>
  <si>
    <t>评级20160705</t>
    <phoneticPr fontId="13" type="noConversion"/>
  </si>
  <si>
    <t>评级20160705</t>
    <phoneticPr fontId="13" type="noConversion"/>
  </si>
  <si>
    <t>评级20160705</t>
    <phoneticPr fontId="13" type="noConversion"/>
  </si>
  <si>
    <t>使用子公司排名：西安紫薇地产开发有限公司</t>
    <phoneticPr fontId="13" type="noConversion"/>
  </si>
  <si>
    <t>一级</t>
    <phoneticPr fontId="13" type="noConversion"/>
  </si>
  <si>
    <t>公司下属子公司天地源股份有限公司为一级房地产开发资质</t>
    <phoneticPr fontId="13" type="noConversion"/>
  </si>
  <si>
    <t>募集20160317</t>
    <phoneticPr fontId="13" type="noConversion"/>
  </si>
  <si>
    <t>子公司资质：天地源股份有限公司</t>
    <phoneticPr fontId="13" type="noConversion"/>
  </si>
  <si>
    <t>数据缺失</t>
    <phoneticPr fontId="13" type="noConversion"/>
  </si>
  <si>
    <t>截至2015年9月份拟建项目</t>
    <phoneticPr fontId="13" type="noConversion"/>
  </si>
  <si>
    <t>截至2015年9月份</t>
    <phoneticPr fontId="13" type="noConversion"/>
  </si>
  <si>
    <t>一线城市占比为0.00%；二线城市占比为100%；三线城市占比为0%；四线城市及以下占比为0.00%</t>
    <phoneticPr fontId="13" type="noConversion"/>
  </si>
  <si>
    <t>截至2015年9月末</t>
  </si>
  <si>
    <t>募集20170317</t>
    <phoneticPr fontId="13" type="noConversion"/>
  </si>
  <si>
    <t>截至2015年9月末</t>
    <phoneticPr fontId="13" type="noConversion"/>
  </si>
  <si>
    <t>一线城市占比为0；二线城市占比为92.70%；三线城市占比为7.3%；四线城市占比为0.</t>
    <phoneticPr fontId="13" type="noConversion"/>
  </si>
  <si>
    <t>截至2015年9月末在建面积为777.66万平方米</t>
    <phoneticPr fontId="13" type="noConversion"/>
  </si>
  <si>
    <t>评级20160317</t>
    <phoneticPr fontId="13" type="noConversion"/>
  </si>
  <si>
    <t>房地产开发业务：65.44%；制造业：22.77%；服务业：11.79%</t>
    <phoneticPr fontId="13" type="noConversion"/>
  </si>
  <si>
    <t>年报2015</t>
    <phoneticPr fontId="13" type="noConversion"/>
  </si>
  <si>
    <t>租赁收入：0.18亿元</t>
    <phoneticPr fontId="13" type="noConversion"/>
  </si>
  <si>
    <t>wind</t>
    <phoneticPr fontId="13" type="noConversion"/>
  </si>
  <si>
    <t>大华会计师事务所（特殊普通合伙）</t>
    <phoneticPr fontId="13" type="noConversion"/>
  </si>
  <si>
    <t>评级20160317</t>
    <phoneticPr fontId="13" type="noConversion"/>
  </si>
  <si>
    <t>http://www.fangchan.com/zt/top500/2015/</t>
    <phoneticPr fontId="13" type="noConversion"/>
  </si>
  <si>
    <t>使用子公司排名：西安紫薇地产开发有限公司</t>
    <phoneticPr fontId="13" type="noConversion"/>
  </si>
  <si>
    <t>一级</t>
    <phoneticPr fontId="13" type="noConversion"/>
  </si>
  <si>
    <t>公司下属子公司天地源股份有限公司为一级房地产开发资质</t>
    <phoneticPr fontId="13" type="noConversion"/>
  </si>
  <si>
    <t>募集20160317</t>
    <phoneticPr fontId="13" type="noConversion"/>
  </si>
  <si>
    <t>子公司资质：天地源股份有限公司</t>
    <phoneticPr fontId="13" type="noConversion"/>
  </si>
  <si>
    <t>数据缺失</t>
    <phoneticPr fontId="13" type="noConversion"/>
  </si>
  <si>
    <t>公司土地储备主要分布在西安</t>
    <phoneticPr fontId="13" type="noConversion"/>
  </si>
  <si>
    <t>评级20160705</t>
    <phoneticPr fontId="13" type="noConversion"/>
  </si>
  <si>
    <t>数据缺失</t>
    <phoneticPr fontId="13" type="noConversion"/>
  </si>
  <si>
    <t>公司在建项目主要分布在西安</t>
    <phoneticPr fontId="13" type="noConversion"/>
  </si>
  <si>
    <t>房地产开发业务：71.34%；制造业：19.22%；服务业：9.44%</t>
    <phoneticPr fontId="13" type="noConversion"/>
  </si>
  <si>
    <t>房地产开发业务：71.34%；制造业：19.22%；服务业：9.44%</t>
    <phoneticPr fontId="13" type="noConversion"/>
  </si>
  <si>
    <t>年报2015</t>
    <phoneticPr fontId="13" type="noConversion"/>
  </si>
  <si>
    <t>租赁收入：0.13亿元</t>
    <phoneticPr fontId="13" type="noConversion"/>
  </si>
  <si>
    <t>wind</t>
    <phoneticPr fontId="13" type="noConversion"/>
  </si>
  <si>
    <t>wind</t>
    <phoneticPr fontId="13" type="noConversion"/>
  </si>
  <si>
    <t>大华会计师事务所（特殊普通合伙）</t>
    <phoneticPr fontId="13" type="noConversion"/>
  </si>
  <si>
    <t>136021.SH</t>
    <phoneticPr fontId="13" type="noConversion"/>
  </si>
  <si>
    <t>黄飞</t>
    <phoneticPr fontId="13" type="noConversion"/>
  </si>
  <si>
    <t>新城控股集团股份有限公司</t>
    <phoneticPr fontId="13" type="noConversion"/>
  </si>
  <si>
    <t>实际控制人为王振华；实际控制人持股比例为72.56%</t>
    <phoneticPr fontId="13" type="noConversion"/>
  </si>
  <si>
    <t>王振华</t>
    <phoneticPr fontId="13" type="noConversion"/>
  </si>
  <si>
    <t>年报2015</t>
    <phoneticPr fontId="13" type="noConversion"/>
  </si>
  <si>
    <t>评级20160402</t>
    <phoneticPr fontId="13" type="noConversion"/>
  </si>
  <si>
    <t>评级20151030</t>
    <phoneticPr fontId="13" type="noConversion"/>
  </si>
  <si>
    <t>评级20151030</t>
    <phoneticPr fontId="13" type="noConversion"/>
  </si>
  <si>
    <t>评级20160402</t>
    <phoneticPr fontId="13" type="noConversion"/>
  </si>
  <si>
    <t>一级</t>
    <phoneticPr fontId="13" type="noConversion"/>
  </si>
  <si>
    <t>公司具有国家一级房地产开发资质。</t>
    <phoneticPr fontId="13" type="noConversion"/>
  </si>
  <si>
    <t>公司土地储备主要集中在上海、杭州、苏州、武汉、台州、宁波、镇江、丹阳、义乌、绍兴、成都等，主要集中在二三线城市。</t>
    <phoneticPr fontId="13" type="noConversion"/>
  </si>
  <si>
    <t>数据缺失</t>
    <phoneticPr fontId="13" type="noConversion"/>
  </si>
  <si>
    <t>募集20170309</t>
    <phoneticPr fontId="13" type="noConversion"/>
  </si>
  <si>
    <t>一线城市占比为0.80%；二线城市占比为49.68%；三线城市占比为36.27%；四线及以下城市占比为13.25%.</t>
    <phoneticPr fontId="13" type="noConversion"/>
  </si>
  <si>
    <t>募集20170309</t>
    <phoneticPr fontId="13" type="noConversion"/>
  </si>
  <si>
    <t>房产销售：99.27%</t>
    <phoneticPr fontId="13" type="noConversion"/>
  </si>
  <si>
    <t>物业出租：1.69</t>
    <phoneticPr fontId="13" type="noConversion"/>
  </si>
  <si>
    <t>wind</t>
    <phoneticPr fontId="13" type="noConversion"/>
  </si>
  <si>
    <t>普华永道中天会计师事务所（特殊普通合伙）</t>
    <phoneticPr fontId="13" type="noConversion"/>
  </si>
  <si>
    <t>122406.SH</t>
    <phoneticPr fontId="13" type="noConversion"/>
  </si>
  <si>
    <t>新湖中宝股份有限公司</t>
    <phoneticPr fontId="13" type="noConversion"/>
  </si>
  <si>
    <t>实际控制人为黄伟；实际控制人持股比例为37.44%</t>
    <phoneticPr fontId="13" type="noConversion"/>
  </si>
  <si>
    <t>黄伟</t>
    <phoneticPr fontId="13" type="noConversion"/>
  </si>
  <si>
    <t>年报2014</t>
    <phoneticPr fontId="13" type="noConversion"/>
  </si>
  <si>
    <t>评级20160615</t>
    <phoneticPr fontId="13" type="noConversion"/>
  </si>
  <si>
    <t>评级20150721</t>
    <phoneticPr fontId="13" type="noConversion"/>
  </si>
  <si>
    <t>评级20150721</t>
    <phoneticPr fontId="13" type="noConversion"/>
  </si>
  <si>
    <t>评级20160615</t>
    <phoneticPr fontId="13" type="noConversion"/>
  </si>
  <si>
    <t>子公司资质：浙江新湖房地产集团有限公司</t>
    <phoneticPr fontId="13" type="noConversion"/>
  </si>
  <si>
    <t>截至2014年9月末待开发建筑面积</t>
    <phoneticPr fontId="13" type="noConversion"/>
  </si>
  <si>
    <t>根据公司2011-2014.9土地获取情况，大部分规划建筑面积都在二线及三线城市</t>
    <phoneticPr fontId="13" type="noConversion"/>
  </si>
  <si>
    <t>评级20160615</t>
    <phoneticPr fontId="13" type="noConversion"/>
  </si>
  <si>
    <t>一线城市占比为4.87%；二线城市占比为41.90%；三线城市占比为22%；四线城市及以下占比为31.22%</t>
    <phoneticPr fontId="13" type="noConversion"/>
  </si>
  <si>
    <t>房地产：57.89%；商业贸易：37.43%</t>
    <phoneticPr fontId="13" type="noConversion"/>
  </si>
  <si>
    <t>年报2014</t>
    <phoneticPr fontId="13" type="noConversion"/>
  </si>
  <si>
    <t>募集20150721</t>
    <phoneticPr fontId="13" type="noConversion"/>
  </si>
  <si>
    <t>wind</t>
    <phoneticPr fontId="13" type="noConversion"/>
  </si>
  <si>
    <t>其中按揭担保：46.15亿元</t>
    <phoneticPr fontId="13" type="noConversion"/>
  </si>
  <si>
    <t>124357.SH</t>
  </si>
  <si>
    <t>冯羽</t>
    <phoneticPr fontId="13" type="noConversion"/>
  </si>
  <si>
    <t>杨凤</t>
  </si>
  <si>
    <t>天津房地产集团有限公司</t>
    <phoneticPr fontId="13" type="noConversion"/>
  </si>
  <si>
    <t>实际控制人为天津市人民政府国有资产监督管理委员会;实际控制人持股比例为100%</t>
    <phoneticPr fontId="13" type="noConversion"/>
  </si>
  <si>
    <t>天津市人民政府国有资产监督管理委员会</t>
  </si>
  <si>
    <t>评级20160901</t>
    <phoneticPr fontId="13" type="noConversion"/>
  </si>
  <si>
    <t>销售均价*销售面积</t>
    <phoneticPr fontId="13" type="noConversion"/>
  </si>
  <si>
    <t>评级20160901</t>
    <phoneticPr fontId="13" type="noConversion"/>
  </si>
  <si>
    <t>销售均价*销售面积</t>
    <phoneticPr fontId="13" type="noConversion"/>
  </si>
  <si>
    <t>评级20150831</t>
    <phoneticPr fontId="13" type="noConversion"/>
  </si>
  <si>
    <t>评级20160901</t>
    <phoneticPr fontId="13" type="noConversion"/>
  </si>
  <si>
    <t>使用子公司排名：天津市房地产发展（集团）股份有限公司</t>
    <phoneticPr fontId="13" type="noConversion"/>
  </si>
  <si>
    <t>公司以房地产开发为主业，是国家二级企业、房地产开发一级企业</t>
    <phoneticPr fontId="13" type="noConversion"/>
  </si>
  <si>
    <t>评级20150829</t>
    <phoneticPr fontId="13" type="noConversion"/>
  </si>
  <si>
    <t>子公司资质：天津市房地产发展（集团）股份有限公司</t>
    <phoneticPr fontId="13" type="noConversion"/>
  </si>
  <si>
    <t>根据公司土地购置情况，土地储备分布在天津</t>
    <phoneticPr fontId="13" type="noConversion"/>
  </si>
  <si>
    <t>施工面积</t>
  </si>
  <si>
    <t>公司房地产开发业务主要集中在天津市</t>
    <phoneticPr fontId="13" type="noConversion"/>
  </si>
  <si>
    <t>房地产开发：60.18%   商品销售收入：26.92%</t>
    <phoneticPr fontId="13" type="noConversion"/>
  </si>
  <si>
    <t>物业收入：2.97亿元</t>
    <phoneticPr fontId="13" type="noConversion"/>
  </si>
  <si>
    <t>财报2015</t>
    <phoneticPr fontId="13" type="noConversion"/>
  </si>
  <si>
    <t>2015年末公司受限资产占期末总资产的比重为36.01%</t>
    <phoneticPr fontId="13" type="noConversion"/>
  </si>
  <si>
    <t>中审华寅五洲会计师事务所（特殊普通合伙）</t>
    <phoneticPr fontId="13" type="noConversion"/>
  </si>
  <si>
    <t>122421.SH</t>
  </si>
  <si>
    <t>天津市房地产发展(集团)股份有限公司</t>
    <phoneticPr fontId="13" type="noConversion"/>
  </si>
  <si>
    <t>实际控制人为天津市国有资产监督管理委员会;实际控制人持股比例为25.11%</t>
    <phoneticPr fontId="13" type="noConversion"/>
  </si>
  <si>
    <t>天津市国有资产监督管理委员会</t>
  </si>
  <si>
    <t>年报2014</t>
    <phoneticPr fontId="13" type="noConversion"/>
  </si>
  <si>
    <t>评级20150828</t>
    <phoneticPr fontId="13" type="noConversion"/>
  </si>
  <si>
    <t>募集20150804</t>
    <phoneticPr fontId="13" type="noConversion"/>
  </si>
  <si>
    <t>评级20150804</t>
  </si>
  <si>
    <t>评级20150804</t>
    <phoneticPr fontId="13" type="noConversion"/>
  </si>
  <si>
    <t>公司拥有一级资质，其证书编号为建开企[2001]044号</t>
    <phoneticPr fontId="13" type="noConversion"/>
  </si>
  <si>
    <t>评级20150804</t>
    <phoneticPr fontId="13" type="noConversion"/>
  </si>
  <si>
    <t>一线城市占比为0%；二线城市占比为100%；三线城市占比为0%；四线城市及以下占比为0%</t>
    <phoneticPr fontId="13" type="noConversion"/>
  </si>
  <si>
    <t>评级20160811</t>
    <phoneticPr fontId="13" type="noConversion"/>
  </si>
  <si>
    <t>评级20160924</t>
    <phoneticPr fontId="13" type="noConversion"/>
  </si>
  <si>
    <t>评级20180804</t>
    <phoneticPr fontId="13" type="noConversion"/>
  </si>
  <si>
    <t>一线城市占比为0%；二线城市占比为100%；三线城市占比为0%；四线城市及以下占比为0%</t>
    <phoneticPr fontId="13" type="noConversion"/>
  </si>
  <si>
    <t>房地产业务：98.52%</t>
    <phoneticPr fontId="13" type="noConversion"/>
  </si>
  <si>
    <t>房地产：98.52%</t>
    <phoneticPr fontId="13" type="noConversion"/>
  </si>
  <si>
    <t>物业收入：0.9亿元</t>
    <phoneticPr fontId="13" type="noConversion"/>
  </si>
  <si>
    <t>wind</t>
    <phoneticPr fontId="13" type="noConversion"/>
  </si>
  <si>
    <t>截至2015年3月末</t>
    <phoneticPr fontId="13" type="noConversion"/>
  </si>
  <si>
    <t>中喜会计师事务所（特殊普通合伙）</t>
    <phoneticPr fontId="13" type="noConversion"/>
  </si>
  <si>
    <t>冯羽</t>
    <phoneticPr fontId="13" type="noConversion"/>
  </si>
  <si>
    <t>凌知昌</t>
    <phoneticPr fontId="13" type="noConversion"/>
  </si>
  <si>
    <t>天津市房地产发展(集团)股份有限公司</t>
    <phoneticPr fontId="13" type="noConversion"/>
  </si>
  <si>
    <t>天津市国有资产监督管理委员会</t>
    <phoneticPr fontId="13" type="noConversion"/>
  </si>
  <si>
    <t>评级20140423</t>
    <phoneticPr fontId="13" type="noConversion"/>
  </si>
  <si>
    <t>评级20150805</t>
  </si>
  <si>
    <t>http://www.phbang.cn/finance/corporation/141594.html</t>
    <phoneticPr fontId="13" type="noConversion"/>
  </si>
  <si>
    <t>公司拥有一级资质，其证书编号为建开企[2001]044号</t>
  </si>
  <si>
    <t>募集20150804</t>
  </si>
  <si>
    <t>评级20150804</t>
    <phoneticPr fontId="13" type="noConversion"/>
  </si>
  <si>
    <t>年报2013</t>
    <phoneticPr fontId="13" type="noConversion"/>
  </si>
  <si>
    <t>评级20160811</t>
  </si>
  <si>
    <t>房地产业务：91.82%；建筑材料：8.18%</t>
    <phoneticPr fontId="13" type="noConversion"/>
  </si>
  <si>
    <t>房地产业务：91.82%；建筑材料：8.18%</t>
    <phoneticPr fontId="13" type="noConversion"/>
  </si>
  <si>
    <t>物业收入：0.92亿元</t>
    <phoneticPr fontId="13" type="noConversion"/>
  </si>
  <si>
    <t>东财</t>
    <phoneticPr fontId="13" type="noConversion"/>
  </si>
  <si>
    <t>截至2014年3月末</t>
    <phoneticPr fontId="13" type="noConversion"/>
  </si>
  <si>
    <t>评级20140628</t>
    <phoneticPr fontId="13" type="noConversion"/>
  </si>
  <si>
    <t>评级20140628</t>
    <phoneticPr fontId="13" type="noConversion"/>
  </si>
  <si>
    <t>124583.SH</t>
  </si>
  <si>
    <t>天津市房地产信托集团有限公司</t>
  </si>
  <si>
    <t>否</t>
    <phoneticPr fontId="13" type="noConversion"/>
  </si>
  <si>
    <t>房地产业务收入占比小于50%；年报2015</t>
    <phoneticPr fontId="13" type="noConversion"/>
  </si>
  <si>
    <t>112285.SZ</t>
  </si>
  <si>
    <t>万科企业股份有限公司</t>
    <phoneticPr fontId="13" type="noConversion"/>
  </si>
  <si>
    <t>实际控制人为国务院国有资产监督管理委员会;实际控制人持股比例为14.7%</t>
    <phoneticPr fontId="13" type="noConversion"/>
  </si>
  <si>
    <t>国务院国有资产监督管理委员会</t>
    <phoneticPr fontId="13" type="noConversion"/>
  </si>
  <si>
    <t>年报2013</t>
    <phoneticPr fontId="13" type="noConversion"/>
  </si>
  <si>
    <t>募集20141217</t>
    <phoneticPr fontId="13" type="noConversion"/>
  </si>
  <si>
    <t>募集20141217</t>
    <phoneticPr fontId="13" type="noConversion"/>
  </si>
  <si>
    <t>公司具备房地产开发一级资质</t>
    <phoneticPr fontId="13" type="noConversion"/>
  </si>
  <si>
    <t>募集20141217</t>
    <phoneticPr fontId="13" type="noConversion"/>
  </si>
  <si>
    <t>一线城市占比为59.72%；二线城市占比为30.21%；三线城市占比为10.07%；四线城市及以下占比为0%</t>
    <phoneticPr fontId="13" type="noConversion"/>
  </si>
  <si>
    <t>年报2013</t>
    <phoneticPr fontId="13" type="noConversion"/>
  </si>
  <si>
    <t>一线城市占比为12.83%；二线城市占比为61.02%；三线城市占比为20.59%；四线城市及以下占比为5.56%</t>
    <phoneticPr fontId="13" type="noConversion"/>
  </si>
  <si>
    <t>房地产：98.90%</t>
    <phoneticPr fontId="13" type="noConversion"/>
  </si>
  <si>
    <t>物业管理：14.71亿元</t>
    <phoneticPr fontId="13" type="noConversion"/>
  </si>
  <si>
    <t>年报2013</t>
  </si>
  <si>
    <t>评级20160511</t>
    <phoneticPr fontId="13" type="noConversion"/>
  </si>
  <si>
    <t>评级20150923</t>
    <phoneticPr fontId="13" type="noConversion"/>
  </si>
  <si>
    <t>毕马威华振会计师事务所（特殊普通合伙）</t>
    <phoneticPr fontId="13" type="noConversion"/>
  </si>
  <si>
    <t>按揭担保</t>
    <phoneticPr fontId="13" type="noConversion"/>
  </si>
  <si>
    <t>101461030.IB</t>
  </si>
  <si>
    <t>冯羽</t>
    <phoneticPr fontId="13" type="noConversion"/>
  </si>
  <si>
    <t>凌知昌</t>
    <phoneticPr fontId="13" type="noConversion"/>
  </si>
  <si>
    <t>温州市现代服务业投资集团有限公司</t>
  </si>
  <si>
    <t>否</t>
    <phoneticPr fontId="13" type="noConversion"/>
  </si>
  <si>
    <t>房地产业务收入占比小于50%；财报2015</t>
    <phoneticPr fontId="13" type="noConversion"/>
  </si>
  <si>
    <t>凌知昌</t>
    <phoneticPr fontId="13" type="noConversion"/>
  </si>
  <si>
    <t>否</t>
    <phoneticPr fontId="13" type="noConversion"/>
  </si>
  <si>
    <t>房地产业务收入占比小于50%；年报2013</t>
    <phoneticPr fontId="13" type="noConversion"/>
  </si>
  <si>
    <t>公司拥有房地产开发一级资质</t>
    <phoneticPr fontId="13" type="noConversion"/>
  </si>
  <si>
    <t>评级20140703</t>
    <phoneticPr fontId="13" type="noConversion"/>
  </si>
  <si>
    <t>评级20130515</t>
    <phoneticPr fontId="13" type="noConversion"/>
  </si>
  <si>
    <t>评级20130515</t>
    <phoneticPr fontId="13" type="noConversion"/>
  </si>
  <si>
    <t>黄飞</t>
  </si>
  <si>
    <t>112381.SZ</t>
  </si>
  <si>
    <t>冯羽</t>
    <phoneticPr fontId="13" type="noConversion"/>
  </si>
  <si>
    <t>凌知昌</t>
    <phoneticPr fontId="13" type="noConversion"/>
  </si>
  <si>
    <t>新华联文化旅游发展股份有限公司</t>
    <phoneticPr fontId="13" type="noConversion"/>
  </si>
  <si>
    <t>傅军</t>
    <phoneticPr fontId="13" type="noConversion"/>
  </si>
  <si>
    <t>实际控制人持股比例大于20%且50%</t>
    <phoneticPr fontId="13" type="noConversion"/>
  </si>
  <si>
    <t>年报2015</t>
    <phoneticPr fontId="13" type="noConversion"/>
  </si>
  <si>
    <t>评级20160618</t>
    <phoneticPr fontId="13" type="noConversion"/>
  </si>
  <si>
    <t>评级20160618</t>
    <phoneticPr fontId="13" type="noConversion"/>
  </si>
  <si>
    <t>原名：新华联不动产股份有限公司</t>
    <phoneticPr fontId="13" type="noConversion"/>
  </si>
  <si>
    <t>一级</t>
    <phoneticPr fontId="13" type="noConversion"/>
  </si>
  <si>
    <t>评级20150924</t>
    <phoneticPr fontId="13" type="noConversion"/>
  </si>
  <si>
    <t>子公司资质：北京新华联置地有限公司</t>
    <phoneticPr fontId="13" type="noConversion"/>
  </si>
  <si>
    <t>数据缺失</t>
    <phoneticPr fontId="13" type="noConversion"/>
  </si>
  <si>
    <t>包括悉尼1.0832万平方米</t>
    <phoneticPr fontId="13" type="noConversion"/>
  </si>
  <si>
    <t>包括悉尼1.0832万平方米</t>
    <phoneticPr fontId="13" type="noConversion"/>
  </si>
  <si>
    <t>一线城市占比为23.39%；二线城市占比为29.81%；三线城市占比为19.47%；四线城市及以下占比为26.02%</t>
    <phoneticPr fontId="13" type="noConversion"/>
  </si>
  <si>
    <t>不包括悉尼1.30%</t>
    <phoneticPr fontId="13" type="noConversion"/>
  </si>
  <si>
    <t>评级20160618</t>
    <phoneticPr fontId="13" type="noConversion"/>
  </si>
  <si>
    <t>开复工面积</t>
  </si>
  <si>
    <t>计容建筑面积（马来西亚18.3157万平方米）</t>
    <phoneticPr fontId="13" type="noConversion"/>
  </si>
  <si>
    <t>一线城市占比为4.41%；二线城市占比为29.95%;三线城市占比为45.52%；四线城市及以下占比为18.40%</t>
    <phoneticPr fontId="13" type="noConversion"/>
  </si>
  <si>
    <t>不包括马来西亚占比1.73%</t>
    <phoneticPr fontId="13" type="noConversion"/>
  </si>
  <si>
    <t>房地产销售：97.85%</t>
    <phoneticPr fontId="13" type="noConversion"/>
  </si>
  <si>
    <t>wind</t>
    <phoneticPr fontId="13" type="noConversion"/>
  </si>
  <si>
    <t>年报2015</t>
    <phoneticPr fontId="13" type="noConversion"/>
  </si>
  <si>
    <t>天健会计师事务所（特殊普通合伙）</t>
  </si>
  <si>
    <t>新华联文化旅游发展股份有限公司</t>
    <phoneticPr fontId="13" type="noConversion"/>
  </si>
  <si>
    <t>傅军</t>
  </si>
  <si>
    <t>评级20160618</t>
  </si>
  <si>
    <t>原名：新华联不动产股份有限公司</t>
  </si>
  <si>
    <t>评级20150611</t>
    <phoneticPr fontId="13" type="noConversion"/>
  </si>
  <si>
    <t>募集20150924</t>
    <phoneticPr fontId="13" type="noConversion"/>
  </si>
  <si>
    <t>包括马来西亚19.16万平方米</t>
    <phoneticPr fontId="13" type="noConversion"/>
  </si>
  <si>
    <t>一线城市占比为0%；二线城市占比为22.71%；三线城市占比为35.46%；四线城市及以下占比为32.68%</t>
    <phoneticPr fontId="13" type="noConversion"/>
  </si>
  <si>
    <t>不包括马来西亚9.15%</t>
    <phoneticPr fontId="13" type="noConversion"/>
  </si>
  <si>
    <t>一线城市占比为4.52%；二线城市占比为14.7%；三线城市占比为65.79%；四线城市及以下占比为14.99%</t>
    <phoneticPr fontId="13" type="noConversion"/>
  </si>
  <si>
    <t>商品房销售占比96.32%</t>
    <phoneticPr fontId="13" type="noConversion"/>
  </si>
  <si>
    <t>136126.SH</t>
    <phoneticPr fontId="13" type="noConversion"/>
  </si>
  <si>
    <t>凌知昌</t>
    <phoneticPr fontId="13" type="noConversion"/>
  </si>
  <si>
    <t>鑫苑(中国)置业有限公司</t>
  </si>
  <si>
    <t>实际控制人为张勇夫妇;实际控制人持股比例为35.76%</t>
    <phoneticPr fontId="13" type="noConversion"/>
  </si>
  <si>
    <t>张勇夫妇</t>
  </si>
  <si>
    <t>评级20160521</t>
    <phoneticPr fontId="13" type="noConversion"/>
  </si>
  <si>
    <t>评级20160521</t>
    <phoneticPr fontId="13" type="noConversion"/>
  </si>
  <si>
    <t>评级20151224</t>
    <phoneticPr fontId="13" type="noConversion"/>
  </si>
  <si>
    <t>评级20151224</t>
    <phoneticPr fontId="13" type="noConversion"/>
  </si>
  <si>
    <t>二级</t>
  </si>
  <si>
    <t>公司拥有二级资质，其证书编号为410111292</t>
  </si>
  <si>
    <t>募集20151224</t>
    <phoneticPr fontId="13" type="noConversion"/>
  </si>
  <si>
    <t>数据缺失</t>
    <phoneticPr fontId="13" type="noConversion"/>
  </si>
  <si>
    <t>房地产开发94.89%</t>
    <phoneticPr fontId="13" type="noConversion"/>
  </si>
  <si>
    <t>物业及租赁收入：3.53亿元</t>
    <phoneticPr fontId="13" type="noConversion"/>
  </si>
  <si>
    <t>wind</t>
    <phoneticPr fontId="13" type="noConversion"/>
  </si>
  <si>
    <t>年报2015</t>
    <phoneticPr fontId="13" type="noConversion"/>
  </si>
  <si>
    <t>北京兴华会计师事务所（特殊普通合伙）</t>
    <phoneticPr fontId="13" type="noConversion"/>
  </si>
  <si>
    <t>112323.SZ</t>
  </si>
  <si>
    <t>冯羽</t>
    <phoneticPr fontId="13" type="noConversion"/>
  </si>
  <si>
    <t>信达投资有限公司</t>
  </si>
  <si>
    <t>实际控制人为财政部;实际控制人持股比例为67.84%</t>
    <phoneticPr fontId="13" type="noConversion"/>
  </si>
  <si>
    <t>财政部</t>
    <phoneticPr fontId="13" type="noConversion"/>
  </si>
  <si>
    <t>评级20151217</t>
    <phoneticPr fontId="13" type="noConversion"/>
  </si>
  <si>
    <t>评级20151217</t>
    <phoneticPr fontId="13" type="noConversion"/>
  </si>
  <si>
    <t>使用子公司排名：信达地产股份有限公司</t>
    <phoneticPr fontId="13" type="noConversion"/>
  </si>
  <si>
    <t>一级</t>
    <phoneticPr fontId="13" type="noConversion"/>
  </si>
  <si>
    <t>发行人房地产开发业务主要集中于其子公司信达地产，信达地产拥有房地产一级开发资质</t>
    <phoneticPr fontId="13" type="noConversion"/>
  </si>
  <si>
    <t>募集20160118</t>
    <phoneticPr fontId="13" type="noConversion"/>
  </si>
  <si>
    <t>子公司资质：信达地产股份有限公司</t>
    <phoneticPr fontId="13" type="noConversion"/>
  </si>
  <si>
    <t>评级20151217</t>
    <phoneticPr fontId="13" type="noConversion"/>
  </si>
  <si>
    <t>房地产销售收入占比61.12%；利息收入占比9.83%；酒店经营收入占比6.99%；租赁收入占比6.12%；处置投资性房地产收入占比7.19%</t>
    <phoneticPr fontId="13" type="noConversion"/>
  </si>
  <si>
    <t>物业管理及租赁收入：5.844782亿元</t>
    <phoneticPr fontId="13" type="noConversion"/>
  </si>
  <si>
    <t>wind</t>
    <phoneticPr fontId="13" type="noConversion"/>
  </si>
  <si>
    <t>其中按揭担保：15.75亿元</t>
    <phoneticPr fontId="13" type="noConversion"/>
  </si>
  <si>
    <t>wind</t>
    <phoneticPr fontId="13" type="noConversion"/>
  </si>
  <si>
    <t>136037.SH</t>
    <phoneticPr fontId="13" type="noConversion"/>
  </si>
  <si>
    <t>冯羽</t>
    <phoneticPr fontId="13" type="noConversion"/>
  </si>
  <si>
    <t>凌知昌</t>
    <phoneticPr fontId="13" type="noConversion"/>
  </si>
  <si>
    <t>旭辉集团股份有限公司</t>
    <phoneticPr fontId="13" type="noConversion"/>
  </si>
  <si>
    <t>实际控制人为林伟；实际控制人持股比例为9.17%</t>
    <phoneticPr fontId="13" type="noConversion"/>
  </si>
  <si>
    <t>林伟</t>
    <phoneticPr fontId="13" type="noConversion"/>
  </si>
  <si>
    <t>年报2015</t>
    <phoneticPr fontId="13" type="noConversion"/>
  </si>
  <si>
    <t>募集20151109</t>
    <phoneticPr fontId="13" type="noConversion"/>
  </si>
  <si>
    <t>募集20151109</t>
    <phoneticPr fontId="13" type="noConversion"/>
  </si>
  <si>
    <t>年报2015</t>
    <phoneticPr fontId="13" type="noConversion"/>
  </si>
  <si>
    <t>募集20151109</t>
    <phoneticPr fontId="13" type="noConversion"/>
  </si>
  <si>
    <t>募集20151109</t>
    <phoneticPr fontId="13" type="noConversion"/>
  </si>
  <si>
    <t>年报2015</t>
    <phoneticPr fontId="13" type="noConversion"/>
  </si>
  <si>
    <t>年报2015</t>
    <phoneticPr fontId="13" type="noConversion"/>
  </si>
  <si>
    <t>使用母公司排名：旭辉控股（集团）有限公司</t>
    <phoneticPr fontId="13" type="noConversion"/>
  </si>
  <si>
    <t>本公司具有中国房地产开发企业一级资质</t>
    <phoneticPr fontId="13" type="noConversion"/>
  </si>
  <si>
    <t>评级20160630</t>
    <phoneticPr fontId="13" type="noConversion"/>
  </si>
  <si>
    <t>一线城市占比为33.54%；二线城市占比为66.46%；三线城市占比为0%；四线城市及以下占比为0%</t>
    <phoneticPr fontId="13" type="noConversion"/>
  </si>
  <si>
    <t>评级20160630</t>
    <phoneticPr fontId="13" type="noConversion"/>
  </si>
  <si>
    <t>评级20160630</t>
    <phoneticPr fontId="13" type="noConversion"/>
  </si>
  <si>
    <t>评级20160630</t>
    <phoneticPr fontId="13" type="noConversion"/>
  </si>
  <si>
    <t>评级20160630</t>
    <phoneticPr fontId="13" type="noConversion"/>
  </si>
  <si>
    <t>一线城市占比为30.10%；二线城市占比为69.90%；三线城市占比为0%；四线城市及以下占比为0%</t>
    <phoneticPr fontId="13" type="noConversion"/>
  </si>
  <si>
    <t>房地产销售占比93.19%；物业出租占比0.28%；物业管理及物业相关服务占比6.53%</t>
    <phoneticPr fontId="13" type="noConversion"/>
  </si>
  <si>
    <t>物业出租、管理及与物业相关服务：9.799712899亿元</t>
    <phoneticPr fontId="13" type="noConversion"/>
  </si>
  <si>
    <t>wind</t>
    <phoneticPr fontId="13" type="noConversion"/>
  </si>
  <si>
    <t>wind</t>
    <phoneticPr fontId="13" type="noConversion"/>
  </si>
  <si>
    <t>wind</t>
    <phoneticPr fontId="13" type="noConversion"/>
  </si>
  <si>
    <t>评级20160630</t>
    <phoneticPr fontId="13" type="noConversion"/>
  </si>
  <si>
    <t>112267.SZ</t>
  </si>
  <si>
    <t>阳光城集团股份有限公司</t>
    <phoneticPr fontId="13" type="noConversion"/>
  </si>
  <si>
    <t>吴洁</t>
    <phoneticPr fontId="13" type="noConversion"/>
  </si>
  <si>
    <t>评级20160923</t>
    <phoneticPr fontId="13" type="noConversion"/>
  </si>
  <si>
    <t>评级20160923</t>
    <phoneticPr fontId="13" type="noConversion"/>
  </si>
  <si>
    <t>本公司具有中国房地产开发企业一级资质</t>
    <phoneticPr fontId="13" type="noConversion"/>
  </si>
  <si>
    <t>募集20160825</t>
    <phoneticPr fontId="13" type="noConversion"/>
  </si>
  <si>
    <t>子公司资质：福建阳光房地产开发有限公司</t>
    <phoneticPr fontId="13" type="noConversion"/>
  </si>
  <si>
    <t>募集20160825</t>
    <phoneticPr fontId="13" type="noConversion"/>
  </si>
  <si>
    <t>计容面积</t>
    <phoneticPr fontId="13" type="noConversion"/>
  </si>
  <si>
    <t>计容面积</t>
    <phoneticPr fontId="13" type="noConversion"/>
  </si>
  <si>
    <t>一线城市占比为5.38%；二线城市占比为94.62%；三线城市占比为0.00%；四线城市及以下占比为0.00%</t>
    <phoneticPr fontId="13" type="noConversion"/>
  </si>
  <si>
    <t>截至2016年3月末</t>
    <phoneticPr fontId="13" type="noConversion"/>
  </si>
  <si>
    <t>一线城市占比为4.30%；二线城市占比为80.50%;三线城市占比为4.59%；四线城市及以下占比为10.61%</t>
    <phoneticPr fontId="13" type="noConversion"/>
  </si>
  <si>
    <t>房地产销售：94.42%   商品贸易和出口贸易：5.55%</t>
    <phoneticPr fontId="13" type="noConversion"/>
  </si>
  <si>
    <t>房地产销售：94.42%   商品贸易和出口贸易：5.55%</t>
    <phoneticPr fontId="13" type="noConversion"/>
  </si>
  <si>
    <t>评级20160825</t>
    <phoneticPr fontId="13" type="noConversion"/>
  </si>
  <si>
    <t>立信中联会计师事务所（特殊普通合伙）</t>
  </si>
  <si>
    <t>按揭担保：177.25亿元</t>
    <phoneticPr fontId="13" type="noConversion"/>
  </si>
  <si>
    <t>112301.SZ</t>
    <phoneticPr fontId="13" type="noConversion"/>
  </si>
  <si>
    <t>中国武夷实业股份有限公司</t>
  </si>
  <si>
    <t>实际控制人为福建省人民政府国有资产监督管理委员会；实际控制人持股比例为51.01%</t>
    <phoneticPr fontId="13" type="noConversion"/>
  </si>
  <si>
    <t>福建省人民政府国有资产监督管理委员会</t>
    <phoneticPr fontId="13" type="noConversion"/>
  </si>
  <si>
    <t>累计计容建筑面积及；包括境外国家肯尼亚</t>
    <phoneticPr fontId="13" type="noConversion"/>
  </si>
  <si>
    <t>一线城市占比为64.06%；二线城市占比为0；三线城市占比为13.19%；四线城市及以下占比为6.18%</t>
    <phoneticPr fontId="13" type="noConversion"/>
  </si>
  <si>
    <t>年报2015</t>
    <phoneticPr fontId="13" type="noConversion"/>
  </si>
  <si>
    <t>包含香港和肯尼亚</t>
    <phoneticPr fontId="13" type="noConversion"/>
  </si>
  <si>
    <t>一线城市占比为25.46%；二线城市占比为42.36%；三线城市占比为1.66%；四线城市及以下占比为30.23%</t>
    <phoneticPr fontId="13" type="noConversion"/>
  </si>
  <si>
    <t>计容建筑面积（香港与肯尼亚占比0.29%）</t>
    <phoneticPr fontId="13" type="noConversion"/>
  </si>
  <si>
    <t>房地产开发：58.73%；工程承包业务：39.11%</t>
    <phoneticPr fontId="13" type="noConversion"/>
  </si>
  <si>
    <t>物业管理：0.09亿元；租赁及其他业务：0.44亿元</t>
    <phoneticPr fontId="13" type="noConversion"/>
  </si>
  <si>
    <t>wind</t>
    <phoneticPr fontId="13" type="noConversion"/>
  </si>
  <si>
    <t>评级20160608</t>
    <phoneticPr fontId="13" type="noConversion"/>
  </si>
  <si>
    <t>评级20160608</t>
    <phoneticPr fontId="13" type="noConversion"/>
  </si>
  <si>
    <t>福建华兴会计师事务所（特殊普通合伙）</t>
  </si>
  <si>
    <t>136376.SH</t>
    <phoneticPr fontId="13" type="noConversion"/>
  </si>
  <si>
    <t>凌知昌</t>
    <phoneticPr fontId="13" type="noConversion"/>
  </si>
  <si>
    <t>中国希格玛有限公司</t>
    <phoneticPr fontId="13" type="noConversion"/>
  </si>
  <si>
    <t>实际控制人为王晓岩；实际控制人持股比例为45.96%.</t>
    <phoneticPr fontId="13" type="noConversion"/>
  </si>
  <si>
    <t>王晓岩</t>
    <phoneticPr fontId="13" type="noConversion"/>
  </si>
  <si>
    <t>评级20160720</t>
    <phoneticPr fontId="13" type="noConversion"/>
  </si>
  <si>
    <t>评级20160411</t>
    <phoneticPr fontId="13" type="noConversion"/>
  </si>
  <si>
    <t>评级20160411</t>
    <phoneticPr fontId="13" type="noConversion"/>
  </si>
  <si>
    <t>公司具备房地产三级开发资质</t>
    <phoneticPr fontId="13" type="noConversion"/>
  </si>
  <si>
    <t>募集20160411</t>
    <phoneticPr fontId="13" type="noConversion"/>
  </si>
  <si>
    <t>数据缺失</t>
    <phoneticPr fontId="13" type="noConversion"/>
  </si>
  <si>
    <t>房地产销售业务：46.69%；客房餐饮：40.07%；物业管理及其他：13.24%.</t>
    <phoneticPr fontId="13" type="noConversion"/>
  </si>
  <si>
    <t>年报2015</t>
    <phoneticPr fontId="13" type="noConversion"/>
  </si>
  <si>
    <t>物业管理及其他：1.12亿元</t>
    <phoneticPr fontId="13" type="noConversion"/>
  </si>
  <si>
    <t>wind</t>
    <phoneticPr fontId="13" type="noConversion"/>
  </si>
  <si>
    <t>112326.SZ</t>
    <phoneticPr fontId="13" type="noConversion"/>
  </si>
  <si>
    <t>中弘控股股份有限公司</t>
    <phoneticPr fontId="13" type="noConversion"/>
  </si>
  <si>
    <t>实际控制人为王永红；实际控制人持股比例为34.51%</t>
    <phoneticPr fontId="13" type="noConversion"/>
  </si>
  <si>
    <t>王永红</t>
    <phoneticPr fontId="13" type="noConversion"/>
  </si>
  <si>
    <t>评级20160621</t>
    <phoneticPr fontId="13" type="noConversion"/>
  </si>
  <si>
    <t>评级20160621</t>
    <phoneticPr fontId="13" type="noConversion"/>
  </si>
  <si>
    <t>一线城市占比为36.95%；二线城市占比为34.88%；三线城市占比为9.26%；四线城市及以下占比为18.91%</t>
    <phoneticPr fontId="13" type="noConversion"/>
  </si>
  <si>
    <t>计容建筑面积</t>
  </si>
  <si>
    <t>一线城市占比为19.93%；二线城市占比为14.79%；三线城市占比为57.18%；四线及以下城市占比为8.10%</t>
    <phoneticPr fontId="13" type="noConversion"/>
  </si>
  <si>
    <t>房屋销售：100%</t>
    <phoneticPr fontId="13" type="noConversion"/>
  </si>
  <si>
    <t>房屋销售：100%</t>
    <phoneticPr fontId="13" type="noConversion"/>
  </si>
  <si>
    <t>物业服务：0.77亿元；房屋租赁：0.018亿元</t>
    <phoneticPr fontId="13" type="noConversion"/>
  </si>
  <si>
    <t>wind</t>
    <phoneticPr fontId="13" type="noConversion"/>
  </si>
  <si>
    <t>募集20160121</t>
    <phoneticPr fontId="13" type="noConversion"/>
  </si>
  <si>
    <t>亚太（集团）会计师事务所（特殊普通合伙）</t>
  </si>
  <si>
    <t>实际控制人为王永红；实际控制人持股比例为34.51%</t>
    <phoneticPr fontId="13" type="noConversion"/>
  </si>
  <si>
    <t>王永红</t>
    <phoneticPr fontId="13" type="noConversion"/>
  </si>
  <si>
    <t>评级20150626</t>
    <phoneticPr fontId="13" type="noConversion"/>
  </si>
  <si>
    <t>截至2015年3月末公司土地储备情况</t>
    <phoneticPr fontId="13" type="noConversion"/>
  </si>
  <si>
    <t>一线城市占比为23.70%；二线城市占比为13.86%；三线城市占比为57.91%；四线城市及以下占比为4.53%</t>
    <phoneticPr fontId="13" type="noConversion"/>
  </si>
  <si>
    <t>物业服务：0.95亿元</t>
    <phoneticPr fontId="13" type="noConversion"/>
  </si>
  <si>
    <t>募集20141231</t>
    <phoneticPr fontId="13" type="noConversion"/>
  </si>
  <si>
    <t>天健会计师事务所（特殊普通合伙</t>
  </si>
  <si>
    <t>122330.SH</t>
  </si>
  <si>
    <t>黄梦瑶</t>
  </si>
  <si>
    <t>中华企业股份有限公司</t>
  </si>
  <si>
    <t>实际控制人为上海市国资委；实际控制人持股比例为36.36%.</t>
    <phoneticPr fontId="13" type="noConversion"/>
  </si>
  <si>
    <t>上海市国资委</t>
    <phoneticPr fontId="13" type="noConversion"/>
  </si>
  <si>
    <t>评级20160519</t>
    <phoneticPr fontId="13" type="noConversion"/>
  </si>
  <si>
    <t>评级20160519</t>
    <phoneticPr fontId="13" type="noConversion"/>
  </si>
  <si>
    <t>评级20160519</t>
    <phoneticPr fontId="13" type="noConversion"/>
  </si>
  <si>
    <t>公司具有国家一级房地产开发资质。</t>
    <phoneticPr fontId="13" type="noConversion"/>
  </si>
  <si>
    <t>数据缺失</t>
    <phoneticPr fontId="13" type="noConversion"/>
  </si>
  <si>
    <t>截至 2015年末，公司土地储备项目主要为上海世博会地区城市最佳实践区 E08-01A地块（南楼）
和上海世博会地区城市最佳实践区 E06-04A 地块（北楼），上海崇明前哨农场地块和上海市崇明八滧水闸东侧
地块。</t>
    <phoneticPr fontId="13" type="noConversion"/>
  </si>
  <si>
    <t>数据缺失</t>
    <phoneticPr fontId="13" type="noConversion"/>
  </si>
  <si>
    <t>一线城市占比为51.66%；二线城市占比为48.34%；三线城市占比为0；四线及以下城市占比为0.</t>
    <phoneticPr fontId="13" type="noConversion"/>
  </si>
  <si>
    <t>房地产行业：95.24%</t>
    <phoneticPr fontId="13" type="noConversion"/>
  </si>
  <si>
    <t>房屋租赁：3.39亿元</t>
    <phoneticPr fontId="13" type="noConversion"/>
  </si>
  <si>
    <t>年报2015</t>
    <phoneticPr fontId="13" type="noConversion"/>
  </si>
  <si>
    <t>136212.SH</t>
    <phoneticPr fontId="13" type="noConversion"/>
  </si>
  <si>
    <t>凌知昌</t>
    <phoneticPr fontId="13" type="noConversion"/>
  </si>
  <si>
    <t>中交地产有限公司</t>
  </si>
  <si>
    <t>实际控制人为国务院国资委；实际控制人持股比例为100%.</t>
    <phoneticPr fontId="13" type="noConversion"/>
  </si>
  <si>
    <t>国务院国资委</t>
    <phoneticPr fontId="13" type="noConversion"/>
  </si>
  <si>
    <t>评级20160126</t>
    <phoneticPr fontId="13" type="noConversion"/>
  </si>
  <si>
    <t>募集20160126</t>
    <phoneticPr fontId="13" type="noConversion"/>
  </si>
  <si>
    <t>未上榜</t>
    <phoneticPr fontId="13" type="noConversion"/>
  </si>
  <si>
    <t>一级</t>
    <phoneticPr fontId="13" type="noConversion"/>
  </si>
  <si>
    <t>公司具有国家一级房地产开发资质。</t>
  </si>
  <si>
    <t>子公司资质：华通置业有限公司</t>
    <phoneticPr fontId="13" type="noConversion"/>
  </si>
  <si>
    <t>数据缺失</t>
    <phoneticPr fontId="13" type="noConversion"/>
  </si>
  <si>
    <t>数据缺失</t>
    <phoneticPr fontId="13" type="noConversion"/>
  </si>
  <si>
    <t>募集20160126</t>
    <phoneticPr fontId="13" type="noConversion"/>
  </si>
  <si>
    <t>整体看公司土地储备主要分布于二、三线城市，拿地成本相对较低</t>
  </si>
  <si>
    <t>评级20160126</t>
    <phoneticPr fontId="13" type="noConversion"/>
  </si>
  <si>
    <t>评级20160126</t>
    <phoneticPr fontId="13" type="noConversion"/>
  </si>
  <si>
    <t>募集20160126</t>
    <phoneticPr fontId="13" type="noConversion"/>
  </si>
  <si>
    <t>公司项目主要集中在二、三、四线城市</t>
    <phoneticPr fontId="13" type="noConversion"/>
  </si>
  <si>
    <t>房地产开发：77.48%；BT或BOT项目：13.51%</t>
    <phoneticPr fontId="13" type="noConversion"/>
  </si>
  <si>
    <t>物业管理及房屋租赁：0.6865亿元</t>
    <phoneticPr fontId="13" type="noConversion"/>
  </si>
  <si>
    <t>wind</t>
    <phoneticPr fontId="13" type="noConversion"/>
  </si>
  <si>
    <t>112271.SZ</t>
    <phoneticPr fontId="13" type="noConversion"/>
  </si>
  <si>
    <t>凌知昌</t>
    <phoneticPr fontId="13" type="noConversion"/>
  </si>
  <si>
    <t>中粮地产(集团)股份有限公司</t>
    <phoneticPr fontId="13" type="noConversion"/>
  </si>
  <si>
    <t>实际控制人为国务院国有资产监督管理委员会；实际控制人持股比例为45.67%.</t>
    <phoneticPr fontId="13" type="noConversion"/>
  </si>
  <si>
    <t>年报2015</t>
    <phoneticPr fontId="13" type="noConversion"/>
  </si>
  <si>
    <t>评级20160525</t>
    <phoneticPr fontId="13" type="noConversion"/>
  </si>
  <si>
    <t>评级20150918</t>
    <phoneticPr fontId="13" type="noConversion"/>
  </si>
  <si>
    <t>评级20160525</t>
    <phoneticPr fontId="13" type="noConversion"/>
  </si>
  <si>
    <t>http://219.142.101.72/showcorpinfo/showcorpinfo.aspx</t>
    <phoneticPr fontId="13" type="noConversion"/>
  </si>
  <si>
    <t>评级20160525</t>
    <phoneticPr fontId="13" type="noConversion"/>
  </si>
  <si>
    <t>计容建筑面积</t>
    <phoneticPr fontId="13" type="noConversion"/>
  </si>
  <si>
    <t>一线城市占比为73.07%；二线城市占比为26.93%；三线城市占比为0；四线及以下城市占比为0.</t>
    <phoneticPr fontId="13" type="noConversion"/>
  </si>
  <si>
    <t>评级20160624</t>
    <phoneticPr fontId="13" type="noConversion"/>
  </si>
  <si>
    <t>一线城市占比为44.19%；二线城市占比为55.81%；三线城市占比为0；四线及以下城市占比为0.</t>
    <phoneticPr fontId="13" type="noConversion"/>
  </si>
  <si>
    <t>商品房销售：96.59%</t>
    <phoneticPr fontId="13" type="noConversion"/>
  </si>
  <si>
    <t>物业管理:1.1603533593亿元；房屋租赁：3.3899260029亿元</t>
    <phoneticPr fontId="13" type="noConversion"/>
  </si>
  <si>
    <t>wind</t>
    <phoneticPr fontId="13" type="noConversion"/>
  </si>
  <si>
    <t>112271.SZ</t>
  </si>
  <si>
    <t>中粮地产(集团)股份有限公司</t>
  </si>
  <si>
    <t>国务院国有资产监督管理委员会</t>
    <phoneticPr fontId="13" type="noConversion"/>
  </si>
  <si>
    <t>年报2014</t>
    <phoneticPr fontId="13" type="noConversion"/>
  </si>
  <si>
    <t>评级20150918</t>
    <phoneticPr fontId="13" type="noConversion"/>
  </si>
  <si>
    <t>评级20150918</t>
    <phoneticPr fontId="13" type="noConversion"/>
  </si>
  <si>
    <t>http://www.fangchan.com/zt/top500/2015/</t>
    <phoneticPr fontId="13" type="noConversion"/>
  </si>
  <si>
    <t>一级</t>
    <phoneticPr fontId="13" type="noConversion"/>
  </si>
  <si>
    <t>募集20150813</t>
    <phoneticPr fontId="13" type="noConversion"/>
  </si>
  <si>
    <t>募集20150813</t>
    <phoneticPr fontId="13" type="noConversion"/>
  </si>
  <si>
    <t>一线城市占比为74.07%；二线城市占比为25.93%；三线城市占比为0；四线及以下城市占比为0.</t>
    <phoneticPr fontId="13" type="noConversion"/>
  </si>
  <si>
    <t>一线城市占比为34.06%；二线城市占比为65.94%；三线城市占比为0；四线及以下城市占比为0.</t>
    <phoneticPr fontId="13" type="noConversion"/>
  </si>
  <si>
    <t>商品房销售：95.88%</t>
    <phoneticPr fontId="13" type="noConversion"/>
  </si>
  <si>
    <t>年报2014</t>
    <phoneticPr fontId="13" type="noConversion"/>
  </si>
  <si>
    <t>物业管理及来料加工：1.05；房屋租赁：2.53亿元</t>
    <phoneticPr fontId="13" type="noConversion"/>
  </si>
  <si>
    <t>瑞华会计师事务所（特殊普通合伙)</t>
  </si>
  <si>
    <t>凌知昌</t>
    <phoneticPr fontId="13" type="noConversion"/>
  </si>
  <si>
    <t>中粮地产(集团)股份有限公司</t>
    <phoneticPr fontId="13" type="noConversion"/>
  </si>
  <si>
    <t>国务院国有资产监督管理委员会</t>
    <phoneticPr fontId="13" type="noConversion"/>
  </si>
  <si>
    <t>评级20140510</t>
    <phoneticPr fontId="13" type="noConversion"/>
  </si>
  <si>
    <t>评级20140510</t>
    <phoneticPr fontId="13" type="noConversion"/>
  </si>
  <si>
    <t>评级20140510</t>
    <phoneticPr fontId="13" type="noConversion"/>
  </si>
  <si>
    <t>一级</t>
    <phoneticPr fontId="13" type="noConversion"/>
  </si>
  <si>
    <t>评级20150813</t>
    <phoneticPr fontId="13" type="noConversion"/>
  </si>
  <si>
    <t>数据缺失</t>
    <phoneticPr fontId="13" type="noConversion"/>
  </si>
  <si>
    <t>商品房销售：96.58%</t>
    <phoneticPr fontId="13" type="noConversion"/>
  </si>
  <si>
    <t>物业管理及租赁3.33亿元</t>
    <phoneticPr fontId="13" type="noConversion"/>
  </si>
  <si>
    <t>数据缺失</t>
    <phoneticPr fontId="13" type="noConversion"/>
  </si>
  <si>
    <t>wind</t>
    <phoneticPr fontId="13" type="noConversion"/>
  </si>
  <si>
    <t>136147.SH</t>
  </si>
  <si>
    <t>中粮置业投资有限公司</t>
  </si>
  <si>
    <t>实际控制人为国务院国资委；实际控制人持股比例为66.83%</t>
    <phoneticPr fontId="13" type="noConversion"/>
  </si>
  <si>
    <t>国务院国资委</t>
    <phoneticPr fontId="13" type="noConversion"/>
  </si>
  <si>
    <t>评级20160113</t>
    <phoneticPr fontId="13" type="noConversion"/>
  </si>
  <si>
    <t>评级20160113</t>
    <phoneticPr fontId="13" type="noConversion"/>
  </si>
  <si>
    <t>使用母公司排名：中粮(集团）股份有限公司</t>
    <phoneticPr fontId="13" type="noConversion"/>
  </si>
  <si>
    <t>数据缺失</t>
    <phoneticPr fontId="13" type="noConversion"/>
  </si>
  <si>
    <t>评级20160113</t>
    <phoneticPr fontId="13" type="noConversion"/>
  </si>
  <si>
    <t>募集20160111</t>
    <phoneticPr fontId="13" type="noConversion"/>
  </si>
  <si>
    <t>房地产销售：20.88%；出租业务：68.24%；物业费：7.63%</t>
    <phoneticPr fontId="13" type="noConversion"/>
  </si>
  <si>
    <t>募集20160111</t>
    <phoneticPr fontId="13" type="noConversion"/>
  </si>
  <si>
    <t>物业管理及租赁：16.85亿元</t>
    <phoneticPr fontId="13" type="noConversion"/>
  </si>
  <si>
    <t>wind</t>
    <phoneticPr fontId="13" type="noConversion"/>
  </si>
  <si>
    <t>wind</t>
    <phoneticPr fontId="13" type="noConversion"/>
  </si>
  <si>
    <t>天职国际会计师事务所（特殊普通合伙）</t>
    <phoneticPr fontId="13" type="noConversion"/>
  </si>
  <si>
    <t>101564047.IB</t>
    <phoneticPr fontId="13" type="noConversion"/>
  </si>
  <si>
    <t>凌知昌</t>
    <phoneticPr fontId="13" type="noConversion"/>
  </si>
  <si>
    <t>中天城投集团股份有限公司</t>
  </si>
  <si>
    <t>实际控制人为罗玉平；实际控制人持股比例为29.64%.</t>
    <phoneticPr fontId="13" type="noConversion"/>
  </si>
  <si>
    <t>评级20150929</t>
    <phoneticPr fontId="13" type="noConversion"/>
  </si>
  <si>
    <t>评级20150929</t>
    <phoneticPr fontId="13" type="noConversion"/>
  </si>
  <si>
    <t>评级20150929</t>
    <phoneticPr fontId="13" type="noConversion"/>
  </si>
  <si>
    <t>http://www.fangchan.com/zt/top500/2015/</t>
    <phoneticPr fontId="13" type="noConversion"/>
  </si>
  <si>
    <t>募集20150929</t>
    <phoneticPr fontId="13" type="noConversion"/>
  </si>
  <si>
    <t>数据缺失</t>
    <phoneticPr fontId="13" type="noConversion"/>
  </si>
  <si>
    <t>一线城市占比为0；二线城市占比为0.59%；三线城市占比为96.92%；四线及以下城市占比为2.49%.</t>
    <phoneticPr fontId="13" type="noConversion"/>
  </si>
  <si>
    <t>一线城市占比为0；二线城市占比为0.59%；三线城市占比为95.80%；四线及以下城市占比为3.61%.</t>
    <phoneticPr fontId="13" type="noConversion"/>
  </si>
  <si>
    <t>房地产开发业务：100%</t>
    <phoneticPr fontId="13" type="noConversion"/>
  </si>
  <si>
    <t>房地产开发与经营：100%</t>
    <phoneticPr fontId="13" type="noConversion"/>
  </si>
  <si>
    <t>年报2014</t>
    <phoneticPr fontId="13" type="noConversion"/>
  </si>
  <si>
    <t>物业管理及房屋租赁：1.44亿元</t>
    <phoneticPr fontId="13" type="noConversion"/>
  </si>
  <si>
    <t>年报2014</t>
    <phoneticPr fontId="13" type="noConversion"/>
  </si>
  <si>
    <t>wind</t>
    <phoneticPr fontId="13" type="noConversion"/>
  </si>
  <si>
    <t>信永中和会计师事务所（特殊普通合伙）</t>
    <phoneticPr fontId="13" type="noConversion"/>
  </si>
  <si>
    <t>信永中和会计师事务所（特殊普通合伙）</t>
    <phoneticPr fontId="13" type="noConversion"/>
  </si>
  <si>
    <t>按揭贷款担保：46.43亿元</t>
    <phoneticPr fontId="13" type="noConversion"/>
  </si>
  <si>
    <t>112433.SZ</t>
    <phoneticPr fontId="13" type="noConversion"/>
  </si>
  <si>
    <t>银亿房地产股份有限公司</t>
    <phoneticPr fontId="13" type="noConversion"/>
  </si>
  <si>
    <t>实际控制人为熊续强；实际控制人持股比例为66.12%</t>
    <phoneticPr fontId="13" type="noConversion"/>
  </si>
  <si>
    <t>熊续强</t>
  </si>
  <si>
    <t>年报2015</t>
    <phoneticPr fontId="13" type="noConversion"/>
  </si>
  <si>
    <t>募集20160617</t>
    <phoneticPr fontId="13" type="noConversion"/>
  </si>
  <si>
    <t>募集20160617</t>
    <phoneticPr fontId="13" type="noConversion"/>
  </si>
  <si>
    <t>使用子公司排名：宁波银亿房地产开发有限公司</t>
    <phoneticPr fontId="13" type="noConversion"/>
  </si>
  <si>
    <t>一级</t>
    <phoneticPr fontId="13" type="noConversion"/>
  </si>
  <si>
    <t>公司拥有国家一级房地产开发资质（证书编号：建开企【2005】484号）</t>
    <phoneticPr fontId="13" type="noConversion"/>
  </si>
  <si>
    <t>此数据为子公司沈阳银亿房地产公司截至2015年末累计支付的土地款。</t>
    <phoneticPr fontId="13" type="noConversion"/>
  </si>
  <si>
    <t>一线城市占比为0%；二线城市占比为37.32%；三线城市占比为25.06%；四线城市及以下占比为35.56%</t>
    <phoneticPr fontId="13" type="noConversion"/>
  </si>
  <si>
    <t>计容建筑面积（不包括韩国济州岛2.06%</t>
    <phoneticPr fontId="13" type="noConversion"/>
  </si>
  <si>
    <t>评级20160818</t>
  </si>
  <si>
    <t>一线城市占比为9.20%；二线城市占比为78.81%；三线城市占比为11.98%；四线及以下城市占比为0.</t>
    <phoneticPr fontId="13" type="noConversion"/>
  </si>
  <si>
    <t>房地产销售：94.75%；物业管理：3.13%</t>
    <phoneticPr fontId="13" type="noConversion"/>
  </si>
  <si>
    <t>房地产销售：94.75%；物业管理：3.13%</t>
    <phoneticPr fontId="13" type="noConversion"/>
  </si>
  <si>
    <t>物业管理收入：2.63亿元</t>
    <phoneticPr fontId="13" type="noConversion"/>
  </si>
  <si>
    <t>年报2015</t>
    <phoneticPr fontId="13" type="noConversion"/>
  </si>
  <si>
    <t>wind</t>
    <phoneticPr fontId="13" type="noConversion"/>
  </si>
  <si>
    <t>评级20160818</t>
    <phoneticPr fontId="13" type="noConversion"/>
  </si>
  <si>
    <t>年报2015</t>
    <phoneticPr fontId="13" type="noConversion"/>
  </si>
  <si>
    <t>募集20151222</t>
    <phoneticPr fontId="13" type="noConversion"/>
  </si>
  <si>
    <t>募集20151222</t>
    <phoneticPr fontId="13" type="noConversion"/>
  </si>
  <si>
    <t>募集20151222</t>
    <phoneticPr fontId="13" type="noConversion"/>
  </si>
  <si>
    <t>使用子公司排名：宁波银亿房地产开发有限公司</t>
    <phoneticPr fontId="13" type="noConversion"/>
  </si>
  <si>
    <t>募集20160817</t>
    <phoneticPr fontId="13" type="noConversion"/>
  </si>
  <si>
    <t>年报2014</t>
    <phoneticPr fontId="13" type="noConversion"/>
  </si>
  <si>
    <t>土地面积*平均楼面单价。报告期内，公司新增土地面积71.57万平方米，新增建设规模103.24万平方米；2012-2014年公司整体土地取得成本折合楼面价为1381.10元/平方米.</t>
    <phoneticPr fontId="13" type="noConversion"/>
  </si>
  <si>
    <t>截至到2015年6月末</t>
    <phoneticPr fontId="13" type="noConversion"/>
  </si>
  <si>
    <t>截至到2015年3月末</t>
    <phoneticPr fontId="13" type="noConversion"/>
  </si>
  <si>
    <t>一线城市占比为0；二线城市占比为37.32%；三线城市占比为25.07%；四线及以下城市占比为35.56%；国外城市占比为2.06%.</t>
    <phoneticPr fontId="13" type="noConversion"/>
  </si>
  <si>
    <t>此数据与评级20151224中的数据总规划建筑面积一致，城市占比中评级20151224数据显示一线城市上海有土地储备面积占比为3.01%. 募集20151222中显示无一线城市土地储备.</t>
    <phoneticPr fontId="13" type="noConversion"/>
  </si>
  <si>
    <t>募集20151222</t>
    <phoneticPr fontId="13" type="noConversion"/>
  </si>
  <si>
    <t>募集20151222</t>
    <phoneticPr fontId="13" type="noConversion"/>
  </si>
  <si>
    <t>一线城市占比为4.42%；二线城市占比为85.32%；三线城市占比为10.26%；四线城市及以下占比为0%</t>
    <phoneticPr fontId="13" type="noConversion"/>
  </si>
  <si>
    <t>年报2014</t>
    <phoneticPr fontId="13" type="noConversion"/>
  </si>
  <si>
    <t>房产销售：90.13%；物业管理：3.54%</t>
    <phoneticPr fontId="13" type="noConversion"/>
  </si>
  <si>
    <t>房产销售：90.13%；物业管理：3.54%</t>
    <phoneticPr fontId="13" type="noConversion"/>
  </si>
  <si>
    <t>物业管理收入：2.22亿元</t>
    <phoneticPr fontId="13" type="noConversion"/>
  </si>
  <si>
    <t>wind</t>
    <phoneticPr fontId="13" type="noConversion"/>
  </si>
  <si>
    <t>截至2015年6月末</t>
    <phoneticPr fontId="13" type="noConversion"/>
  </si>
  <si>
    <t>年报2015</t>
    <phoneticPr fontId="13" type="noConversion"/>
  </si>
  <si>
    <t>天健会计师事务所（特殊普通合伙）</t>
    <phoneticPr fontId="13" type="noConversion"/>
  </si>
  <si>
    <t>122497.SH</t>
    <phoneticPr fontId="13" type="noConversion"/>
  </si>
  <si>
    <t>远洋地产有限公司</t>
    <phoneticPr fontId="13" type="noConversion"/>
  </si>
  <si>
    <t>无实际控制人</t>
    <phoneticPr fontId="13" type="noConversion"/>
  </si>
  <si>
    <t>募集20150817</t>
    <phoneticPr fontId="13" type="noConversion"/>
  </si>
  <si>
    <t>募集20150817</t>
    <phoneticPr fontId="13" type="noConversion"/>
  </si>
  <si>
    <t>使用子公司排名：远洋地产控股有限公司</t>
    <phoneticPr fontId="13" type="noConversion"/>
  </si>
  <si>
    <t>一级</t>
    <phoneticPr fontId="13" type="noConversion"/>
  </si>
  <si>
    <t>公司具有房地产开发一级资质</t>
    <phoneticPr fontId="13" type="noConversion"/>
  </si>
  <si>
    <t>评级20150817</t>
    <phoneticPr fontId="13" type="noConversion"/>
  </si>
  <si>
    <t>拟建面积，文字显示是82.5万平方米，表格中整理数字为79.4万平方米。其中杨凤数据1147万平方米为截至2014年底总的土地储备面积.</t>
    <phoneticPr fontId="13" type="noConversion"/>
  </si>
  <si>
    <t>评级20150817</t>
    <phoneticPr fontId="13" type="noConversion"/>
  </si>
  <si>
    <t>一线城市占比为49.24%；二线城市占比为36.65%；三线城市占比为14.11%；四线城市及以下占比为0</t>
    <phoneticPr fontId="13" type="noConversion"/>
  </si>
  <si>
    <t>募集20151015</t>
    <phoneticPr fontId="13" type="noConversion"/>
  </si>
  <si>
    <t>一线城市占比为16.67%；二线城市占比为61.19%；三线城市占比为22.14%；四线城市及以下占比为0</t>
    <phoneticPr fontId="13" type="noConversion"/>
  </si>
  <si>
    <t>房地产销售：79.20%；；租金和物业服务：5.81%；装饰建筑工程：13.57%</t>
    <phoneticPr fontId="13" type="noConversion"/>
  </si>
  <si>
    <t>主营收入抵消金额为15.73亿元。</t>
    <phoneticPr fontId="13" type="noConversion"/>
  </si>
  <si>
    <t>房地产销售：79.20%；；租金和物业服务：5.81%；装饰建筑工程：13.57%</t>
    <phoneticPr fontId="13" type="noConversion"/>
  </si>
  <si>
    <t>租金收入：6.759亿元；物业服务收入：9.290亿元</t>
    <phoneticPr fontId="13" type="noConversion"/>
  </si>
  <si>
    <t>普华永道中天会计师事务所（特殊普通合伙）</t>
    <phoneticPr fontId="13" type="noConversion"/>
  </si>
  <si>
    <t>募集20150817</t>
    <phoneticPr fontId="13" type="noConversion"/>
  </si>
  <si>
    <t>按揭担保</t>
    <phoneticPr fontId="13" type="noConversion"/>
  </si>
  <si>
    <t>112435.SZ</t>
    <phoneticPr fontId="13" type="noConversion"/>
  </si>
  <si>
    <t>正兴隆房地产(深圳)有限公司</t>
  </si>
  <si>
    <t>实际控制人为黄康境;实际控制人持股比例为75%</t>
    <phoneticPr fontId="13" type="noConversion"/>
  </si>
  <si>
    <t>黄康境</t>
    <phoneticPr fontId="13" type="noConversion"/>
  </si>
  <si>
    <t>募集20160823</t>
    <phoneticPr fontId="13" type="noConversion"/>
  </si>
  <si>
    <t>数据缺失</t>
    <phoneticPr fontId="13" type="noConversion"/>
  </si>
  <si>
    <t>使用母公司排名：绿景控股股份有限公司</t>
    <phoneticPr fontId="13" type="noConversion"/>
  </si>
  <si>
    <t>二级</t>
    <phoneticPr fontId="13" type="noConversion"/>
  </si>
  <si>
    <t>公司拥有住建部颁发的房地产开发企业国家二级资质证书</t>
    <phoneticPr fontId="13" type="noConversion"/>
  </si>
  <si>
    <t>募集20160823</t>
    <phoneticPr fontId="13" type="noConversion"/>
  </si>
  <si>
    <t>商品房销售占比88.66%；租金占比7.25%；综合服务占比4.09%</t>
    <phoneticPr fontId="13" type="noConversion"/>
  </si>
  <si>
    <t>商品房销售占比88.66%；租金占比7.25%；综合服务占比4.09%</t>
  </si>
  <si>
    <t>租金：3.72亿元</t>
    <phoneticPr fontId="13" type="noConversion"/>
  </si>
  <si>
    <t>数据缺失</t>
    <phoneticPr fontId="13" type="noConversion"/>
  </si>
  <si>
    <t>wind</t>
    <phoneticPr fontId="13" type="noConversion"/>
  </si>
  <si>
    <t>募集20150823</t>
    <phoneticPr fontId="13" type="noConversion"/>
  </si>
  <si>
    <t>评级20160831</t>
    <phoneticPr fontId="13" type="noConversion"/>
  </si>
  <si>
    <t>毕马威华振会计师事务所（特殊普通合伙）</t>
  </si>
  <si>
    <t>募集20160823</t>
    <phoneticPr fontId="13" type="noConversion"/>
  </si>
  <si>
    <t>136548.SH</t>
    <phoneticPr fontId="13" type="noConversion"/>
  </si>
  <si>
    <t>正源房地产开发有限公司</t>
    <phoneticPr fontId="13" type="noConversion"/>
  </si>
  <si>
    <t>富彦斌</t>
  </si>
  <si>
    <t>募集20160713</t>
    <phoneticPr fontId="13" type="noConversion"/>
  </si>
  <si>
    <t>募集20160713</t>
    <phoneticPr fontId="13" type="noConversion"/>
  </si>
  <si>
    <t>评级20160713</t>
    <phoneticPr fontId="13" type="noConversion"/>
  </si>
  <si>
    <t>评级20160713</t>
    <phoneticPr fontId="13" type="noConversion"/>
  </si>
  <si>
    <t>一级</t>
    <phoneticPr fontId="13" type="noConversion"/>
  </si>
  <si>
    <t>公司具备房地产开发一级资质</t>
    <phoneticPr fontId="13" type="noConversion"/>
  </si>
  <si>
    <t>募集201601713</t>
    <phoneticPr fontId="13" type="noConversion"/>
  </si>
  <si>
    <t>一线城市占比为14.43%；二线城市占比为85.57%；三线城市占比为0；四线城市及以下占比为0</t>
    <phoneticPr fontId="13" type="noConversion"/>
  </si>
  <si>
    <t>截至2015年末， 公司主要在建项目集中在大连、重庆、长沙和南京。</t>
    <phoneticPr fontId="13" type="noConversion"/>
  </si>
  <si>
    <t>商品房销售占比61.09%；工程建设业务占比29.87%；其他业务占比9.04%</t>
    <phoneticPr fontId="13" type="noConversion"/>
  </si>
  <si>
    <t>数据缺失</t>
    <phoneticPr fontId="13" type="noConversion"/>
  </si>
  <si>
    <t>wind</t>
    <phoneticPr fontId="13" type="noConversion"/>
  </si>
  <si>
    <t>wind</t>
    <phoneticPr fontId="13" type="noConversion"/>
  </si>
  <si>
    <t>亚太（集团）会计师事务所（特殊普通合伙）</t>
    <phoneticPr fontId="13" type="noConversion"/>
  </si>
  <si>
    <t>112410.SZ</t>
    <phoneticPr fontId="13" type="noConversion"/>
  </si>
  <si>
    <t>中房地产股份有限公司</t>
    <phoneticPr fontId="13" type="noConversion"/>
  </si>
  <si>
    <t>实际控制人为国务院国有资产监督管理委员会;实际控制人持股比例为53.32%</t>
    <phoneticPr fontId="13" type="noConversion"/>
  </si>
  <si>
    <t>国务院国有资产监督管理委员会</t>
    <phoneticPr fontId="13" type="noConversion"/>
  </si>
  <si>
    <t>评级20160517</t>
    <phoneticPr fontId="13" type="noConversion"/>
  </si>
  <si>
    <t>评级20160517</t>
    <phoneticPr fontId="13" type="noConversion"/>
  </si>
  <si>
    <t>二级</t>
    <phoneticPr fontId="13" type="noConversion"/>
  </si>
  <si>
    <t>截至 2015 年 6 月底，公司具有房地产开发二级资质</t>
    <phoneticPr fontId="13" type="noConversion"/>
  </si>
  <si>
    <t>评级20160704</t>
    <phoneticPr fontId="13" type="noConversion"/>
  </si>
  <si>
    <t>年报2015</t>
    <phoneticPr fontId="13" type="noConversion"/>
  </si>
  <si>
    <t>公司2015度新增及待开发项目储备容积率面积</t>
    <phoneticPr fontId="13" type="noConversion"/>
  </si>
  <si>
    <t>公司2015度新增及待开发项目储备容积率面积</t>
    <phoneticPr fontId="13" type="noConversion"/>
  </si>
  <si>
    <t>一线城市占比为0；二线城市占比为100%；三线城市占比为0；四线及以下城市占比为0.</t>
    <phoneticPr fontId="13" type="noConversion"/>
  </si>
  <si>
    <t>评级20160517表格中显示的在建面积为59.21万平方米.此在建面积218.51万平方米为2015年度开发项目的规划总建筑面积-竣工面积.</t>
    <phoneticPr fontId="13" type="noConversion"/>
  </si>
  <si>
    <t>一线城市占比为0；二线城市占比为100%；三线城市占比为0；四线及以下城市占比为0.</t>
    <phoneticPr fontId="13" type="noConversion"/>
  </si>
  <si>
    <t>地产销售：96.12%</t>
    <phoneticPr fontId="13" type="noConversion"/>
  </si>
  <si>
    <t>工业产房租赁、管理：0.43亿元</t>
    <phoneticPr fontId="13" type="noConversion"/>
  </si>
  <si>
    <t>wind</t>
    <phoneticPr fontId="13" type="noConversion"/>
  </si>
  <si>
    <t>wind</t>
    <phoneticPr fontId="13" type="noConversion"/>
  </si>
  <si>
    <t>募集20160704</t>
    <phoneticPr fontId="13" type="noConversion"/>
  </si>
  <si>
    <t>为商品承购人提供抵押贷款担保为10.237596亿元；</t>
    <phoneticPr fontId="13" type="noConversion"/>
  </si>
  <si>
    <t>122386.SH</t>
    <phoneticPr fontId="13" type="noConversion"/>
  </si>
  <si>
    <t>重庆市迪马实业股份有限公司</t>
    <phoneticPr fontId="13" type="noConversion"/>
  </si>
  <si>
    <t>罗韶宇</t>
    <phoneticPr fontId="13" type="noConversion"/>
  </si>
  <si>
    <t>年报2013</t>
    <phoneticPr fontId="13" type="noConversion"/>
  </si>
  <si>
    <t>年报2013</t>
    <phoneticPr fontId="13" type="noConversion"/>
  </si>
  <si>
    <t>评级20150708</t>
    <phoneticPr fontId="13" type="noConversion"/>
  </si>
  <si>
    <t>未上榜</t>
    <phoneticPr fontId="13" type="noConversion"/>
  </si>
  <si>
    <t>具备房地产开发一级资质</t>
    <phoneticPr fontId="13" type="noConversion"/>
  </si>
  <si>
    <t>募集20160216</t>
    <phoneticPr fontId="13" type="noConversion"/>
  </si>
  <si>
    <t>募集20160216</t>
    <phoneticPr fontId="13" type="noConversion"/>
  </si>
  <si>
    <t>土地面积*楼面地价；2013年共取得3块土地，武昌区3.9万平方米*5435元/平方米=21196.5万元；重庆北部新区19万平方米*4960元/平方米=94240万元；重庆巴南区6.4万平方米*3100元/平方米=19840万元.</t>
    <phoneticPr fontId="13" type="noConversion"/>
  </si>
  <si>
    <t>一线城市占比为0%；二线城市占比为100%；三线城市占比为0%；四线城市及以下占比为0%</t>
  </si>
  <si>
    <t>募集20160216</t>
    <phoneticPr fontId="13" type="noConversion"/>
  </si>
  <si>
    <t>年报数据表格中有一个数据有矛盾；东原-西岸项目占地面积为116107平方米，总建筑面积为532370平方米。2013年总在建面积为93778平方米，然而在2013年新开工面积一栏却显示新开工面积为937778平方米。我认为是年报出现了笔误，多打了一个“7”。</t>
    <phoneticPr fontId="13" type="noConversion"/>
  </si>
  <si>
    <t>房地产业：71.64%；制造业：27.64%</t>
    <phoneticPr fontId="13" type="noConversion"/>
  </si>
  <si>
    <t>评级20150708</t>
    <phoneticPr fontId="13" type="noConversion"/>
  </si>
  <si>
    <t>年报2013</t>
    <phoneticPr fontId="13" type="noConversion"/>
  </si>
  <si>
    <t>112219.SZ</t>
    <phoneticPr fontId="13" type="noConversion"/>
  </si>
  <si>
    <t>重庆渝开发股份有限公司</t>
    <phoneticPr fontId="13" type="noConversion"/>
  </si>
  <si>
    <t>评级20161124</t>
    <phoneticPr fontId="13" type="noConversion"/>
  </si>
  <si>
    <t>公司具有房地产开发一级资质</t>
    <phoneticPr fontId="13" type="noConversion"/>
  </si>
  <si>
    <t>募集20161124</t>
    <phoneticPr fontId="13" type="noConversion"/>
  </si>
  <si>
    <t>评级20161124</t>
    <phoneticPr fontId="13" type="noConversion"/>
  </si>
  <si>
    <t>截至2015年末在建面积为61.6万平方米， 截至2016年6月末 ，公司主要在建项目为星河one和格莱美城. 在建分布全部集中在二线城市.</t>
    <phoneticPr fontId="13" type="noConversion"/>
  </si>
  <si>
    <t>房地产业：79.63%；住宿和餐饮业：7.22%；租赁和商业服务：8.42%</t>
    <phoneticPr fontId="13" type="noConversion"/>
  </si>
  <si>
    <t>物业管理：0.272亿元+房屋租赁0.394亿元</t>
    <phoneticPr fontId="13" type="noConversion"/>
  </si>
  <si>
    <t>122474.SH</t>
    <phoneticPr fontId="13" type="noConversion"/>
  </si>
  <si>
    <t>珠海格力房产有限公司</t>
    <phoneticPr fontId="13" type="noConversion"/>
  </si>
  <si>
    <t>实际控制人为珠海市国资委;实际控制人持股比例为51.94%</t>
    <phoneticPr fontId="13" type="noConversion"/>
  </si>
  <si>
    <t>珠海市国资委</t>
    <phoneticPr fontId="13" type="noConversion"/>
  </si>
  <si>
    <t>募集20150922</t>
    <phoneticPr fontId="13" type="noConversion"/>
  </si>
  <si>
    <t>评级20160629</t>
    <phoneticPr fontId="13" type="noConversion"/>
  </si>
  <si>
    <t>使用母公司排名：格力地产股份有限公司</t>
    <phoneticPr fontId="13" type="noConversion"/>
  </si>
  <si>
    <t>公司拥有一级资质，其证书编号为建开企[2012]1180 号</t>
    <phoneticPr fontId="13" type="noConversion"/>
  </si>
  <si>
    <t>评级20160629</t>
    <phoneticPr fontId="13" type="noConversion"/>
  </si>
  <si>
    <t>一线城市占比为3.45%；二线城市占比为0；三线城市占比为96.55%；四线城市及以下占比为0</t>
    <phoneticPr fontId="13" type="noConversion"/>
  </si>
  <si>
    <t>募集20150922</t>
    <phoneticPr fontId="13" type="noConversion"/>
  </si>
  <si>
    <t>评级20150922</t>
    <phoneticPr fontId="13" type="noConversion"/>
  </si>
  <si>
    <t>一线城市占比为0；二线城市占比为0；三线城市占比为100%；四线城市及以下占比为0</t>
    <phoneticPr fontId="13" type="noConversion"/>
  </si>
  <si>
    <t>房地产：97.30%</t>
    <phoneticPr fontId="13" type="noConversion"/>
  </si>
  <si>
    <t>房地产：97.30%</t>
    <phoneticPr fontId="13" type="noConversion"/>
  </si>
  <si>
    <t>出租业务：0.028亿元</t>
    <phoneticPr fontId="13" type="noConversion"/>
  </si>
  <si>
    <t>截至2015年3月末</t>
    <phoneticPr fontId="13" type="noConversion"/>
  </si>
  <si>
    <t>评级20150922</t>
    <phoneticPr fontId="13" type="noConversion"/>
  </si>
  <si>
    <t>购房按揭贷款担保：5.067亿元</t>
    <phoneticPr fontId="13" type="noConversion"/>
  </si>
  <si>
    <t>136057.SH</t>
  </si>
  <si>
    <t>冯羽</t>
    <phoneticPr fontId="13" type="noConversion"/>
  </si>
  <si>
    <t>珠海华发实业股份有限公司</t>
    <phoneticPr fontId="13" type="noConversion"/>
  </si>
  <si>
    <t>实际控制人为珠海市人民政府国有资产监督管理委员会；实际控制人持股比例为26.82%</t>
    <phoneticPr fontId="13" type="noConversion"/>
  </si>
  <si>
    <t>市级地方国有企业</t>
    <phoneticPr fontId="13" type="noConversion"/>
  </si>
  <si>
    <t>珠海市人民政府国有资产监督管理委员会</t>
    <phoneticPr fontId="13" type="noConversion"/>
  </si>
  <si>
    <t>年报2015</t>
    <phoneticPr fontId="13" type="noConversion"/>
  </si>
  <si>
    <t>募集20160707</t>
    <phoneticPr fontId="13" type="noConversion"/>
  </si>
  <si>
    <t>募集20160707</t>
  </si>
  <si>
    <t>公司拥有一级资质</t>
  </si>
  <si>
    <t>购地支出</t>
    <phoneticPr fontId="13" type="noConversion"/>
  </si>
  <si>
    <t>募集20160707</t>
    <phoneticPr fontId="13" type="noConversion"/>
  </si>
  <si>
    <t>计容积率建筑面积</t>
    <phoneticPr fontId="13" type="noConversion"/>
  </si>
  <si>
    <t>计容积率建筑面积</t>
    <phoneticPr fontId="13" type="noConversion"/>
  </si>
  <si>
    <t>一线城市占比为3.05%；二线城市占比为28.13%；三线城市占比为45.14%；四线城市及以下占比为23.68%</t>
    <phoneticPr fontId="13" type="noConversion"/>
  </si>
  <si>
    <t>计容积率建筑面积</t>
    <phoneticPr fontId="13" type="noConversion"/>
  </si>
  <si>
    <t>年报2015</t>
    <phoneticPr fontId="13" type="noConversion"/>
  </si>
  <si>
    <t>募集20160707</t>
    <phoneticPr fontId="13" type="noConversion"/>
  </si>
  <si>
    <t>凤数据不准确原因为漏了一项129970.03平方米的数据</t>
    <phoneticPr fontId="13" type="noConversion"/>
  </si>
  <si>
    <t>一线城市占比为9.43%；二线城市占比为20.24%；三线城市占比为70.33%；四线城市及以下占比为0</t>
    <phoneticPr fontId="13" type="noConversion"/>
  </si>
  <si>
    <t>房地产：100%</t>
    <phoneticPr fontId="13" type="noConversion"/>
  </si>
  <si>
    <t>年报2015</t>
    <phoneticPr fontId="13" type="noConversion"/>
  </si>
  <si>
    <t>年报2015</t>
    <phoneticPr fontId="13" type="noConversion"/>
  </si>
  <si>
    <t>评级20150421</t>
    <phoneticPr fontId="13" type="noConversion"/>
  </si>
  <si>
    <t>为购房人按揭贷款担保：0.001835亿元</t>
    <phoneticPr fontId="13" type="noConversion"/>
  </si>
  <si>
    <t>136057.SH</t>
    <phoneticPr fontId="13" type="noConversion"/>
  </si>
  <si>
    <t>冯羽</t>
    <phoneticPr fontId="13" type="noConversion"/>
  </si>
  <si>
    <t>珠海华发实业股份有限公司</t>
    <phoneticPr fontId="13" type="noConversion"/>
  </si>
  <si>
    <t>实际控制人为珠海市人民政府国有资产监督管理委员会；实际控制人持股比例为24.28%</t>
    <phoneticPr fontId="13" type="noConversion"/>
  </si>
  <si>
    <t>市级地方国有企业</t>
    <phoneticPr fontId="13" type="noConversion"/>
  </si>
  <si>
    <t>珠海市人民政府国有资产监督管理委员会</t>
  </si>
  <si>
    <t>年报2014</t>
    <phoneticPr fontId="13" type="noConversion"/>
  </si>
  <si>
    <t>评级20151124</t>
    <phoneticPr fontId="13" type="noConversion"/>
  </si>
  <si>
    <t>募集20160707</t>
    <phoneticPr fontId="13" type="noConversion"/>
  </si>
  <si>
    <t>购地支出</t>
    <phoneticPr fontId="13" type="noConversion"/>
  </si>
  <si>
    <t>评级20150421</t>
    <phoneticPr fontId="13" type="noConversion"/>
  </si>
  <si>
    <t>评级20150421</t>
    <phoneticPr fontId="13" type="noConversion"/>
  </si>
  <si>
    <t>一线城市占比为34.03%；二线城市占比为21.64%；三线城市占比为44.33%；四线城市及以下占比为0%</t>
    <phoneticPr fontId="13" type="noConversion"/>
  </si>
  <si>
    <t>评级20150421</t>
    <phoneticPr fontId="13" type="noConversion"/>
  </si>
  <si>
    <t>一线城市占比为3.43%；二线城市占比为21.97%；三线城市占比为62.47%；四线城市及以下占比为12.14%</t>
    <phoneticPr fontId="13" type="noConversion"/>
  </si>
  <si>
    <t>评级20150421</t>
    <phoneticPr fontId="13" type="noConversion"/>
  </si>
  <si>
    <t>房地产：100%</t>
    <phoneticPr fontId="13" type="noConversion"/>
  </si>
  <si>
    <t>购房按揭贷款担保：0.005981亿元</t>
    <phoneticPr fontId="13" type="noConversion"/>
  </si>
  <si>
    <t>实际控制人为重庆市国有资产监督管理委员会；实际控制人持股比例为63.19%</t>
    <phoneticPr fontId="13" type="noConversion"/>
  </si>
  <si>
    <t>重庆市国有资产监督管理委员会</t>
  </si>
  <si>
    <t>省级地方国有企业</t>
    <phoneticPr fontId="13" type="noConversion"/>
  </si>
  <si>
    <t>年报2015</t>
    <phoneticPr fontId="13" type="noConversion"/>
  </si>
  <si>
    <t>实际控制人为林文镜；实际控制人持股比例为47.67%</t>
    <phoneticPr fontId="13" type="noConversion"/>
  </si>
  <si>
    <t>民营企业</t>
    <phoneticPr fontId="13" type="noConversion"/>
  </si>
  <si>
    <t>林文镜</t>
    <phoneticPr fontId="13" type="noConversion"/>
  </si>
  <si>
    <t>评级20160727</t>
    <phoneticPr fontId="13" type="noConversion"/>
  </si>
  <si>
    <t xml:space="preserve">暂定 </t>
    <phoneticPr fontId="13" type="noConversion"/>
  </si>
  <si>
    <t xml:space="preserve">                                                                                                                                                                                                         </t>
    <phoneticPr fontId="13" type="noConversion"/>
  </si>
  <si>
    <t xml:space="preserve">暂定 </t>
    <phoneticPr fontId="13" type="noConversion"/>
  </si>
  <si>
    <t>http://www.shfg.gov.cn/content/kfqy/index.html?id=148787587696320190&amp;type=2</t>
  </si>
  <si>
    <t>二级</t>
    <phoneticPr fontId="13" type="noConversion"/>
  </si>
  <si>
    <t>评级20160727</t>
    <phoneticPr fontId="13" type="noConversion"/>
  </si>
  <si>
    <t>评级20160727</t>
    <phoneticPr fontId="13" type="noConversion"/>
  </si>
  <si>
    <t>物业租赁：7.53亿元</t>
    <phoneticPr fontId="13" type="noConversion"/>
  </si>
  <si>
    <t>评级20160909</t>
    <phoneticPr fontId="13" type="noConversion"/>
  </si>
  <si>
    <t>评级20150821</t>
    <phoneticPr fontId="13" type="noConversion"/>
  </si>
  <si>
    <t>评级20160614</t>
    <phoneticPr fontId="13" type="noConversion"/>
  </si>
  <si>
    <t>评级20161118</t>
    <phoneticPr fontId="13" type="noConversion"/>
  </si>
  <si>
    <t>评级20161118</t>
    <phoneticPr fontId="13" type="noConversion"/>
  </si>
  <si>
    <t>数据缺失</t>
    <phoneticPr fontId="13" type="noConversion"/>
  </si>
  <si>
    <t>募集20151014</t>
    <phoneticPr fontId="13" type="noConversion"/>
  </si>
  <si>
    <t>使用母公司排名：北京首都开发控股（集团）有限公司</t>
    <phoneticPr fontId="13" type="noConversion"/>
  </si>
  <si>
    <t>租金收入：0.12亿元</t>
    <phoneticPr fontId="13" type="noConversion"/>
  </si>
  <si>
    <t>年报2015</t>
    <phoneticPr fontId="11" type="noConversion"/>
  </si>
  <si>
    <t>wind</t>
    <phoneticPr fontId="13" type="noConversion"/>
  </si>
  <si>
    <t>房地产销售：：92.27%；酒店运营：7.69%</t>
    <phoneticPr fontId="13" type="noConversion"/>
  </si>
  <si>
    <t>房地产销售：92.27%；酒店运营：7.69%</t>
    <phoneticPr fontId="13" type="noConversion"/>
  </si>
  <si>
    <t>年报2015</t>
    <phoneticPr fontId="11" type="noConversion"/>
  </si>
  <si>
    <t>财报2013-2016年上半年</t>
    <phoneticPr fontId="13" type="noConversion"/>
  </si>
  <si>
    <t>募集20150708</t>
    <phoneticPr fontId="13" type="noConversion"/>
  </si>
  <si>
    <t>募集20160219</t>
    <phoneticPr fontId="13" type="noConversion"/>
  </si>
  <si>
    <t>募集20160219</t>
    <phoneticPr fontId="13" type="noConversion"/>
  </si>
  <si>
    <t>募集20160219</t>
    <phoneticPr fontId="13" type="noConversion"/>
  </si>
  <si>
    <t>评级20151130</t>
  </si>
  <si>
    <t>评级20151130</t>
    <phoneticPr fontId="13" type="noConversion"/>
  </si>
  <si>
    <t>原名：泛海建设集团股份有限公司</t>
    <phoneticPr fontId="13" type="noConversion"/>
  </si>
  <si>
    <t>使用子公司排名：金融街控股股份有限公司</t>
    <phoneticPr fontId="13" type="noConversion"/>
  </si>
  <si>
    <t>募集20160418</t>
    <phoneticPr fontId="13" type="noConversion"/>
  </si>
  <si>
    <t>募集20160330</t>
    <phoneticPr fontId="13" type="noConversion"/>
  </si>
  <si>
    <t xml:space="preserve">截至2015年9月末 </t>
    <phoneticPr fontId="13" type="noConversion"/>
  </si>
  <si>
    <t>募集20160930</t>
  </si>
  <si>
    <t>数据缺失</t>
    <phoneticPr fontId="13" type="noConversion"/>
  </si>
  <si>
    <t>数据缺失</t>
    <phoneticPr fontId="13" type="noConversion"/>
  </si>
  <si>
    <t>年报2015</t>
    <phoneticPr fontId="13" type="noConversion"/>
  </si>
  <si>
    <t>按揭担保</t>
    <phoneticPr fontId="13" type="noConversion"/>
  </si>
  <si>
    <t>房屋出租、公共设施服务及物业管理：3.4925270109亿元</t>
    <phoneticPr fontId="13" type="noConversion"/>
  </si>
  <si>
    <t>房屋出租、公共设施服务及物业管理：2.7161892105亿元</t>
    <phoneticPr fontId="13" type="noConversion"/>
  </si>
  <si>
    <t>年报2014</t>
    <phoneticPr fontId="13" type="noConversion"/>
  </si>
  <si>
    <t>房屋出租、公共设施服务及物业管理：2.2898894864亿元</t>
    <phoneticPr fontId="13" type="noConversion"/>
  </si>
  <si>
    <t>募集20161118</t>
    <phoneticPr fontId="13" type="noConversion"/>
  </si>
  <si>
    <t>评级20151231</t>
    <phoneticPr fontId="13" type="noConversion"/>
  </si>
  <si>
    <t>年报2015</t>
    <phoneticPr fontId="13" type="noConversion"/>
  </si>
  <si>
    <t>实际控制人为王健林；实际控制人持股比例为50.50%</t>
    <phoneticPr fontId="13" type="noConversion"/>
  </si>
  <si>
    <t>实际控制人为富彦斌；实际控制人持股比例为40.44%</t>
    <phoneticPr fontId="13" type="noConversion"/>
  </si>
  <si>
    <t>实际控制人为刘永好;实际控制人持股比例为29.26%</t>
    <phoneticPr fontId="13" type="noConversion"/>
  </si>
  <si>
    <t>实际控制人为孙宏斌；实际控制人持股比例为46.95%</t>
    <phoneticPr fontId="13" type="noConversion"/>
  </si>
  <si>
    <t>实际控制人为上海市嘉定区国有资产监督管理委员会；实际控制人持股比例为16.23%</t>
    <phoneticPr fontId="13" type="noConversion"/>
  </si>
  <si>
    <t>实际控制人为上海市嘉定区国有资产监督管理委员会；实际控制人持股比例为16.23%</t>
    <phoneticPr fontId="13" type="noConversion"/>
  </si>
  <si>
    <t>实际控制人为国务院国有资产监督管理委员会；实际控制人持股比例为50.65%</t>
    <phoneticPr fontId="13" type="noConversion"/>
  </si>
  <si>
    <t>实际控制人为国务院国有资产监督管理委员会；实际控制人持股比例为50.65%</t>
    <phoneticPr fontId="13" type="noConversion"/>
  </si>
  <si>
    <t>wind</t>
    <phoneticPr fontId="13" type="noConversion"/>
  </si>
  <si>
    <t>wind</t>
    <phoneticPr fontId="13" type="noConversion"/>
  </si>
  <si>
    <t>wind</t>
    <phoneticPr fontId="13" type="noConversion"/>
  </si>
  <si>
    <t>评级20160620</t>
    <phoneticPr fontId="13" type="noConversion"/>
  </si>
  <si>
    <t>一线城市占比为35.32%；二线城市占比为64.68%；三线城市占比为0，四线城市及以下占比为0</t>
    <phoneticPr fontId="13" type="noConversion"/>
  </si>
  <si>
    <t>公司在建项目主要分布在北京</t>
    <phoneticPr fontId="13" type="noConversion"/>
  </si>
  <si>
    <t>评级20160219</t>
    <phoneticPr fontId="13" type="noConversion"/>
  </si>
  <si>
    <t>评级20150821</t>
    <phoneticPr fontId="13" type="noConversion"/>
  </si>
  <si>
    <t>截至2015年3月底；计容建筑面积</t>
    <phoneticPr fontId="13" type="noConversion"/>
  </si>
  <si>
    <t>截至到2015年3月底；规划面积</t>
    <phoneticPr fontId="13" type="noConversion"/>
  </si>
  <si>
    <t>一线城市占比为24.3%；二线城市占比为36.68%；三线城市占比为39.02%；四线城市及以下占比为0</t>
    <phoneticPr fontId="13" type="noConversion"/>
  </si>
  <si>
    <t>评级20150821</t>
    <phoneticPr fontId="13" type="noConversion"/>
  </si>
  <si>
    <t>一线城市占比为0%；二线城市占比为100%；三线城市占比为0%；四线城市及以下占比为0</t>
    <phoneticPr fontId="13" type="noConversion"/>
  </si>
  <si>
    <t>评级20140513</t>
    <phoneticPr fontId="13" type="noConversion"/>
  </si>
  <si>
    <t>一线城市占比为51.89%；二线城市占比为48.11%；三线城市占比为0%；四线城市及以下占比为0</t>
    <phoneticPr fontId="13" type="noConversion"/>
  </si>
  <si>
    <t>评级20140513</t>
    <phoneticPr fontId="13" type="noConversion"/>
  </si>
  <si>
    <t>拟建项目建筑面积；河北香河县建筑面积待定</t>
    <phoneticPr fontId="13" type="noConversion"/>
  </si>
  <si>
    <t>拟建项目建筑面积；河北香河县建筑面积待定</t>
    <phoneticPr fontId="13" type="noConversion"/>
  </si>
  <si>
    <t>年报2014</t>
    <phoneticPr fontId="13" type="noConversion"/>
  </si>
  <si>
    <t>公司在建项目主要分布在杭州、黄山、舟山、肇庆</t>
    <phoneticPr fontId="13" type="noConversion"/>
  </si>
  <si>
    <t>实际控制人为中国世贸投资有限公司和嘉里兴业有限公司；实际控制人持股比例为80.65%.</t>
    <phoneticPr fontId="13" type="noConversion"/>
  </si>
  <si>
    <t>实际控制人为傅军;实际控制人持股比例为31.13%</t>
    <phoneticPr fontId="13" type="noConversion"/>
  </si>
  <si>
    <t>实际控制人为傅军;实际控制人持股比例为34.43%</t>
    <phoneticPr fontId="13" type="noConversion"/>
  </si>
  <si>
    <t>实际控制人为吴洁;实际控制人持股比例为14.55%</t>
    <phoneticPr fontId="13" type="noConversion"/>
  </si>
  <si>
    <t>实际控制人为熊续强;实际控制人持股比例为89.40%</t>
    <phoneticPr fontId="13" type="noConversion"/>
  </si>
  <si>
    <t>实际控制人为罗韶宇;实际控制人持股比例为29.57%</t>
    <phoneticPr fontId="13" type="noConversion"/>
  </si>
  <si>
    <t>国家级国有企业</t>
    <phoneticPr fontId="13" type="noConversion"/>
  </si>
  <si>
    <t>卧龙地产集团股份有限公司</t>
    <phoneticPr fontId="13" type="noConversion"/>
  </si>
  <si>
    <t>实际控制人为陈建成与陈嫣妮（父女）;实际控制人持股比例为34.89%</t>
    <phoneticPr fontId="13" type="noConversion"/>
  </si>
  <si>
    <t>陈建成与陈嫣妮（父女）</t>
  </si>
  <si>
    <t>评级20160609</t>
    <phoneticPr fontId="13" type="noConversion"/>
  </si>
  <si>
    <t>公司具有房地产一级资质</t>
    <phoneticPr fontId="13" type="noConversion"/>
  </si>
  <si>
    <t>数据缺失</t>
    <phoneticPr fontId="13" type="noConversion"/>
  </si>
  <si>
    <t>规划计容建筑面积</t>
    <phoneticPr fontId="13" type="noConversion"/>
  </si>
  <si>
    <t>一线城市占比为0；二线城市占比为17.70%；三线城市占比为8.44%；四线城市及以下占比为73.86%</t>
    <phoneticPr fontId="13" type="noConversion"/>
  </si>
  <si>
    <t>一线城市占比为0；二线城市占比为34.95%；三线城市占比为29.67%；四线城市及以下占比为35.38%</t>
    <phoneticPr fontId="13" type="noConversion"/>
  </si>
  <si>
    <t>房地产：98.56%</t>
    <phoneticPr fontId="13" type="noConversion"/>
  </si>
  <si>
    <t>年报2015</t>
    <phoneticPr fontId="13" type="noConversion"/>
  </si>
  <si>
    <t>物业管理：0.21亿元</t>
    <phoneticPr fontId="13" type="noConversion"/>
  </si>
  <si>
    <t xml:space="preserve">wind </t>
    <phoneticPr fontId="13" type="noConversion"/>
  </si>
  <si>
    <t>评级20160609</t>
    <phoneticPr fontId="13" type="noConversion"/>
  </si>
  <si>
    <t xml:space="preserve">立信会计师事务所（特殊普通合伙） </t>
    <phoneticPr fontId="13" type="noConversion"/>
  </si>
  <si>
    <t>wind</t>
    <phoneticPr fontId="13" type="noConversion"/>
  </si>
  <si>
    <t>上海大名城企业股份有限公司</t>
    <phoneticPr fontId="13" type="noConversion"/>
  </si>
  <si>
    <t>实际控制人为俞培俤；实际控制人持股比例为9.95%</t>
    <phoneticPr fontId="13" type="noConversion"/>
  </si>
  <si>
    <t>募集20160825</t>
  </si>
  <si>
    <t>公司具备房地产一级开发资质</t>
    <phoneticPr fontId="13" type="noConversion"/>
  </si>
  <si>
    <t>评级20160825</t>
    <phoneticPr fontId="13" type="noConversion"/>
  </si>
  <si>
    <t>募集20160825</t>
    <phoneticPr fontId="13" type="noConversion"/>
  </si>
  <si>
    <t>规划计容建筑面积</t>
  </si>
  <si>
    <t>一线城市占比为0.30%；二线城市占比为21.43%；三线城市占比为78.27%；四线及以下城市占比为0.</t>
    <phoneticPr fontId="13" type="noConversion"/>
  </si>
  <si>
    <t>一线城市占比为10.80%；二线城市占比为34.89%；三线城市占比为54.30%；四线及以下城市占比为0.</t>
    <phoneticPr fontId="13" type="noConversion"/>
  </si>
  <si>
    <t>房地产开发：100%</t>
  </si>
  <si>
    <t xml:space="preserve">wind </t>
  </si>
  <si>
    <t>评级20160825</t>
  </si>
  <si>
    <t>凌知昌</t>
    <phoneticPr fontId="13" type="noConversion"/>
  </si>
  <si>
    <t>建发房地产集团有限公司</t>
    <phoneticPr fontId="13" type="noConversion"/>
  </si>
  <si>
    <t>实际控制人为厦门市人民政府国有资产监督委员会；实际控制人持股比例为70.69%</t>
    <phoneticPr fontId="13" type="noConversion"/>
  </si>
  <si>
    <t>厦门市人民政府国有资产监督委员会</t>
  </si>
  <si>
    <t>评级20150629</t>
    <phoneticPr fontId="13" type="noConversion"/>
  </si>
  <si>
    <t>评级20160627</t>
    <phoneticPr fontId="13" type="noConversion"/>
  </si>
  <si>
    <t>评级20150629</t>
    <phoneticPr fontId="13" type="noConversion"/>
  </si>
  <si>
    <t>拥有房地产开发企业一级资质</t>
    <phoneticPr fontId="13" type="noConversion"/>
  </si>
  <si>
    <t>募集20150515</t>
    <phoneticPr fontId="13" type="noConversion"/>
  </si>
  <si>
    <t>截至 2016 年 3 月底，公司拥有土地储备 219.40 万平方米，主要分布在长沙、成都、苏州、福州、泉州、漳州、三明</t>
    <phoneticPr fontId="13" type="noConversion"/>
  </si>
  <si>
    <t>截至2016年3月底</t>
    <phoneticPr fontId="13" type="noConversion"/>
  </si>
  <si>
    <t>截至到2016年3月底；总计容建筑面积</t>
    <phoneticPr fontId="13" type="noConversion"/>
  </si>
  <si>
    <t>一线城市占比为5.27%；二线城市占比为53.06%；三线城市占比为13%；四线城市及以下占比为28.67%</t>
    <phoneticPr fontId="13" type="noConversion"/>
  </si>
  <si>
    <t>房地产开发业务：100%</t>
    <phoneticPr fontId="13" type="noConversion"/>
  </si>
  <si>
    <t>物业租赁及管理：1.78亿元</t>
    <phoneticPr fontId="13" type="noConversion"/>
  </si>
  <si>
    <t xml:space="preserve">致同会计师事务所（特殊普通合伙） </t>
    <phoneticPr fontId="13" type="noConversion"/>
  </si>
  <si>
    <t>136212.SH</t>
  </si>
  <si>
    <t>中交地产有限公司</t>
    <phoneticPr fontId="13" type="noConversion"/>
  </si>
  <si>
    <t>实际控制人为国务院国资委；实际控制人持股比例为100%</t>
    <phoneticPr fontId="13" type="noConversion"/>
  </si>
  <si>
    <t>评级20160126</t>
    <phoneticPr fontId="13" type="noConversion"/>
  </si>
  <si>
    <t>公司拥有住房建设部颁发的房地产开发企业国家二级资质证书</t>
    <phoneticPr fontId="13" type="noConversion"/>
  </si>
  <si>
    <t>评级20160629</t>
    <phoneticPr fontId="13" type="noConversion"/>
  </si>
  <si>
    <t>一线城市占比为0；二线城市占比为44.69%；三线城市占比为22.86%；四线城市及以下占比为32.44%</t>
    <phoneticPr fontId="13" type="noConversion"/>
  </si>
  <si>
    <t>一线城市占比为0；二线城市占比50.83%；三线城市占比为29.27%；四线城市及以下占比为19.9%</t>
    <phoneticPr fontId="13" type="noConversion"/>
  </si>
  <si>
    <t>房地产开发：89.35%；物业管理与租赁：2.26%；BT 或 BOT 项目占比5.72%</t>
    <phoneticPr fontId="13" type="noConversion"/>
  </si>
  <si>
    <t>房产租赁及物业管理：0.76亿元</t>
    <phoneticPr fontId="13" type="noConversion"/>
  </si>
  <si>
    <t>评级20160629</t>
    <phoneticPr fontId="13" type="noConversion"/>
  </si>
  <si>
    <t>112272.SZ</t>
    <phoneticPr fontId="13" type="noConversion"/>
  </si>
  <si>
    <t>金科地产集团股份有限公司</t>
    <phoneticPr fontId="13" type="noConversion"/>
  </si>
  <si>
    <t>实际控制人为黄红云和陶虹遐；实际控制人持股比例为30.35%</t>
    <phoneticPr fontId="13" type="noConversion"/>
  </si>
  <si>
    <t>黄红云和陶虹遐</t>
  </si>
  <si>
    <t>评级20160528</t>
    <phoneticPr fontId="13" type="noConversion"/>
  </si>
  <si>
    <t>评级20160528</t>
    <phoneticPr fontId="13" type="noConversion"/>
  </si>
  <si>
    <t>一级</t>
    <phoneticPr fontId="13" type="noConversion"/>
  </si>
  <si>
    <t>公司是集房地产开发、旅游文化、酒店与大型商业中心等多元化发展的企业集团，具有国家一级房地产开发资质、园林二级资质，物业服务一级资质等，为业务发展奠定了良好基础。</t>
    <phoneticPr fontId="13" type="noConversion"/>
  </si>
  <si>
    <t>土地投入金额</t>
    <phoneticPr fontId="13" type="noConversion"/>
  </si>
  <si>
    <t>公司确立了二线中心城市为主， 一、 三线城市为辅的战略布局，积极扩张业务经营规模和覆盖范围。</t>
    <phoneticPr fontId="13" type="noConversion"/>
  </si>
  <si>
    <t>数据缺失</t>
    <phoneticPr fontId="13" type="noConversion"/>
  </si>
  <si>
    <t>一线城市占比为2.53%；二线城市占比88.09%；三线城市占比为3.47%；四线城市及以下占比为5.90%</t>
    <phoneticPr fontId="13" type="noConversion"/>
  </si>
  <si>
    <t>房地产销售占比：94.07%；物业管理占比：3.07%</t>
    <phoneticPr fontId="13" type="noConversion"/>
  </si>
  <si>
    <t>物业管理：5.89亿元</t>
    <phoneticPr fontId="13" type="noConversion"/>
  </si>
  <si>
    <t>年报2015</t>
    <phoneticPr fontId="13" type="noConversion"/>
  </si>
  <si>
    <t>wind</t>
    <phoneticPr fontId="13" type="noConversion"/>
  </si>
  <si>
    <t>评级20160528</t>
    <phoneticPr fontId="13" type="noConversion"/>
  </si>
  <si>
    <t>按揭担保</t>
    <phoneticPr fontId="13" type="noConversion"/>
  </si>
  <si>
    <t>黄梦瑶</t>
    <phoneticPr fontId="13" type="noConversion"/>
  </si>
  <si>
    <t>凌知昌</t>
    <phoneticPr fontId="13" type="noConversion"/>
  </si>
  <si>
    <t>深圳市龙光控股有限公司</t>
    <phoneticPr fontId="13" type="noConversion"/>
  </si>
  <si>
    <t>2015.12.31</t>
    <phoneticPr fontId="13" type="noConversion"/>
  </si>
  <si>
    <t>实际控制人为纪海鹏及纪凯婷；实际控制人持股比例为76.47%</t>
    <phoneticPr fontId="13" type="noConversion"/>
  </si>
  <si>
    <t>纪海鹏及纪凯婷</t>
  </si>
  <si>
    <t>评级20160525</t>
  </si>
  <si>
    <t>实际控制人持股比例大于50%且小于100%</t>
    <phoneticPr fontId="13" type="noConversion"/>
  </si>
  <si>
    <t>评级20160525</t>
    <phoneticPr fontId="13" type="noConversion"/>
  </si>
  <si>
    <t>使用控股股东排名：龙光地产控股有限公司</t>
    <phoneticPr fontId="13" type="noConversion"/>
  </si>
  <si>
    <t>公司拥有房地产开发国家一级资质</t>
    <phoneticPr fontId="13" type="noConversion"/>
  </si>
  <si>
    <t>土地成本</t>
  </si>
  <si>
    <t>截至2015年末 公司土地储备面积达到1153万平方米，其中新增土地储备239万平方米，待开发面积456万平方米，公司土地储备深圳区域占比为42.47%；汕头地区占比为18.48%；南宁地区占比为16.34；其他城市如佛山、珠海也拥有部分土地储备。惠州龙光城项目目前土地储备347万平方米。</t>
    <phoneticPr fontId="13" type="noConversion"/>
  </si>
  <si>
    <t>公司在建项目主要分布在珠三角地区的一、二线城市</t>
    <phoneticPr fontId="13" type="noConversion"/>
  </si>
  <si>
    <t>商品房销售：100%</t>
  </si>
  <si>
    <t>房屋租赁：0.70亿元</t>
    <phoneticPr fontId="13" type="noConversion"/>
  </si>
  <si>
    <t>毕马威华振会计师事务所（特殊普通合伙）</t>
    <phoneticPr fontId="13" type="noConversion"/>
  </si>
  <si>
    <t>按揭担保72.80亿元</t>
    <phoneticPr fontId="13" type="noConversion"/>
  </si>
  <si>
    <t>杨凤</t>
    <phoneticPr fontId="13" type="noConversion"/>
  </si>
  <si>
    <t>冯羽</t>
    <phoneticPr fontId="13" type="noConversion"/>
  </si>
  <si>
    <t>福星惠誉房地产有限公司</t>
    <phoneticPr fontId="13" type="noConversion"/>
  </si>
  <si>
    <t>2015.12.31</t>
    <phoneticPr fontId="13" type="noConversion"/>
  </si>
  <si>
    <t>实际控制人为湖北汉川钢丝绳厂；实际控制人持股比例为26.02%</t>
    <phoneticPr fontId="13" type="noConversion"/>
  </si>
  <si>
    <t>集体企业</t>
    <phoneticPr fontId="13" type="noConversion"/>
  </si>
  <si>
    <t>湖北汉川钢丝绳厂</t>
  </si>
  <si>
    <t>评级20160617</t>
    <phoneticPr fontId="13" type="noConversion"/>
  </si>
  <si>
    <t>房地产开发企业一级资质</t>
    <phoneticPr fontId="13" type="noConversion"/>
  </si>
  <si>
    <t>募集20160309</t>
    <phoneticPr fontId="13" type="noConversion"/>
  </si>
  <si>
    <t>从土地储备的区域分布来看，目前公司仍以武汉市城中村改造动迁为主</t>
    <phoneticPr fontId="13" type="noConversion"/>
  </si>
  <si>
    <t>目前公司在建项目仍以武汉市为主</t>
    <phoneticPr fontId="13" type="noConversion"/>
  </si>
  <si>
    <t>房地产：100%</t>
    <phoneticPr fontId="13" type="noConversion"/>
  </si>
  <si>
    <t>无物业收入</t>
    <phoneticPr fontId="13" type="noConversion"/>
  </si>
  <si>
    <t xml:space="preserve">致同会计师事务所（特殊普通合伙） </t>
    <phoneticPr fontId="13" type="noConversion"/>
  </si>
  <si>
    <t>按揭担保</t>
    <phoneticPr fontId="13" type="noConversion"/>
  </si>
  <si>
    <t>122455.SH</t>
    <phoneticPr fontId="13" type="noConversion"/>
  </si>
  <si>
    <t>黄飞</t>
    <phoneticPr fontId="11" type="noConversion"/>
  </si>
  <si>
    <t>黄梦瑶</t>
    <phoneticPr fontId="13" type="noConversion"/>
  </si>
  <si>
    <t>绿城房地产集团有限公司</t>
  </si>
  <si>
    <t>无实际控制人</t>
    <phoneticPr fontId="13" type="noConversion"/>
  </si>
  <si>
    <t>公司控股股东、无实际控制人的状态在报告期内未发生变化</t>
    <phoneticPr fontId="13" type="noConversion"/>
  </si>
  <si>
    <t>评级20160922</t>
    <phoneticPr fontId="13" type="noConversion"/>
  </si>
  <si>
    <t>公司具有房地产开发企业国家一级资质证书</t>
    <phoneticPr fontId="13" type="noConversion"/>
  </si>
  <si>
    <t>募集20150825</t>
    <phoneticPr fontId="13" type="noConversion"/>
  </si>
  <si>
    <t>募集20170227</t>
  </si>
  <si>
    <t>总的来看， 2016 年 6 月末公司在建项目及土地储备中三、四线城市占比仍相对较高</t>
    <phoneticPr fontId="13" type="noConversion"/>
  </si>
  <si>
    <t>商品房销售：88.23%；其他收入：11.67%</t>
    <phoneticPr fontId="13" type="noConversion"/>
  </si>
  <si>
    <t>无物业收入</t>
  </si>
  <si>
    <t>评级20160922</t>
  </si>
  <si>
    <t>中汇会计师事务所（特殊普通合伙）</t>
    <phoneticPr fontId="13" type="noConversion"/>
  </si>
  <si>
    <t>按揭担保：159.63亿元</t>
    <phoneticPr fontId="13" type="noConversion"/>
  </si>
  <si>
    <t>112257.SZ</t>
    <phoneticPr fontId="13" type="noConversion"/>
  </si>
  <si>
    <t>荣盛房地产发展股份有限公司</t>
    <phoneticPr fontId="13" type="noConversion"/>
  </si>
  <si>
    <t>实际控制人为耿建明；实际控制人持股比例为41.18%</t>
    <phoneticPr fontId="13" type="noConversion"/>
  </si>
  <si>
    <t>耿建明</t>
    <phoneticPr fontId="13" type="noConversion"/>
  </si>
  <si>
    <t>评级20160623</t>
    <phoneticPr fontId="13" type="noConversion"/>
  </si>
  <si>
    <t>未上榜</t>
    <phoneticPr fontId="13" type="noConversion"/>
  </si>
  <si>
    <t>公司具有房地产开发一级资质</t>
    <phoneticPr fontId="13" type="noConversion"/>
  </si>
  <si>
    <t>公司具有房地产开发一级资质</t>
    <phoneticPr fontId="13" type="noConversion"/>
  </si>
  <si>
    <t>募集20150724</t>
    <phoneticPr fontId="13" type="noConversion"/>
  </si>
  <si>
    <t>计容建筑面积</t>
    <phoneticPr fontId="13" type="noConversion"/>
  </si>
  <si>
    <t>计容建筑面积-已完工建筑面积</t>
    <phoneticPr fontId="13" type="noConversion"/>
  </si>
  <si>
    <t>一线城市占比为0；二线城市占比为26.46%;三线城市占比为55.89%；四线及以下城市占比为17.65%.</t>
    <phoneticPr fontId="13" type="noConversion"/>
  </si>
  <si>
    <t>房地产业：95.79%</t>
  </si>
  <si>
    <t>物业服务：3.7亿元</t>
    <phoneticPr fontId="13" type="noConversion"/>
  </si>
  <si>
    <t>大华会计师事务所（特殊普通合伙）</t>
    <phoneticPr fontId="13" type="noConversion"/>
  </si>
  <si>
    <t>按揭担保</t>
  </si>
  <si>
    <t>122474.SH</t>
  </si>
  <si>
    <t>珠海格力房产有限公司</t>
    <phoneticPr fontId="13" type="noConversion"/>
  </si>
  <si>
    <t>实际控制人为珠海市国有资产监督管理委员会；实际控制人持股比例为51.93%</t>
    <phoneticPr fontId="13" type="noConversion"/>
  </si>
  <si>
    <t>市级地方国有企业</t>
    <phoneticPr fontId="13" type="noConversion"/>
  </si>
  <si>
    <t>珠海市国有资产监督管理委员会</t>
  </si>
  <si>
    <t>实际控制人持股比例大于50%且小于100%</t>
    <phoneticPr fontId="13" type="noConversion"/>
  </si>
  <si>
    <t>www.fangchan.com/zt/top500/2016</t>
    <phoneticPr fontId="13" type="noConversion"/>
  </si>
  <si>
    <t>使用母公司排名：格力地产股份有限公司</t>
    <phoneticPr fontId="13" type="noConversion"/>
  </si>
  <si>
    <t>公司拥有一级资质</t>
    <phoneticPr fontId="13" type="noConversion"/>
  </si>
  <si>
    <t>募集20150922</t>
    <phoneticPr fontId="13" type="noConversion"/>
  </si>
  <si>
    <t>一线城市占比为10.03%；二线城市占比为0；三线城市占比为89.97%；四线城市及以下占比为0</t>
    <phoneticPr fontId="13" type="noConversion"/>
  </si>
  <si>
    <t>年报2015</t>
    <phoneticPr fontId="13" type="noConversion"/>
  </si>
  <si>
    <t>一线城市占比为0；二线城市占比0；三线城市占比为100%；四线城市及以下占比为0</t>
    <phoneticPr fontId="13" type="noConversion"/>
  </si>
  <si>
    <t>房地产：97.87%</t>
    <phoneticPr fontId="13" type="noConversion"/>
  </si>
  <si>
    <t>出租业务收入：0.03亿元</t>
    <phoneticPr fontId="13" type="noConversion"/>
  </si>
  <si>
    <t>122406.SH</t>
  </si>
  <si>
    <t>万田</t>
    <phoneticPr fontId="13" type="noConversion"/>
  </si>
  <si>
    <t>万田</t>
    <phoneticPr fontId="13" type="noConversion"/>
  </si>
  <si>
    <t>新湖中宝股份有限公司</t>
  </si>
  <si>
    <t>2015.12.31</t>
    <phoneticPr fontId="13" type="noConversion"/>
  </si>
  <si>
    <t>实际控制人为黄伟；实际控制人持股比例为33.06%.</t>
    <phoneticPr fontId="13" type="noConversion"/>
  </si>
  <si>
    <t>黄伟</t>
    <phoneticPr fontId="13" type="noConversion"/>
  </si>
  <si>
    <t>年报2015</t>
    <phoneticPr fontId="13" type="noConversion"/>
  </si>
  <si>
    <t>评级20160517</t>
    <phoneticPr fontId="13" type="noConversion"/>
  </si>
  <si>
    <t>评级20160517</t>
    <phoneticPr fontId="13" type="noConversion"/>
  </si>
  <si>
    <t>评级20160517</t>
    <phoneticPr fontId="13" type="noConversion"/>
  </si>
  <si>
    <t>评级20160517</t>
    <phoneticPr fontId="13" type="noConversion"/>
  </si>
  <si>
    <t>具备房地产开发一级资质</t>
    <phoneticPr fontId="13" type="noConversion"/>
  </si>
  <si>
    <t>子公司：新湖地产集团有限公司</t>
    <phoneticPr fontId="13" type="noConversion"/>
  </si>
  <si>
    <t>评级20160517</t>
    <phoneticPr fontId="13" type="noConversion"/>
  </si>
  <si>
    <t>数据缺失</t>
    <phoneticPr fontId="13" type="noConversion"/>
  </si>
  <si>
    <t>数据缺失</t>
    <phoneticPr fontId="13" type="noConversion"/>
  </si>
  <si>
    <t>年报2015</t>
    <phoneticPr fontId="13" type="noConversion"/>
  </si>
  <si>
    <t>一线城市占比为3.72%；二线城市占比为37.45%；三线城市占比为29.82%；四线及以下城市占比为29.01%.</t>
    <phoneticPr fontId="13" type="noConversion"/>
  </si>
  <si>
    <t>房地产业务：60.37%；商业贸易：35.99%；</t>
    <phoneticPr fontId="13" type="noConversion"/>
  </si>
  <si>
    <t>房地产业务：60.37%；商业贸易：35.99%；</t>
    <phoneticPr fontId="13" type="noConversion"/>
  </si>
  <si>
    <t>物业出租：0.30亿元</t>
    <phoneticPr fontId="13" type="noConversion"/>
  </si>
  <si>
    <t>评级20160517</t>
    <phoneticPr fontId="13" type="noConversion"/>
  </si>
  <si>
    <t>年报2015</t>
    <phoneticPr fontId="13" type="noConversion"/>
  </si>
  <si>
    <t>wind</t>
    <phoneticPr fontId="13" type="noConversion"/>
  </si>
  <si>
    <t>其中按揭贷款担保为69.42亿元</t>
    <phoneticPr fontId="13" type="noConversion"/>
  </si>
  <si>
    <t>136045.SH</t>
  </si>
  <si>
    <t>黄飞</t>
    <phoneticPr fontId="11" type="noConversion"/>
  </si>
  <si>
    <t>凌知昌</t>
    <phoneticPr fontId="13" type="noConversion"/>
  </si>
  <si>
    <t>复地(集团)股份有限公司</t>
  </si>
  <si>
    <t>实际控制人为郭广昌；实际控制人持股比例为40.97%</t>
    <phoneticPr fontId="13" type="noConversion"/>
  </si>
  <si>
    <t>郭广昌</t>
    <phoneticPr fontId="13" type="noConversion"/>
  </si>
  <si>
    <t>募集20160317</t>
    <phoneticPr fontId="13" type="noConversion"/>
  </si>
  <si>
    <t>评级20160628</t>
    <phoneticPr fontId="13" type="noConversion"/>
  </si>
  <si>
    <t>一级</t>
    <phoneticPr fontId="13" type="noConversion"/>
  </si>
  <si>
    <t>截至2016年3月末的待开发建筑面积</t>
    <phoneticPr fontId="13" type="noConversion"/>
  </si>
  <si>
    <t>评级20160628</t>
    <phoneticPr fontId="13" type="noConversion"/>
  </si>
  <si>
    <t>截至2016年3月末</t>
    <phoneticPr fontId="13" type="noConversion"/>
  </si>
  <si>
    <t>公司土地储备主要分布在上海、南京、成都、重庆、武汉和西安等一、 二线城市</t>
    <phoneticPr fontId="13" type="noConversion"/>
  </si>
  <si>
    <t>公司在建区域主要分布在上海、南京、成都、武汉等一、二线城市</t>
    <phoneticPr fontId="13" type="noConversion"/>
  </si>
  <si>
    <t>房地产销售：95.97%</t>
    <phoneticPr fontId="13" type="noConversion"/>
  </si>
  <si>
    <t>物业管理、物业出租及零星出租：65748.46万元</t>
    <phoneticPr fontId="13" type="noConversion"/>
  </si>
  <si>
    <t>数据缺失</t>
    <phoneticPr fontId="13" type="noConversion"/>
  </si>
  <si>
    <t>wind</t>
    <phoneticPr fontId="13" type="noConversion"/>
  </si>
  <si>
    <t>wind</t>
    <phoneticPr fontId="13" type="noConversion"/>
  </si>
  <si>
    <t>否</t>
    <phoneticPr fontId="13" type="noConversion"/>
  </si>
  <si>
    <t>合同销售金额增长率</t>
    <phoneticPr fontId="11" type="noConversion"/>
  </si>
  <si>
    <t>合同销售金额</t>
    <phoneticPr fontId="11" type="noConversion"/>
  </si>
  <si>
    <t>长期信用借款占比</t>
    <phoneticPr fontId="11" type="noConversion"/>
  </si>
  <si>
    <t>土地储备区域分布</t>
    <phoneticPr fontId="11" type="noConversion"/>
  </si>
  <si>
    <t>在建项目区域分布</t>
    <phoneticPr fontId="11" type="noConversion"/>
  </si>
  <si>
    <t>长期借款（亿元）</t>
    <phoneticPr fontId="12" type="noConversion"/>
  </si>
  <si>
    <t>土地储备面积（万平方米）</t>
    <phoneticPr fontId="12" type="noConversion"/>
  </si>
  <si>
    <t>在建项目区域文字描述</t>
    <phoneticPr fontId="13" type="noConversion"/>
  </si>
  <si>
    <t>土地储备区域文字描述</t>
    <phoneticPr fontId="12" type="noConversion"/>
  </si>
  <si>
    <t>合约销售面积增长率</t>
    <phoneticPr fontId="13" type="noConversion"/>
  </si>
  <si>
    <t>土地储备规模（万平方米）</t>
    <phoneticPr fontId="12" type="noConversion"/>
  </si>
  <si>
    <t>合同销售金额增长率</t>
    <phoneticPr fontId="12" type="noConversion"/>
  </si>
  <si>
    <t>COMPANY_ID</t>
    <phoneticPr fontId="13" type="noConversion"/>
  </si>
  <si>
    <t>万田</t>
  </si>
  <si>
    <t>凌知昌</t>
  </si>
  <si>
    <t>136696.SH</t>
  </si>
  <si>
    <t>北京路劲隽御房地产开发有限公司</t>
  </si>
  <si>
    <t>冯羽</t>
  </si>
  <si>
    <t>136327.SH</t>
  </si>
  <si>
    <t>厦门经济特区房地产开发集团有限公司</t>
  </si>
  <si>
    <t>124055.SH</t>
  </si>
  <si>
    <t>成都高新投资集团有限公司</t>
  </si>
  <si>
    <t>年报2016</t>
  </si>
  <si>
    <t>评级20170627</t>
  </si>
  <si>
    <t>评级20170629</t>
  </si>
  <si>
    <t>实际控制人：路劲基建有限公司；实际控制人持股比例：100.00%</t>
  </si>
  <si>
    <t>实际控制人：厦门市人民政府国有资产监督管理委员会；实际控制人持股比例：100.00%</t>
  </si>
  <si>
    <t>实际控制人：成都高新区管委会；实际控制人持股比例：100.00%</t>
  </si>
  <si>
    <t>非上市，公司债</t>
  </si>
  <si>
    <t>刚性债务</t>
  </si>
  <si>
    <t>非上市，企业债</t>
  </si>
  <si>
    <t>土地储备区域分布2</t>
    <phoneticPr fontId="11" type="noConversion"/>
  </si>
  <si>
    <t/>
  </si>
  <si>
    <t>未上榜</t>
  </si>
  <si>
    <t>在建项目区域分布良好</t>
  </si>
  <si>
    <t>北京路劲隽御房地产开发有限公司2016</t>
  </si>
  <si>
    <t>厦门经济特区房地产开发集团有限公司2016</t>
  </si>
  <si>
    <t>成都高新投资集团有限公司2016</t>
  </si>
  <si>
    <t>证券代码</t>
    <phoneticPr fontId="13" type="noConversion"/>
  </si>
  <si>
    <t>完成时间</t>
    <phoneticPr fontId="11" type="noConversion"/>
  </si>
  <si>
    <t>数据负责人1</t>
    <phoneticPr fontId="11" type="noConversion"/>
  </si>
  <si>
    <t>数据负责人2</t>
    <phoneticPr fontId="11" type="noConversion"/>
  </si>
  <si>
    <t>数据检查人</t>
    <phoneticPr fontId="11" type="noConversion"/>
  </si>
  <si>
    <t>数据时间</t>
    <phoneticPr fontId="13" type="noConversion"/>
  </si>
  <si>
    <t>KEY</t>
    <phoneticPr fontId="11" type="noConversion"/>
  </si>
  <si>
    <t>股权结构</t>
    <phoneticPr fontId="13" type="noConversion"/>
  </si>
  <si>
    <t>合约销售面积增长率</t>
    <phoneticPr fontId="11" type="noConversion"/>
  </si>
  <si>
    <t>合约销售面积</t>
    <phoneticPr fontId="11" type="noConversion"/>
  </si>
  <si>
    <t>房地产企业开发资质</t>
    <phoneticPr fontId="12" type="noConversion"/>
  </si>
  <si>
    <t>土地拓展节奏</t>
    <phoneticPr fontId="11" type="noConversion"/>
  </si>
  <si>
    <t>土地储备寿命</t>
    <phoneticPr fontId="11" type="noConversion"/>
  </si>
  <si>
    <t>新开工面积</t>
    <phoneticPr fontId="12" type="noConversion"/>
  </si>
  <si>
    <t>竣工面积</t>
    <phoneticPr fontId="12" type="noConversion"/>
  </si>
  <si>
    <t>在建项目面积</t>
    <phoneticPr fontId="12" type="noConversion"/>
  </si>
  <si>
    <t>在建项目区域分布2</t>
    <phoneticPr fontId="11" type="noConversion"/>
  </si>
  <si>
    <t>主营业务行业相关度</t>
    <phoneticPr fontId="11" type="noConversion"/>
  </si>
  <si>
    <t>物业收入占比</t>
    <phoneticPr fontId="11" type="noConversion"/>
  </si>
  <si>
    <t>受限资产占比</t>
    <phoneticPr fontId="11" type="noConversion"/>
  </si>
  <si>
    <t>融资渠道多样性</t>
    <phoneticPr fontId="12" type="noConversion"/>
  </si>
  <si>
    <t>银行授信额度占比</t>
    <phoneticPr fontId="12" type="noConversion"/>
  </si>
  <si>
    <t>融资成本</t>
    <phoneticPr fontId="12" type="noConversion"/>
  </si>
  <si>
    <t>审计机构资质</t>
    <phoneticPr fontId="13" type="noConversion"/>
  </si>
  <si>
    <t>对外担保占比</t>
    <phoneticPr fontId="11" type="noConversion"/>
  </si>
  <si>
    <t>企业性质</t>
    <phoneticPr fontId="13" type="noConversion"/>
  </si>
  <si>
    <t>实际控制人持股比例</t>
    <phoneticPr fontId="13" type="noConversion"/>
  </si>
  <si>
    <t>指标档位</t>
    <phoneticPr fontId="11" type="noConversion"/>
  </si>
  <si>
    <t>指标内容</t>
    <phoneticPr fontId="11" type="noConversion"/>
  </si>
  <si>
    <t>指标来源</t>
    <phoneticPr fontId="11" type="noConversion"/>
  </si>
  <si>
    <t>指标内容注释</t>
    <phoneticPr fontId="11" type="noConversion"/>
  </si>
  <si>
    <t>当年合同销售金额（亿元）</t>
    <phoneticPr fontId="12" type="noConversion"/>
  </si>
  <si>
    <t>去年合同销售金额（亿元）</t>
    <phoneticPr fontId="12" type="noConversion"/>
  </si>
  <si>
    <t>前年合同销售金额（亿元）</t>
    <phoneticPr fontId="12" type="noConversion"/>
  </si>
  <si>
    <t>指标档位</t>
    <phoneticPr fontId="11" type="noConversion"/>
  </si>
  <si>
    <t>指标内容注释</t>
    <phoneticPr fontId="11" type="noConversion"/>
  </si>
  <si>
    <t>指标档位</t>
    <phoneticPr fontId="11" type="noConversion"/>
  </si>
  <si>
    <t>指标来源</t>
    <phoneticPr fontId="11" type="noConversion"/>
  </si>
  <si>
    <t>指标内容注释</t>
    <phoneticPr fontId="11" type="noConversion"/>
  </si>
  <si>
    <t>房地产企业开发资质</t>
    <phoneticPr fontId="12" type="noConversion"/>
  </si>
  <si>
    <t>新增土地储备支出（亿元）</t>
    <phoneticPr fontId="12" type="noConversion"/>
  </si>
  <si>
    <t>当年合同销售金额（亿元）</t>
    <phoneticPr fontId="12" type="noConversion"/>
  </si>
  <si>
    <t>土地储备建筑面积（万平方米）</t>
    <phoneticPr fontId="12" type="noConversion"/>
  </si>
  <si>
    <t>当年合约销售面积（万平方米）</t>
    <phoneticPr fontId="12" type="noConversion"/>
  </si>
  <si>
    <t>土地储备区域文字描述</t>
    <phoneticPr fontId="12" type="noConversion"/>
  </si>
  <si>
    <t>土地储备一线城市占比</t>
    <phoneticPr fontId="12" type="noConversion"/>
  </si>
  <si>
    <t>土地储备二线城市占比</t>
    <phoneticPr fontId="12" type="noConversion"/>
  </si>
  <si>
    <t>土地储备三线城市占比</t>
    <phoneticPr fontId="12" type="noConversion"/>
  </si>
  <si>
    <t>土地储备四线及以下城市占比</t>
    <phoneticPr fontId="12" type="noConversion"/>
  </si>
  <si>
    <t>新开工面积（万平方米）</t>
    <phoneticPr fontId="12" type="noConversion"/>
  </si>
  <si>
    <t>竣工面积（万平方米）</t>
    <phoneticPr fontId="12" type="noConversion"/>
  </si>
  <si>
    <t>在建项目面积（万平方米）</t>
    <phoneticPr fontId="12" type="noConversion"/>
  </si>
  <si>
    <t>在建项目一线城市占比</t>
    <phoneticPr fontId="13" type="noConversion"/>
  </si>
  <si>
    <t>在建项目区域文字描述</t>
    <phoneticPr fontId="13" type="noConversion"/>
  </si>
  <si>
    <t>主营业务行业相关度</t>
    <phoneticPr fontId="12" type="noConversion"/>
  </si>
  <si>
    <t>物业收入（亿元）</t>
    <phoneticPr fontId="12" type="noConversion"/>
  </si>
  <si>
    <t>营业收入（亿元）</t>
    <phoneticPr fontId="12" type="noConversion"/>
  </si>
  <si>
    <t>受限资产合计（亿元）</t>
    <phoneticPr fontId="12" type="noConversion"/>
  </si>
  <si>
    <t>资产总额（亿元）</t>
    <phoneticPr fontId="12" type="noConversion"/>
  </si>
  <si>
    <t>受限货币资金（亿元）</t>
    <phoneticPr fontId="12" type="noConversion"/>
  </si>
  <si>
    <t>货币资金（亿元）</t>
    <phoneticPr fontId="12" type="noConversion"/>
  </si>
  <si>
    <t>长期信用借款（亿元）</t>
    <phoneticPr fontId="12" type="noConversion"/>
  </si>
  <si>
    <t>融资渠道多样性</t>
    <phoneticPr fontId="12" type="noConversion"/>
  </si>
  <si>
    <t>银行授信总额度（亿元）</t>
    <phoneticPr fontId="12" type="noConversion"/>
  </si>
  <si>
    <t>所有者权益（亿元）</t>
    <phoneticPr fontId="12" type="noConversion"/>
  </si>
  <si>
    <t>EBITDA（亿元）</t>
    <phoneticPr fontId="12" type="noConversion"/>
  </si>
  <si>
    <t>本期期末有息债务（亿元）</t>
    <phoneticPr fontId="12" type="noConversion"/>
  </si>
  <si>
    <t>指标内容注释</t>
    <phoneticPr fontId="13" type="noConversion"/>
  </si>
  <si>
    <t>审计机构排名</t>
    <phoneticPr fontId="12" type="noConversion"/>
  </si>
  <si>
    <t>审计机构</t>
    <phoneticPr fontId="13" type="noConversion"/>
  </si>
  <si>
    <t>所有者权益（亿元）</t>
    <phoneticPr fontId="12" type="noConversion"/>
  </si>
  <si>
    <t>字段注释</t>
    <phoneticPr fontId="13" type="noConversion"/>
  </si>
  <si>
    <t>字段注释</t>
    <phoneticPr fontId="13" type="noConversion"/>
  </si>
  <si>
    <t>字段内容</t>
    <phoneticPr fontId="11" type="noConversion"/>
  </si>
  <si>
    <t>字段来源</t>
    <phoneticPr fontId="11" type="noConversion"/>
  </si>
  <si>
    <t>字段内容</t>
    <phoneticPr fontId="11" type="noConversion"/>
  </si>
  <si>
    <t>2017年中国房地产开发企业500强名单</t>
  </si>
  <si>
    <t>东财</t>
  </si>
  <si>
    <t>专注于房地产开发业务，占比100%</t>
  </si>
  <si>
    <t>减：一年内到期的长期借款</t>
  </si>
  <si>
    <t>一线城市占比为0；二线城市占比为100%；三线城市占比为0；四线及以下城市占比为0</t>
  </si>
  <si>
    <t>路劲基建有限公司</t>
  </si>
  <si>
    <t>使用母公司排名：路劲地产集团有限公司</t>
  </si>
  <si>
    <t>子公司：苏州隽御地产有限公司，具有房地产开发一级资质</t>
  </si>
  <si>
    <t>根据其在评级20170629土地储备区域分布方面的描述，可知披露为土地储备建筑面积</t>
  </si>
  <si>
    <t>截至2016年末，公司共有19个在建项目，在建面积达240.69万平方米，同比增加32.46%。2016年公司新开工项目面积116.42万平方米主要分布于苏州、上海、天津和济南等，主要位于一、二线城市。</t>
  </si>
  <si>
    <t xml:space="preserve">物业销售2016年收入 98.53亿元，占比100% </t>
  </si>
  <si>
    <t>评级20160630</t>
  </si>
  <si>
    <t>评级201600630</t>
  </si>
  <si>
    <t>评级20160318</t>
  </si>
  <si>
    <t>公司出于控制业务风险，2016年未新增土地储备</t>
  </si>
  <si>
    <t>公司在建项目主要分布在厦门、天津、漳州等</t>
  </si>
  <si>
    <t>业务延伸至产业链上下游，房地产开发业务：87.98%；物业管理：1.2%；工程结算业务：9.67%；代建管理业务：0.8%</t>
  </si>
  <si>
    <t>房地产开发业务2016年收入66.54亿元在，占比87.98%；物业管理2016年收入0.91亿元，占比1.2%；工程结算业务2016年收入7.32亿元，占比9.67%；代建管理业务2016年收入0.61亿元，占比0.8%</t>
  </si>
  <si>
    <t>物业管理：0.91亿元；租金收入：0.81亿元</t>
  </si>
  <si>
    <t xml:space="preserve">东财 </t>
  </si>
  <si>
    <t>成都高新区管委会</t>
  </si>
  <si>
    <t xml:space="preserve">主要园区地产销售情况 </t>
  </si>
  <si>
    <t>评级20160913</t>
  </si>
  <si>
    <t>子公司：高投置业公司，具有国家一级房地产开发资质</t>
  </si>
  <si>
    <t>业务延伸至产业链上下游，占比52.17%；建筑施工占比20.75%；商业地产占比11.21%；住宅占比4.61%</t>
  </si>
  <si>
    <t>园区板块2016年23.18亿元，占比52.17%；建筑施工2016年收入9.22亿元，占比20.75%；商业地产2016年收入4.98亿元，占比11.21%；住宅2016年收入2.05亿元，占比4.61%</t>
  </si>
  <si>
    <t>园区房屋租赁： 5.08亿元；物业管理：0.41亿元；停车场收费：0.20亿元</t>
  </si>
  <si>
    <t>所有者权益（亿元）</t>
    <phoneticPr fontId="12" type="noConversion"/>
  </si>
  <si>
    <t>其他权益工具（亿元）</t>
    <phoneticPr fontId="12" type="noConversion"/>
  </si>
  <si>
    <t>受限资产占比2</t>
    <phoneticPr fontId="11" type="noConversion"/>
  </si>
  <si>
    <t>土地储备区域分布方面， 2016年末公司土地储备主要分布于上海、江苏省以及河北省。其中，上海6个土地储备项目，规划建筑面积49.40万平方米；江苏省土地储备项目5个，规划建筑面积137.20万平方米；河北省仅有1项土地储备，但项目规模较大，规划建筑面积51.20万平方米。无法准确判断其土地储备区域分布状况</t>
    <phoneticPr fontId="11" type="noConversion"/>
  </si>
  <si>
    <t>数据缺失（无法根据报告内容判断）</t>
    <phoneticPr fontId="11" type="noConversion"/>
  </si>
  <si>
    <t>一线城市占比为0；二线城市占比为24.41%；三线城市占比为75.59%；四线城市及以下占比为0</t>
    <phoneticPr fontId="11" type="noConversion"/>
  </si>
  <si>
    <t>122446.SH</t>
  </si>
  <si>
    <t>陈思佳</t>
  </si>
  <si>
    <t>大连万达商业地产股份有限公司2016</t>
  </si>
  <si>
    <t>实际控制人：王健林；实际控制人持股比例：50.73%</t>
  </si>
  <si>
    <t>王健林</t>
  </si>
  <si>
    <t>评级20170527</t>
  </si>
  <si>
    <t>募集20170527</t>
  </si>
  <si>
    <t>一线城市占比为6.80%；二线城市占比为51.47%；三线城市占比为16.17%；四线及以下城市占比为25.56%</t>
    <phoneticPr fontId="11" type="noConversion"/>
  </si>
  <si>
    <t>一线城市占比为6.80%；二线城市占比为51.47%；三线城市占比为16.17%；四线及以下城市占比为25.56%</t>
    <phoneticPr fontId="11" type="noConversion"/>
  </si>
  <si>
    <t>一线城市占比为6.33%；二线城市占比为47.03%；三线城市占比为21.14%；四线及以下城市占比为25.49%</t>
  </si>
  <si>
    <t>评级20170526</t>
  </si>
  <si>
    <t>一线城市占比为3.95%；二线城市占比为48.10%；三线城市占比为18.50%；四线城市及以下占比为29.44%</t>
  </si>
  <si>
    <t>专注于房地产开发业务，占比92.82%</t>
  </si>
  <si>
    <t>物业销售2016年收入1018.80亿元，占比78.63%、投资性物业租赁及管理2016年收入183.91亿元，占比14.19%</t>
  </si>
  <si>
    <t>投资性物业租赁及管理：183.91亿元</t>
  </si>
  <si>
    <t>非上市，公司债、中票</t>
  </si>
  <si>
    <t>大华会计师事务所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</si>
</sst>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_);[Red]\(0.00\)"/>
    <numFmt numFmtId="177" formatCode="0.00_ "/>
    <numFmt numFmtId="178" formatCode="0.00_);\(0.00\)"/>
    <numFmt numFmtId="179" formatCode="0.00;[Red]0.00"/>
    <numFmt numFmtId="180" formatCode="0.000%"/>
    <numFmt numFmtId="181" formatCode="#,##0.00_ "/>
    <numFmt numFmtId="182" formatCode="0.0000000_);[Red]\(0.0000000\)"/>
    <numFmt numFmtId="183" formatCode="0_ "/>
    <numFmt numFmtId="184" formatCode="00.00%"/>
    <numFmt numFmtId="185" formatCode="0.00000;[Red]0.00000"/>
    <numFmt numFmtId="186" formatCode="0_);[Red]\(0\)"/>
    <numFmt numFmtId="187" formatCode="#,##0.00000_ "/>
    <numFmt numFmtId="188" formatCode="0.000000%"/>
    <numFmt numFmtId="189" formatCode="0.000_);[Red]\(0.000\)"/>
    <numFmt numFmtId="190" formatCode="[$-F400]h:mm:ss\ AM/PM"/>
  </numFmts>
  <fonts count="34"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9"/>
      <name val="等线"/>
      <family val="2"/>
      <charset val="134"/>
      <scheme val="minor"/>
    </font>
    <font>
      <sz val="9"/>
      <name val="等线"/>
      <family val="3"/>
      <charset val="134"/>
    </font>
    <font>
      <sz val="11"/>
      <color theme="1"/>
      <name val="等线"/>
      <family val="2"/>
      <scheme val="minor"/>
    </font>
    <font>
      <u/>
      <sz val="11"/>
      <color theme="10"/>
      <name val="等线"/>
      <family val="2"/>
      <scheme val="minor"/>
    </font>
    <font>
      <sz val="11"/>
      <color theme="1"/>
      <name val="等线"/>
      <family val="3"/>
      <charset val="134"/>
      <scheme val="minor"/>
    </font>
    <font>
      <sz val="9"/>
      <color theme="1"/>
      <name val="微软雅黑"/>
      <family val="2"/>
      <charset val="134"/>
    </font>
    <font>
      <sz val="9"/>
      <name val="微软雅黑"/>
      <family val="2"/>
      <charset val="134"/>
    </font>
    <font>
      <sz val="9"/>
      <color rgb="FFFF0000"/>
      <name val="微软雅黑"/>
      <family val="2"/>
      <charset val="134"/>
    </font>
    <font>
      <u/>
      <sz val="9"/>
      <name val="微软雅黑"/>
      <family val="2"/>
      <charset val="134"/>
    </font>
    <font>
      <sz val="9"/>
      <color theme="0"/>
      <name val="微软雅黑"/>
      <family val="2"/>
      <charset val="134"/>
    </font>
    <font>
      <b/>
      <sz val="9"/>
      <color theme="0"/>
      <name val="微软雅黑"/>
      <family val="2"/>
      <charset val="134"/>
    </font>
    <font>
      <sz val="9"/>
      <color theme="7"/>
      <name val="微软雅黑"/>
      <family val="2"/>
      <charset val="134"/>
    </font>
    <font>
      <u/>
      <sz val="9"/>
      <color theme="10"/>
      <name val="微软雅黑"/>
      <family val="2"/>
      <charset val="134"/>
    </font>
    <font>
      <sz val="9"/>
      <color rgb="FF333333"/>
      <name val="微软雅黑"/>
      <family val="2"/>
      <charset val="134"/>
    </font>
    <font>
      <sz val="9"/>
      <color rgb="FF000000"/>
      <name val="微软雅黑"/>
      <family val="2"/>
      <charset val="134"/>
    </font>
    <font>
      <u/>
      <sz val="9"/>
      <color theme="1"/>
      <name val="微软雅黑"/>
      <family val="2"/>
      <charset val="134"/>
    </font>
    <font>
      <sz val="9"/>
      <color rgb="FFC00000"/>
      <name val="微软雅黑"/>
      <family val="2"/>
      <charset val="134"/>
    </font>
    <font>
      <u/>
      <sz val="9"/>
      <color rgb="FFFF0000"/>
      <name val="微软雅黑"/>
      <family val="2"/>
      <charset val="134"/>
    </font>
    <font>
      <u/>
      <sz val="9"/>
      <color theme="9" tint="-0.499984740745262"/>
      <name val="微软雅黑"/>
      <family val="2"/>
      <charset val="134"/>
    </font>
    <font>
      <sz val="9"/>
      <color theme="9" tint="-0.499984740745262"/>
      <name val="微软雅黑"/>
      <family val="2"/>
      <charset val="134"/>
    </font>
    <font>
      <sz val="9"/>
      <color theme="4" tint="-0.499984740745262"/>
      <name val="微软雅黑"/>
      <family val="2"/>
      <charset val="134"/>
    </font>
    <font>
      <sz val="10"/>
      <color theme="1"/>
      <name val="等线"/>
      <family val="3"/>
      <charset val="134"/>
      <scheme val="minor"/>
    </font>
  </fonts>
  <fills count="7">
    <fill>
      <patternFill patternType="none"/>
    </fill>
    <fill>
      <patternFill patternType="gray125"/>
    </fill>
    <fill>
      <patternFill patternType="solid">
        <fgColor rgb="FFC00000"/>
        <bgColor indexed="64"/>
      </patternFill>
    </fill>
    <fill>
      <patternFill patternType="solid">
        <fgColor theme="1" tint="0.249977111117893"/>
        <bgColor indexed="64"/>
      </patternFill>
    </fill>
    <fill>
      <patternFill patternType="solid">
        <fgColor rgb="FFFFFF00"/>
        <bgColor indexed="64"/>
      </patternFill>
    </fill>
    <fill>
      <patternFill patternType="solid">
        <fgColor theme="0"/>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3">
    <xf numFmtId="0" fontId="0" fillId="0" borderId="0"/>
    <xf numFmtId="0" fontId="10" fillId="0" borderId="0">
      <alignment vertical="center"/>
    </xf>
    <xf numFmtId="0" fontId="9" fillId="0" borderId="0">
      <alignment vertical="center"/>
    </xf>
    <xf numFmtId="0" fontId="9" fillId="0" borderId="0">
      <alignment vertical="center"/>
    </xf>
    <xf numFmtId="9" fontId="9" fillId="0" borderId="0" applyFont="0" applyFill="0" applyBorder="0" applyAlignment="0" applyProtection="0">
      <alignment vertical="center"/>
    </xf>
    <xf numFmtId="9" fontId="14" fillId="0" borderId="0" applyFont="0" applyFill="0" applyBorder="0" applyAlignment="0" applyProtection="0">
      <alignment vertical="center"/>
    </xf>
    <xf numFmtId="0" fontId="15" fillId="0" borderId="0" applyNumberFormat="0" applyFill="0" applyBorder="0" applyAlignment="0" applyProtection="0"/>
    <xf numFmtId="0" fontId="16"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9"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90" fontId="1" fillId="0" borderId="0">
      <alignment vertical="center"/>
    </xf>
    <xf numFmtId="0" fontId="1" fillId="0" borderId="0">
      <alignment vertical="center"/>
    </xf>
    <xf numFmtId="0" fontId="1" fillId="0" borderId="0">
      <alignment vertical="center"/>
    </xf>
  </cellStyleXfs>
  <cellXfs count="303">
    <xf numFmtId="0" fontId="0" fillId="0" borderId="0" xfId="0"/>
    <xf numFmtId="10" fontId="17" fillId="0" borderId="0" xfId="5" applyNumberFormat="1" applyFont="1" applyBorder="1" applyAlignment="1"/>
    <xf numFmtId="0" fontId="17" fillId="0" borderId="0" xfId="0" applyFont="1" applyBorder="1" applyAlignment="1">
      <alignment horizontal="right"/>
    </xf>
    <xf numFmtId="0" fontId="18" fillId="0" borderId="0" xfId="0" applyFont="1" applyFill="1" applyBorder="1" applyAlignment="1">
      <alignment horizontal="right"/>
    </xf>
    <xf numFmtId="179" fontId="18" fillId="0" borderId="0" xfId="0" applyNumberFormat="1" applyFont="1" applyFill="1" applyBorder="1" applyAlignment="1"/>
    <xf numFmtId="10" fontId="18" fillId="0" borderId="0" xfId="5" applyNumberFormat="1" applyFont="1" applyFill="1" applyBorder="1" applyAlignment="1"/>
    <xf numFmtId="0" fontId="18" fillId="0" borderId="0" xfId="0" applyFont="1" applyFill="1" applyBorder="1" applyAlignment="1"/>
    <xf numFmtId="179" fontId="18" fillId="0" borderId="0" xfId="0" applyNumberFormat="1" applyFont="1" applyFill="1" applyBorder="1" applyAlignment="1">
      <alignment horizontal="right"/>
    </xf>
    <xf numFmtId="0" fontId="17" fillId="0" borderId="0" xfId="0" applyFont="1" applyBorder="1" applyAlignment="1"/>
    <xf numFmtId="0" fontId="18" fillId="0" borderId="0" xfId="0" applyFont="1" applyBorder="1" applyAlignment="1"/>
    <xf numFmtId="10" fontId="17" fillId="0" borderId="0" xfId="0" applyNumberFormat="1" applyFont="1" applyBorder="1" applyAlignment="1"/>
    <xf numFmtId="0" fontId="24" fillId="0" borderId="0" xfId="6" applyFont="1" applyBorder="1" applyAlignment="1"/>
    <xf numFmtId="2" fontId="17" fillId="0" borderId="0" xfId="0" applyNumberFormat="1" applyFont="1" applyBorder="1" applyAlignment="1"/>
    <xf numFmtId="0" fontId="17" fillId="0" borderId="0" xfId="2" applyFont="1" applyFill="1" applyBorder="1" applyAlignment="1"/>
    <xf numFmtId="0" fontId="17" fillId="0" borderId="0" xfId="0" applyFont="1" applyFill="1" applyBorder="1" applyAlignment="1"/>
    <xf numFmtId="176" fontId="17" fillId="0" borderId="0" xfId="0" applyNumberFormat="1" applyFont="1" applyBorder="1" applyAlignment="1"/>
    <xf numFmtId="10" fontId="18" fillId="0" borderId="0" xfId="0" applyNumberFormat="1" applyFont="1" applyFill="1" applyBorder="1" applyAlignment="1"/>
    <xf numFmtId="176" fontId="18" fillId="0" borderId="0" xfId="0" applyNumberFormat="1" applyFont="1" applyFill="1" applyBorder="1" applyAlignment="1"/>
    <xf numFmtId="9" fontId="18" fillId="0" borderId="0" xfId="0" applyNumberFormat="1" applyFont="1" applyFill="1" applyBorder="1" applyAlignment="1"/>
    <xf numFmtId="4" fontId="18" fillId="0" borderId="0" xfId="0" applyNumberFormat="1" applyFont="1" applyFill="1" applyBorder="1" applyAlignment="1">
      <alignment wrapText="1"/>
    </xf>
    <xf numFmtId="4" fontId="18" fillId="0" borderId="0" xfId="0" applyNumberFormat="1" applyFont="1" applyFill="1" applyBorder="1" applyAlignment="1"/>
    <xf numFmtId="178" fontId="18" fillId="0" borderId="0" xfId="0" applyNumberFormat="1" applyFont="1" applyFill="1" applyBorder="1" applyAlignment="1"/>
    <xf numFmtId="0" fontId="20" fillId="0" borderId="0" xfId="6" applyFont="1" applyFill="1" applyBorder="1" applyAlignment="1"/>
    <xf numFmtId="0" fontId="18" fillId="0" borderId="0" xfId="10" applyFont="1" applyFill="1" applyBorder="1" applyAlignment="1"/>
    <xf numFmtId="2" fontId="18" fillId="0" borderId="0" xfId="0" applyNumberFormat="1" applyFont="1" applyFill="1" applyBorder="1" applyAlignment="1"/>
    <xf numFmtId="0" fontId="18" fillId="0" borderId="0" xfId="7" applyFont="1" applyFill="1" applyBorder="1" applyAlignment="1"/>
    <xf numFmtId="177" fontId="18" fillId="0" borderId="0" xfId="10" applyNumberFormat="1" applyFont="1" applyFill="1" applyBorder="1" applyAlignment="1"/>
    <xf numFmtId="177" fontId="18" fillId="0" borderId="0" xfId="0" applyNumberFormat="1" applyFont="1" applyFill="1" applyBorder="1" applyAlignment="1"/>
    <xf numFmtId="0" fontId="17" fillId="0" borderId="0" xfId="7" applyFont="1" applyBorder="1" applyAlignment="1"/>
    <xf numFmtId="0" fontId="17" fillId="0" borderId="0" xfId="0" applyFont="1" applyFill="1"/>
    <xf numFmtId="49" fontId="17" fillId="0" borderId="0" xfId="11" applyNumberFormat="1" applyFont="1" applyFill="1" applyBorder="1" applyAlignment="1">
      <alignment vertical="center"/>
    </xf>
    <xf numFmtId="0" fontId="18" fillId="0" borderId="0" xfId="0" applyFont="1" applyFill="1"/>
    <xf numFmtId="10" fontId="17" fillId="0" borderId="0" xfId="5" applyNumberFormat="1" applyFont="1" applyFill="1" applyAlignment="1"/>
    <xf numFmtId="0" fontId="17" fillId="0" borderId="0" xfId="0" applyFont="1" applyFill="1" applyAlignment="1">
      <alignment horizontal="right"/>
    </xf>
    <xf numFmtId="176" fontId="17" fillId="0" borderId="0" xfId="0" applyNumberFormat="1" applyFont="1" applyFill="1"/>
    <xf numFmtId="0" fontId="18" fillId="0" borderId="0" xfId="2" applyFont="1" applyFill="1" applyBorder="1" applyAlignment="1">
      <alignment vertical="center"/>
    </xf>
    <xf numFmtId="0" fontId="18" fillId="0" borderId="0" xfId="0" applyFont="1" applyFill="1" applyBorder="1"/>
    <xf numFmtId="177" fontId="18" fillId="0" borderId="0" xfId="0" applyNumberFormat="1" applyFont="1" applyFill="1" applyBorder="1"/>
    <xf numFmtId="176" fontId="18" fillId="0" borderId="0" xfId="0" applyNumberFormat="1" applyFont="1" applyFill="1" applyBorder="1"/>
    <xf numFmtId="0" fontId="17" fillId="0" borderId="0" xfId="0" applyFont="1" applyFill="1" applyBorder="1"/>
    <xf numFmtId="10" fontId="17" fillId="0" borderId="0" xfId="0" applyNumberFormat="1" applyFont="1" applyFill="1" applyBorder="1"/>
    <xf numFmtId="10" fontId="18" fillId="0" borderId="0" xfId="0" applyNumberFormat="1" applyFont="1" applyFill="1" applyBorder="1"/>
    <xf numFmtId="0" fontId="17" fillId="0" borderId="0" xfId="0" applyFont="1" applyFill="1" applyBorder="1" applyAlignment="1">
      <alignment horizontal="right"/>
    </xf>
    <xf numFmtId="10" fontId="17" fillId="0" borderId="0" xfId="5" applyNumberFormat="1" applyFont="1" applyFill="1" applyBorder="1" applyAlignment="1"/>
    <xf numFmtId="10" fontId="17" fillId="0" borderId="0" xfId="0" applyNumberFormat="1" applyFont="1" applyFill="1" applyBorder="1" applyAlignment="1">
      <alignment horizontal="right"/>
    </xf>
    <xf numFmtId="180" fontId="17" fillId="0" borderId="0" xfId="0" applyNumberFormat="1" applyFont="1" applyFill="1" applyBorder="1"/>
    <xf numFmtId="10" fontId="17" fillId="0" borderId="0" xfId="5" applyNumberFormat="1" applyFont="1" applyFill="1" applyBorder="1" applyAlignment="1">
      <alignment horizontal="right"/>
    </xf>
    <xf numFmtId="0" fontId="20" fillId="0" borderId="0" xfId="6" applyFont="1" applyFill="1" applyBorder="1"/>
    <xf numFmtId="2" fontId="17" fillId="0" borderId="0" xfId="0" applyNumberFormat="1" applyFont="1" applyFill="1" applyBorder="1"/>
    <xf numFmtId="0" fontId="17" fillId="0" borderId="0" xfId="10" applyFont="1" applyFill="1" applyBorder="1" applyAlignment="1">
      <alignment vertical="center"/>
    </xf>
    <xf numFmtId="9" fontId="17" fillId="0" borderId="0" xfId="0" applyNumberFormat="1" applyFont="1" applyFill="1" applyBorder="1"/>
    <xf numFmtId="0" fontId="26" fillId="0" borderId="0" xfId="0" applyFont="1" applyFill="1" applyBorder="1" applyAlignment="1">
      <alignment vertical="center" wrapText="1"/>
    </xf>
    <xf numFmtId="177" fontId="18" fillId="0" borderId="0" xfId="0" applyNumberFormat="1" applyFont="1" applyFill="1" applyBorder="1" applyAlignment="1">
      <alignment horizontal="right"/>
    </xf>
    <xf numFmtId="2" fontId="18" fillId="0" borderId="0" xfId="0" applyNumberFormat="1" applyFont="1" applyFill="1" applyBorder="1"/>
    <xf numFmtId="177" fontId="18" fillId="0" borderId="0" xfId="10" applyNumberFormat="1" applyFont="1" applyFill="1" applyBorder="1" applyAlignment="1">
      <alignment vertical="center"/>
    </xf>
    <xf numFmtId="0" fontId="18" fillId="0" borderId="0" xfId="10" applyFont="1" applyFill="1" applyBorder="1" applyAlignment="1">
      <alignment vertical="center"/>
    </xf>
    <xf numFmtId="0" fontId="17" fillId="0" borderId="0" xfId="0" applyFont="1" applyFill="1" applyBorder="1" applyAlignment="1">
      <alignment vertical="top"/>
    </xf>
    <xf numFmtId="49" fontId="17" fillId="0" borderId="0" xfId="5" applyNumberFormat="1" applyFont="1" applyFill="1" applyBorder="1" applyAlignment="1">
      <alignment horizontal="right" vertical="center"/>
    </xf>
    <xf numFmtId="0" fontId="26" fillId="0" borderId="0" xfId="0" applyFont="1" applyFill="1" applyBorder="1"/>
    <xf numFmtId="0" fontId="17" fillId="5" borderId="0" xfId="0" applyFont="1" applyFill="1" applyBorder="1"/>
    <xf numFmtId="0" fontId="17" fillId="0" borderId="0" xfId="7" applyFont="1" applyFill="1" applyBorder="1" applyAlignment="1">
      <alignment vertical="center"/>
    </xf>
    <xf numFmtId="0" fontId="17" fillId="0" borderId="0" xfId="12" applyFont="1" applyFill="1" applyBorder="1" applyAlignment="1">
      <alignment vertical="center"/>
    </xf>
    <xf numFmtId="0" fontId="17" fillId="6" borderId="0" xfId="0" applyFont="1" applyFill="1" applyBorder="1" applyAlignment="1"/>
    <xf numFmtId="0" fontId="18" fillId="6" borderId="0" xfId="0" applyFont="1" applyFill="1" applyBorder="1" applyAlignment="1"/>
    <xf numFmtId="0" fontId="17" fillId="6" borderId="0" xfId="0" applyFont="1" applyFill="1" applyBorder="1" applyAlignment="1">
      <alignment horizontal="right"/>
    </xf>
    <xf numFmtId="10" fontId="17" fillId="6" borderId="0" xfId="0" applyNumberFormat="1" applyFont="1" applyFill="1" applyBorder="1" applyAlignment="1"/>
    <xf numFmtId="0" fontId="19" fillId="0" borderId="0" xfId="0" applyFont="1" applyFill="1" applyBorder="1"/>
    <xf numFmtId="0" fontId="17" fillId="0" borderId="0" xfId="0" applyFont="1" applyBorder="1"/>
    <xf numFmtId="177" fontId="17" fillId="0" borderId="0" xfId="0" applyNumberFormat="1" applyFont="1" applyFill="1" applyBorder="1"/>
    <xf numFmtId="176" fontId="17" fillId="0" borderId="0" xfId="0" applyNumberFormat="1" applyFont="1" applyFill="1" applyBorder="1"/>
    <xf numFmtId="0" fontId="17" fillId="0" borderId="0" xfId="5" applyNumberFormat="1" applyFont="1" applyFill="1" applyBorder="1" applyAlignment="1"/>
    <xf numFmtId="0" fontId="25" fillId="0" borderId="0" xfId="0" applyFont="1" applyFill="1" applyBorder="1"/>
    <xf numFmtId="0" fontId="17" fillId="0" borderId="0" xfId="0" applyNumberFormat="1" applyFont="1" applyFill="1" applyBorder="1"/>
    <xf numFmtId="9" fontId="17" fillId="0" borderId="0" xfId="5" applyFont="1" applyFill="1" applyBorder="1" applyAlignment="1"/>
    <xf numFmtId="176" fontId="26" fillId="0" borderId="0" xfId="0" applyNumberFormat="1" applyFont="1" applyFill="1" applyBorder="1" applyAlignment="1">
      <alignment vertical="center" wrapText="1"/>
    </xf>
    <xf numFmtId="49" fontId="17" fillId="0" borderId="0" xfId="0" applyNumberFormat="1" applyFont="1" applyFill="1" applyBorder="1"/>
    <xf numFmtId="0" fontId="24" fillId="0" borderId="0" xfId="6" applyFont="1" applyFill="1" applyBorder="1"/>
    <xf numFmtId="49" fontId="17" fillId="0" borderId="0" xfId="5" applyNumberFormat="1" applyFont="1" applyFill="1" applyBorder="1" applyAlignment="1">
      <alignment horizontal="right"/>
    </xf>
    <xf numFmtId="179" fontId="17" fillId="0" borderId="0" xfId="0" applyNumberFormat="1" applyFont="1" applyFill="1" applyBorder="1"/>
    <xf numFmtId="178" fontId="17" fillId="0" borderId="0" xfId="0" applyNumberFormat="1" applyFont="1" applyFill="1" applyBorder="1"/>
    <xf numFmtId="0" fontId="27" fillId="0" borderId="0" xfId="6" applyFont="1" applyFill="1" applyBorder="1"/>
    <xf numFmtId="0" fontId="28" fillId="0" borderId="0" xfId="0" applyFont="1" applyFill="1" applyBorder="1"/>
    <xf numFmtId="10" fontId="18" fillId="0" borderId="0" xfId="5" applyNumberFormat="1" applyFont="1" applyFill="1" applyBorder="1" applyAlignment="1">
      <alignment horizontal="right"/>
    </xf>
    <xf numFmtId="179" fontId="18" fillId="0" borderId="0" xfId="0" applyNumberFormat="1" applyFont="1" applyFill="1" applyBorder="1"/>
    <xf numFmtId="4" fontId="18" fillId="0" borderId="0" xfId="0" applyNumberFormat="1" applyFont="1" applyFill="1" applyBorder="1"/>
    <xf numFmtId="0" fontId="18" fillId="0" borderId="0" xfId="0" applyFont="1" applyFill="1" applyBorder="1" applyAlignment="1">
      <alignment horizontal="right" vertical="center"/>
    </xf>
    <xf numFmtId="9" fontId="18" fillId="0" borderId="0" xfId="0" applyNumberFormat="1" applyFont="1" applyFill="1" applyBorder="1"/>
    <xf numFmtId="0" fontId="17" fillId="0" borderId="0" xfId="0" applyFont="1" applyFill="1" applyBorder="1" applyAlignment="1">
      <alignment wrapText="1"/>
    </xf>
    <xf numFmtId="181" fontId="18" fillId="0" borderId="0" xfId="7" applyNumberFormat="1" applyFont="1" applyFill="1" applyBorder="1">
      <alignment vertical="center"/>
    </xf>
    <xf numFmtId="177" fontId="18" fillId="0" borderId="0" xfId="2" applyNumberFormat="1" applyFont="1" applyFill="1" applyBorder="1" applyAlignment="1">
      <alignment vertical="center"/>
    </xf>
    <xf numFmtId="0" fontId="18" fillId="0" borderId="0" xfId="7" applyFont="1" applyFill="1" applyBorder="1">
      <alignment vertical="center"/>
    </xf>
    <xf numFmtId="9" fontId="18" fillId="0" borderId="0" xfId="7" applyNumberFormat="1" applyFont="1" applyFill="1" applyBorder="1">
      <alignment vertical="center"/>
    </xf>
    <xf numFmtId="177" fontId="18" fillId="0" borderId="0" xfId="13" applyNumberFormat="1" applyFont="1" applyFill="1" applyBorder="1" applyAlignment="1">
      <alignment vertical="center"/>
    </xf>
    <xf numFmtId="0" fontId="18" fillId="0" borderId="0" xfId="13" applyFont="1" applyFill="1" applyBorder="1" applyAlignment="1">
      <alignment vertical="center"/>
    </xf>
    <xf numFmtId="182" fontId="18" fillId="0" borderId="0" xfId="0" applyNumberFormat="1" applyFont="1" applyFill="1" applyBorder="1"/>
    <xf numFmtId="0" fontId="17" fillId="0" borderId="0" xfId="0" applyFont="1" applyFill="1" applyBorder="1" applyAlignment="1">
      <alignment horizontal="left" vertical="center"/>
    </xf>
    <xf numFmtId="0" fontId="17" fillId="0" borderId="0" xfId="13" applyFont="1" applyFill="1" applyBorder="1" applyAlignment="1">
      <alignment vertical="center"/>
    </xf>
    <xf numFmtId="2" fontId="17" fillId="0" borderId="0" xfId="0" applyNumberFormat="1" applyFont="1" applyFill="1" applyBorder="1" applyAlignment="1"/>
    <xf numFmtId="10" fontId="17" fillId="0" borderId="0" xfId="0" applyNumberFormat="1" applyFont="1" applyFill="1" applyBorder="1" applyAlignment="1"/>
    <xf numFmtId="10" fontId="17" fillId="6" borderId="0" xfId="5" applyNumberFormat="1" applyFont="1" applyFill="1" applyBorder="1" applyAlignment="1"/>
    <xf numFmtId="2" fontId="17" fillId="6" borderId="0" xfId="0" applyNumberFormat="1" applyFont="1" applyFill="1" applyBorder="1" applyAlignment="1"/>
    <xf numFmtId="10" fontId="18" fillId="0" borderId="0" xfId="5" applyNumberFormat="1" applyFont="1" applyBorder="1" applyAlignment="1"/>
    <xf numFmtId="0" fontId="19" fillId="4" borderId="0" xfId="0" applyFont="1" applyFill="1" applyBorder="1" applyAlignment="1"/>
    <xf numFmtId="0" fontId="19" fillId="4" borderId="0" xfId="0" applyFont="1" applyFill="1" applyBorder="1"/>
    <xf numFmtId="0" fontId="17" fillId="0" borderId="1" xfId="0" applyFont="1" applyBorder="1" applyAlignment="1"/>
    <xf numFmtId="0" fontId="21" fillId="3" borderId="1" xfId="0" applyFont="1" applyFill="1" applyBorder="1" applyAlignment="1">
      <alignment wrapText="1"/>
    </xf>
    <xf numFmtId="0" fontId="21" fillId="3" borderId="1" xfId="2" applyFont="1" applyFill="1" applyBorder="1" applyAlignment="1">
      <alignment wrapText="1"/>
    </xf>
    <xf numFmtId="0" fontId="17" fillId="4" borderId="0" xfId="0" applyFont="1" applyFill="1" applyBorder="1"/>
    <xf numFmtId="10" fontId="17" fillId="4" borderId="0" xfId="5" applyNumberFormat="1" applyFont="1" applyFill="1" applyBorder="1" applyAlignment="1"/>
    <xf numFmtId="0" fontId="29" fillId="4" borderId="0" xfId="6" applyFont="1" applyFill="1" applyBorder="1"/>
    <xf numFmtId="0" fontId="19" fillId="4" borderId="0" xfId="0" applyFont="1" applyFill="1" applyBorder="1" applyAlignment="1">
      <alignment horizontal="right"/>
    </xf>
    <xf numFmtId="49" fontId="18" fillId="0" borderId="0" xfId="1" applyNumberFormat="1" applyFont="1" applyFill="1" applyBorder="1" applyAlignment="1"/>
    <xf numFmtId="49" fontId="18" fillId="0" borderId="0" xfId="11" applyNumberFormat="1" applyFont="1" applyFill="1" applyBorder="1" applyAlignment="1">
      <alignment vertical="center"/>
    </xf>
    <xf numFmtId="49" fontId="18" fillId="0" borderId="0" xfId="9" applyNumberFormat="1" applyFont="1" applyFill="1" applyBorder="1" applyAlignment="1">
      <alignment vertical="center"/>
    </xf>
    <xf numFmtId="49" fontId="18" fillId="0" borderId="0" xfId="9" applyNumberFormat="1" applyFont="1" applyFill="1" applyBorder="1" applyAlignment="1"/>
    <xf numFmtId="0" fontId="18" fillId="0" borderId="0" xfId="5" applyNumberFormat="1" applyFont="1" applyFill="1" applyBorder="1" applyAlignment="1"/>
    <xf numFmtId="0" fontId="18" fillId="0" borderId="0" xfId="7" applyFont="1" applyFill="1" applyBorder="1" applyAlignment="1">
      <alignment vertical="center"/>
    </xf>
    <xf numFmtId="10" fontId="18" fillId="0" borderId="0" xfId="0" applyNumberFormat="1" applyFont="1" applyFill="1" applyBorder="1" applyAlignment="1">
      <alignment horizontal="right"/>
    </xf>
    <xf numFmtId="0" fontId="17" fillId="0" borderId="0" xfId="2" applyFont="1" applyFill="1" applyBorder="1" applyAlignment="1">
      <alignment vertical="center"/>
    </xf>
    <xf numFmtId="0" fontId="18" fillId="0" borderId="0" xfId="0" applyFont="1" applyBorder="1"/>
    <xf numFmtId="10" fontId="17" fillId="0" borderId="0" xfId="0" applyNumberFormat="1" applyFont="1" applyBorder="1"/>
    <xf numFmtId="0" fontId="17" fillId="0" borderId="0" xfId="0" applyFont="1" applyBorder="1" applyAlignment="1">
      <alignment horizontal="left" vertical="center"/>
    </xf>
    <xf numFmtId="0" fontId="17" fillId="0" borderId="0" xfId="0" applyFont="1" applyBorder="1" applyAlignment="1">
      <alignment horizontal="right" vertical="center"/>
    </xf>
    <xf numFmtId="179" fontId="17" fillId="0" borderId="0" xfId="0" applyNumberFormat="1" applyFont="1" applyBorder="1"/>
    <xf numFmtId="0" fontId="27" fillId="0" borderId="0" xfId="6" applyFont="1" applyBorder="1"/>
    <xf numFmtId="2" fontId="17" fillId="0" borderId="0" xfId="0" applyNumberFormat="1" applyFont="1" applyBorder="1"/>
    <xf numFmtId="176" fontId="17" fillId="0" borderId="0" xfId="0" applyNumberFormat="1" applyFont="1" applyBorder="1"/>
    <xf numFmtId="177" fontId="17" fillId="0" borderId="0" xfId="0" applyNumberFormat="1" applyFont="1" applyBorder="1"/>
    <xf numFmtId="179" fontId="18" fillId="0" borderId="0" xfId="0" applyNumberFormat="1" applyFont="1" applyBorder="1"/>
    <xf numFmtId="0" fontId="20" fillId="0" borderId="0" xfId="6" applyFont="1" applyBorder="1"/>
    <xf numFmtId="0" fontId="18" fillId="0" borderId="0" xfId="0" applyFont="1" applyBorder="1" applyAlignment="1">
      <alignment horizontal="right"/>
    </xf>
    <xf numFmtId="10" fontId="18" fillId="0" borderId="0" xfId="0" applyNumberFormat="1" applyFont="1" applyBorder="1"/>
    <xf numFmtId="176" fontId="18" fillId="0" borderId="0" xfId="0" applyNumberFormat="1" applyFont="1" applyBorder="1"/>
    <xf numFmtId="177" fontId="18" fillId="0" borderId="0" xfId="0" applyNumberFormat="1" applyFont="1" applyBorder="1"/>
    <xf numFmtId="0" fontId="20" fillId="0" borderId="0" xfId="6" applyFont="1" applyBorder="1" applyAlignment="1">
      <alignment horizontal="left" vertical="center"/>
    </xf>
    <xf numFmtId="0" fontId="26" fillId="0" borderId="0" xfId="0" applyFont="1" applyBorder="1"/>
    <xf numFmtId="10" fontId="26" fillId="0" borderId="0" xfId="0" applyNumberFormat="1" applyFont="1" applyBorder="1"/>
    <xf numFmtId="0" fontId="17" fillId="0" borderId="0" xfId="7" applyFont="1" applyBorder="1" applyAlignment="1">
      <alignment vertical="center"/>
    </xf>
    <xf numFmtId="183" fontId="18" fillId="0" borderId="0" xfId="0" applyNumberFormat="1" applyFont="1" applyFill="1" applyBorder="1" applyAlignment="1">
      <alignment horizontal="right"/>
    </xf>
    <xf numFmtId="0" fontId="17" fillId="6" borderId="0" xfId="0" applyFont="1" applyFill="1" applyBorder="1"/>
    <xf numFmtId="4" fontId="17" fillId="0" borderId="0" xfId="0" applyNumberFormat="1" applyFont="1" applyFill="1" applyBorder="1"/>
    <xf numFmtId="184" fontId="17" fillId="0" borderId="0" xfId="0" applyNumberFormat="1" applyFont="1" applyFill="1" applyBorder="1" applyAlignment="1">
      <alignment horizontal="right"/>
    </xf>
    <xf numFmtId="184" fontId="17" fillId="0" borderId="0" xfId="0" applyNumberFormat="1" applyFont="1" applyFill="1" applyBorder="1"/>
    <xf numFmtId="0" fontId="18" fillId="6" borderId="0" xfId="0" applyFont="1" applyFill="1" applyBorder="1"/>
    <xf numFmtId="49" fontId="18" fillId="6" borderId="0" xfId="11" applyNumberFormat="1" applyFont="1" applyFill="1" applyBorder="1" applyAlignment="1">
      <alignment vertical="center"/>
    </xf>
    <xf numFmtId="10" fontId="17" fillId="6" borderId="0" xfId="0" applyNumberFormat="1" applyFont="1" applyFill="1" applyBorder="1"/>
    <xf numFmtId="0" fontId="17" fillId="6" borderId="0" xfId="7" applyFont="1" applyFill="1" applyBorder="1" applyAlignment="1">
      <alignment vertical="center"/>
    </xf>
    <xf numFmtId="10" fontId="17" fillId="6" borderId="0" xfId="0" applyNumberFormat="1" applyFont="1" applyFill="1" applyBorder="1" applyAlignment="1">
      <alignment horizontal="right"/>
    </xf>
    <xf numFmtId="179" fontId="17" fillId="6" borderId="0" xfId="0" applyNumberFormat="1" applyFont="1" applyFill="1" applyBorder="1"/>
    <xf numFmtId="0" fontId="27" fillId="6" borderId="0" xfId="6" applyFont="1" applyFill="1" applyBorder="1"/>
    <xf numFmtId="10" fontId="21" fillId="3" borderId="1" xfId="2" applyNumberFormat="1" applyFont="1" applyFill="1" applyBorder="1" applyAlignment="1">
      <alignment wrapText="1"/>
    </xf>
    <xf numFmtId="176" fontId="17" fillId="0" borderId="0" xfId="0" applyNumberFormat="1" applyFont="1" applyFill="1" applyBorder="1" applyAlignment="1">
      <alignment horizontal="right"/>
    </xf>
    <xf numFmtId="176" fontId="17" fillId="6" borderId="0" xfId="0" applyNumberFormat="1" applyFont="1" applyFill="1" applyBorder="1" applyAlignment="1">
      <alignment horizontal="right"/>
    </xf>
    <xf numFmtId="176" fontId="17" fillId="6" borderId="0" xfId="0" applyNumberFormat="1" applyFont="1" applyFill="1" applyBorder="1" applyAlignment="1"/>
    <xf numFmtId="176" fontId="17" fillId="0" borderId="0" xfId="0" applyNumberFormat="1" applyFont="1" applyFill="1" applyBorder="1" applyAlignment="1"/>
    <xf numFmtId="176" fontId="17" fillId="0" borderId="0" xfId="2" applyNumberFormat="1" applyFont="1" applyFill="1" applyBorder="1" applyAlignment="1">
      <alignment vertical="center"/>
    </xf>
    <xf numFmtId="0" fontId="17" fillId="0" borderId="0" xfId="14" applyFont="1" applyFill="1" applyBorder="1" applyAlignment="1">
      <alignment vertical="center"/>
    </xf>
    <xf numFmtId="177" fontId="18" fillId="0" borderId="0" xfId="14" applyNumberFormat="1" applyFont="1" applyFill="1" applyBorder="1" applyAlignment="1">
      <alignment vertical="center"/>
    </xf>
    <xf numFmtId="0" fontId="17" fillId="4" borderId="0" xfId="0" applyFont="1" applyFill="1" applyBorder="1" applyAlignment="1">
      <alignment horizontal="right"/>
    </xf>
    <xf numFmtId="0" fontId="18" fillId="4" borderId="0" xfId="0" applyFont="1" applyFill="1" applyBorder="1" applyAlignment="1">
      <alignment horizontal="right"/>
    </xf>
    <xf numFmtId="0" fontId="18" fillId="4" borderId="0" xfId="0" applyFont="1" applyFill="1" applyBorder="1"/>
    <xf numFmtId="10" fontId="18" fillId="4" borderId="0" xfId="5" applyNumberFormat="1" applyFont="1" applyFill="1" applyBorder="1" applyAlignment="1"/>
    <xf numFmtId="0" fontId="18" fillId="4" borderId="0" xfId="5" applyNumberFormat="1" applyFont="1" applyFill="1" applyBorder="1" applyAlignment="1"/>
    <xf numFmtId="2" fontId="17" fillId="0" borderId="0" xfId="2" applyNumberFormat="1" applyFont="1" applyFill="1" applyBorder="1" applyAlignment="1">
      <alignment vertical="center"/>
    </xf>
    <xf numFmtId="2" fontId="17" fillId="0" borderId="0" xfId="2" applyNumberFormat="1" applyFont="1" applyFill="1" applyBorder="1" applyAlignment="1">
      <alignment wrapText="1"/>
    </xf>
    <xf numFmtId="0" fontId="21" fillId="3" borderId="0" xfId="0" applyFont="1" applyFill="1" applyBorder="1" applyAlignment="1">
      <alignment wrapText="1"/>
    </xf>
    <xf numFmtId="0" fontId="21" fillId="3" borderId="0" xfId="2" applyFont="1" applyFill="1" applyBorder="1" applyAlignment="1">
      <alignment wrapText="1"/>
    </xf>
    <xf numFmtId="10" fontId="21" fillId="3" borderId="0" xfId="2" applyNumberFormat="1" applyFont="1" applyFill="1" applyBorder="1" applyAlignment="1">
      <alignment wrapText="1"/>
    </xf>
    <xf numFmtId="184" fontId="18" fillId="0" borderId="0" xfId="0" applyNumberFormat="1" applyFont="1" applyFill="1" applyBorder="1"/>
    <xf numFmtId="31" fontId="18" fillId="0" borderId="0" xfId="0" applyNumberFormat="1" applyFont="1" applyFill="1" applyBorder="1"/>
    <xf numFmtId="0" fontId="18" fillId="0" borderId="0" xfId="6" applyFont="1" applyFill="1" applyBorder="1"/>
    <xf numFmtId="9" fontId="18" fillId="0" borderId="0" xfId="5" applyFont="1" applyFill="1" applyBorder="1" applyAlignment="1"/>
    <xf numFmtId="14" fontId="17" fillId="0" borderId="0" xfId="0" applyNumberFormat="1" applyFont="1" applyFill="1" applyBorder="1"/>
    <xf numFmtId="179" fontId="17" fillId="0" borderId="0" xfId="0" applyNumberFormat="1" applyFont="1" applyFill="1" applyBorder="1" applyAlignment="1"/>
    <xf numFmtId="0" fontId="17" fillId="0" borderId="0" xfId="6" applyFont="1" applyFill="1" applyBorder="1"/>
    <xf numFmtId="176" fontId="26" fillId="0" borderId="0" xfId="0" applyNumberFormat="1" applyFont="1" applyFill="1" applyBorder="1" applyAlignment="1">
      <alignment horizontal="right" vertical="center"/>
    </xf>
    <xf numFmtId="0" fontId="26" fillId="0" borderId="0" xfId="0" applyFont="1" applyFill="1" applyBorder="1" applyAlignment="1">
      <alignment horizontal="right"/>
    </xf>
    <xf numFmtId="0" fontId="26" fillId="0" borderId="0" xfId="0" applyFont="1" applyFill="1" applyBorder="1" applyAlignment="1">
      <alignment horizontal="right" vertical="center"/>
    </xf>
    <xf numFmtId="0" fontId="17" fillId="0" borderId="0" xfId="0" applyFont="1" applyFill="1" applyBorder="1" applyAlignment="1">
      <alignment horizontal="right" vertical="center"/>
    </xf>
    <xf numFmtId="10" fontId="17" fillId="4" borderId="0" xfId="0" applyNumberFormat="1" applyFont="1" applyFill="1" applyBorder="1"/>
    <xf numFmtId="179" fontId="18" fillId="4" borderId="0" xfId="0" applyNumberFormat="1" applyFont="1" applyFill="1" applyBorder="1"/>
    <xf numFmtId="0" fontId="20" fillId="4" borderId="0" xfId="6" applyFont="1" applyFill="1" applyBorder="1"/>
    <xf numFmtId="0" fontId="18" fillId="4" borderId="0" xfId="0" applyFont="1" applyFill="1" applyBorder="1" applyAlignment="1"/>
    <xf numFmtId="0" fontId="17" fillId="4" borderId="0" xfId="0" applyFont="1" applyFill="1" applyBorder="1" applyAlignment="1"/>
    <xf numFmtId="10" fontId="17" fillId="4" borderId="0" xfId="5" applyNumberFormat="1" applyFont="1" applyFill="1" applyBorder="1" applyAlignment="1">
      <alignment horizontal="right"/>
    </xf>
    <xf numFmtId="10" fontId="17" fillId="4" borderId="0" xfId="0" applyNumberFormat="1" applyFont="1" applyFill="1" applyBorder="1" applyAlignment="1">
      <alignment horizontal="right"/>
    </xf>
    <xf numFmtId="179" fontId="17" fillId="4" borderId="0" xfId="0" applyNumberFormat="1" applyFont="1" applyFill="1" applyBorder="1"/>
    <xf numFmtId="49" fontId="18" fillId="0" borderId="0" xfId="0" applyNumberFormat="1" applyFont="1" applyFill="1" applyBorder="1" applyAlignment="1">
      <alignment horizontal="right"/>
    </xf>
    <xf numFmtId="0" fontId="27" fillId="4" borderId="0" xfId="6" applyFont="1" applyFill="1" applyBorder="1" applyAlignment="1"/>
    <xf numFmtId="10" fontId="18" fillId="0" borderId="0" xfId="5" applyNumberFormat="1" applyFont="1" applyFill="1" applyAlignment="1"/>
    <xf numFmtId="0" fontId="18" fillId="0" borderId="0" xfId="7" applyFont="1" applyBorder="1" applyAlignment="1">
      <alignment vertical="center"/>
    </xf>
    <xf numFmtId="0" fontId="18" fillId="0" borderId="0" xfId="2" applyFont="1" applyFill="1" applyBorder="1" applyAlignment="1"/>
    <xf numFmtId="187" fontId="18" fillId="0" borderId="0" xfId="0" applyNumberFormat="1" applyFont="1" applyFill="1" applyBorder="1"/>
    <xf numFmtId="9" fontId="18" fillId="0" borderId="0" xfId="0" applyNumberFormat="1" applyFont="1" applyFill="1" applyBorder="1" applyAlignment="1">
      <alignment horizontal="right"/>
    </xf>
    <xf numFmtId="9" fontId="18" fillId="0" borderId="0" xfId="0" applyNumberFormat="1" applyFont="1" applyBorder="1" applyAlignment="1">
      <alignment horizontal="right"/>
    </xf>
    <xf numFmtId="188" fontId="18" fillId="0" borderId="0" xfId="5" applyNumberFormat="1" applyFont="1" applyFill="1" applyBorder="1" applyAlignment="1"/>
    <xf numFmtId="176" fontId="18" fillId="0" borderId="0" xfId="0" applyNumberFormat="1" applyFont="1" applyFill="1"/>
    <xf numFmtId="179" fontId="17" fillId="0" borderId="0" xfId="0" applyNumberFormat="1" applyFont="1" applyFill="1"/>
    <xf numFmtId="0" fontId="18" fillId="4" borderId="0" xfId="10" applyFont="1" applyFill="1" applyBorder="1" applyAlignment="1"/>
    <xf numFmtId="10" fontId="18" fillId="4" borderId="0" xfId="0" applyNumberFormat="1" applyFont="1" applyFill="1" applyBorder="1" applyAlignment="1"/>
    <xf numFmtId="9" fontId="18" fillId="4" borderId="0" xfId="0" applyNumberFormat="1" applyFont="1" applyFill="1" applyBorder="1" applyAlignment="1"/>
    <xf numFmtId="0" fontId="30" fillId="0" borderId="0" xfId="6" applyFont="1" applyFill="1" applyBorder="1"/>
    <xf numFmtId="0" fontId="31" fillId="0" borderId="0" xfId="0" applyFont="1" applyFill="1" applyBorder="1"/>
    <xf numFmtId="10" fontId="31" fillId="0" borderId="0" xfId="0" applyNumberFormat="1" applyFont="1" applyFill="1" applyBorder="1"/>
    <xf numFmtId="0" fontId="31" fillId="0" borderId="0" xfId="0" applyFont="1" applyFill="1" applyBorder="1" applyAlignment="1">
      <alignment horizontal="right" vertical="center"/>
    </xf>
    <xf numFmtId="179" fontId="31" fillId="0" borderId="0" xfId="0" applyNumberFormat="1" applyFont="1" applyFill="1" applyBorder="1"/>
    <xf numFmtId="0" fontId="31" fillId="0" borderId="0" xfId="0" applyFont="1" applyFill="1" applyBorder="1" applyAlignment="1">
      <alignment horizontal="right"/>
    </xf>
    <xf numFmtId="10" fontId="31" fillId="0" borderId="0" xfId="5" applyNumberFormat="1" applyFont="1" applyFill="1" applyBorder="1" applyAlignment="1"/>
    <xf numFmtId="176" fontId="31" fillId="0" borderId="0" xfId="0" applyNumberFormat="1" applyFont="1" applyFill="1" applyBorder="1"/>
    <xf numFmtId="10" fontId="31" fillId="0" borderId="0" xfId="5" applyNumberFormat="1" applyFont="1" applyFill="1" applyBorder="1" applyAlignment="1">
      <alignment horizontal="right"/>
    </xf>
    <xf numFmtId="9" fontId="31" fillId="0" borderId="0" xfId="0" applyNumberFormat="1" applyFont="1" applyFill="1" applyBorder="1"/>
    <xf numFmtId="2" fontId="31" fillId="0" borderId="0" xfId="0" applyNumberFormat="1" applyFont="1" applyFill="1" applyBorder="1"/>
    <xf numFmtId="185" fontId="31" fillId="0" borderId="0" xfId="0" applyNumberFormat="1" applyFont="1" applyFill="1" applyBorder="1"/>
    <xf numFmtId="10" fontId="31" fillId="0" borderId="0" xfId="0" applyNumberFormat="1" applyFont="1" applyFill="1"/>
    <xf numFmtId="0" fontId="30" fillId="0" borderId="0" xfId="6" applyFont="1" applyFill="1" applyBorder="1" applyAlignment="1">
      <alignment horizontal="left" vertical="center"/>
    </xf>
    <xf numFmtId="186" fontId="31" fillId="0" borderId="0" xfId="0" applyNumberFormat="1" applyFont="1" applyFill="1" applyBorder="1"/>
    <xf numFmtId="177" fontId="31" fillId="0" borderId="0" xfId="0" applyNumberFormat="1" applyFont="1" applyFill="1" applyBorder="1"/>
    <xf numFmtId="0" fontId="31" fillId="4" borderId="0" xfId="0" applyFont="1" applyFill="1" applyBorder="1"/>
    <xf numFmtId="0" fontId="31" fillId="0" borderId="0" xfId="0" applyFont="1" applyFill="1" applyBorder="1" applyAlignment="1">
      <alignment horizontal="left" vertical="center"/>
    </xf>
    <xf numFmtId="0" fontId="31" fillId="0" borderId="0" xfId="0" applyFont="1" applyBorder="1"/>
    <xf numFmtId="10" fontId="31" fillId="0" borderId="0" xfId="5" applyNumberFormat="1" applyFont="1" applyBorder="1" applyAlignment="1"/>
    <xf numFmtId="179" fontId="31" fillId="0" borderId="0" xfId="0" applyNumberFormat="1" applyFont="1" applyBorder="1"/>
    <xf numFmtId="176" fontId="31" fillId="0" borderId="0" xfId="0" applyNumberFormat="1" applyFont="1" applyBorder="1"/>
    <xf numFmtId="0" fontId="32" fillId="0" borderId="0" xfId="0" applyFont="1" applyFill="1" applyBorder="1"/>
    <xf numFmtId="10" fontId="32" fillId="0" borderId="0" xfId="0" applyNumberFormat="1" applyFont="1" applyFill="1" applyBorder="1"/>
    <xf numFmtId="179" fontId="32" fillId="0" borderId="0" xfId="0" applyNumberFormat="1" applyFont="1" applyFill="1" applyBorder="1"/>
    <xf numFmtId="0" fontId="32" fillId="0" borderId="0" xfId="0" applyFont="1" applyFill="1" applyBorder="1" applyAlignment="1">
      <alignment horizontal="right"/>
    </xf>
    <xf numFmtId="176" fontId="32" fillId="0" borderId="0" xfId="0" applyNumberFormat="1" applyFont="1" applyFill="1" applyBorder="1"/>
    <xf numFmtId="10" fontId="32" fillId="0" borderId="0" xfId="5" applyNumberFormat="1" applyFont="1" applyFill="1" applyBorder="1" applyAlignment="1"/>
    <xf numFmtId="9" fontId="32" fillId="0" borderId="0" xfId="0" applyNumberFormat="1" applyFont="1" applyFill="1" applyBorder="1"/>
    <xf numFmtId="2" fontId="32" fillId="0" borderId="0" xfId="0" applyNumberFormat="1" applyFont="1" applyFill="1" applyBorder="1"/>
    <xf numFmtId="177" fontId="32" fillId="0" borderId="0" xfId="0" applyNumberFormat="1" applyFont="1" applyFill="1" applyBorder="1"/>
    <xf numFmtId="0" fontId="32" fillId="0" borderId="0" xfId="14" applyFont="1" applyFill="1" applyBorder="1" applyAlignment="1">
      <alignment vertical="center"/>
    </xf>
    <xf numFmtId="0" fontId="17" fillId="0" borderId="0" xfId="7" applyFont="1" applyBorder="1" applyAlignment="1">
      <alignment horizontal="left"/>
    </xf>
    <xf numFmtId="0" fontId="26" fillId="0" borderId="0" xfId="0" applyFont="1" applyFill="1" applyBorder="1" applyAlignment="1">
      <alignment horizontal="center"/>
    </xf>
    <xf numFmtId="0" fontId="26" fillId="0" borderId="0" xfId="0" applyFont="1" applyFill="1" applyBorder="1" applyAlignment="1">
      <alignment horizontal="left"/>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9" fontId="17" fillId="0" borderId="0" xfId="0" applyNumberFormat="1" applyFont="1" applyFill="1" applyBorder="1" applyAlignment="1"/>
    <xf numFmtId="9" fontId="17" fillId="0" borderId="0" xfId="0" applyNumberFormat="1" applyFont="1" applyBorder="1"/>
    <xf numFmtId="0" fontId="26" fillId="0" borderId="0" xfId="0" applyFont="1" applyFill="1" applyBorder="1" applyAlignment="1">
      <alignment wrapText="1"/>
    </xf>
    <xf numFmtId="0" fontId="24" fillId="0" borderId="0" xfId="6" applyFont="1" applyBorder="1"/>
    <xf numFmtId="49" fontId="18" fillId="0" borderId="0" xfId="5" applyNumberFormat="1" applyFont="1" applyFill="1" applyBorder="1" applyAlignment="1">
      <alignment horizontal="right"/>
    </xf>
    <xf numFmtId="0" fontId="19" fillId="0" borderId="0" xfId="0" applyFont="1" applyFill="1" applyBorder="1" applyAlignment="1"/>
    <xf numFmtId="177" fontId="21" fillId="3" borderId="0" xfId="2" applyNumberFormat="1" applyFont="1" applyFill="1" applyBorder="1" applyAlignment="1">
      <alignment wrapText="1"/>
    </xf>
    <xf numFmtId="176" fontId="21" fillId="3" borderId="0" xfId="0" applyNumberFormat="1" applyFont="1" applyFill="1" applyBorder="1" applyAlignment="1">
      <alignment wrapText="1"/>
    </xf>
    <xf numFmtId="177" fontId="21" fillId="3" borderId="0" xfId="0" applyNumberFormat="1" applyFont="1" applyFill="1" applyBorder="1" applyAlignment="1">
      <alignment wrapText="1"/>
    </xf>
    <xf numFmtId="176" fontId="21" fillId="3" borderId="0" xfId="2" applyNumberFormat="1" applyFont="1" applyFill="1" applyBorder="1" applyAlignment="1">
      <alignment wrapText="1"/>
    </xf>
    <xf numFmtId="0" fontId="21" fillId="3" borderId="2" xfId="0" applyNumberFormat="1" applyFont="1" applyFill="1" applyBorder="1" applyAlignment="1" applyProtection="1">
      <alignment wrapText="1"/>
      <protection locked="0"/>
    </xf>
    <xf numFmtId="0" fontId="21" fillId="3" borderId="2" xfId="0" applyFont="1" applyFill="1" applyBorder="1" applyAlignment="1" applyProtection="1">
      <alignment wrapText="1"/>
      <protection locked="0"/>
    </xf>
    <xf numFmtId="10" fontId="21" fillId="3" borderId="0" xfId="0" applyNumberFormat="1" applyFont="1" applyFill="1" applyBorder="1" applyAlignment="1">
      <alignment wrapText="1"/>
    </xf>
    <xf numFmtId="0" fontId="21" fillId="3" borderId="0" xfId="2" applyFont="1" applyFill="1" applyBorder="1" applyAlignment="1">
      <alignment horizontal="right" wrapText="1"/>
    </xf>
    <xf numFmtId="0" fontId="21" fillId="3" borderId="0" xfId="2" applyNumberFormat="1" applyFont="1" applyFill="1" applyBorder="1" applyAlignment="1">
      <alignment wrapText="1"/>
    </xf>
    <xf numFmtId="14" fontId="17" fillId="0" borderId="0" xfId="0" applyNumberFormat="1" applyFont="1" applyFill="1"/>
    <xf numFmtId="0" fontId="21" fillId="3" borderId="0" xfId="0" applyNumberFormat="1" applyFont="1" applyFill="1" applyBorder="1" applyAlignment="1">
      <alignment wrapText="1"/>
    </xf>
    <xf numFmtId="0" fontId="21" fillId="3" borderId="0" xfId="0" applyFont="1" applyFill="1" applyBorder="1" applyAlignment="1">
      <alignment horizontal="center" vertical="center" wrapText="1"/>
    </xf>
    <xf numFmtId="0" fontId="21" fillId="3" borderId="2" xfId="0" applyFont="1" applyFill="1" applyBorder="1" applyAlignment="1" applyProtection="1">
      <alignment horizontal="center" vertical="center" wrapText="1"/>
      <protection locked="0"/>
    </xf>
    <xf numFmtId="0" fontId="17" fillId="4" borderId="0" xfId="0" applyFont="1" applyFill="1"/>
    <xf numFmtId="0" fontId="17" fillId="0" borderId="0" xfId="0" applyFont="1" applyFill="1" applyAlignment="1">
      <alignment horizontal="left"/>
    </xf>
    <xf numFmtId="0" fontId="17" fillId="4" borderId="0" xfId="0" applyFont="1" applyFill="1" applyAlignment="1"/>
    <xf numFmtId="0" fontId="17" fillId="4" borderId="0" xfId="0" applyFont="1" applyFill="1" applyAlignment="1">
      <alignment horizontal="right"/>
    </xf>
    <xf numFmtId="0" fontId="17" fillId="0" borderId="0" xfId="0" applyFont="1" applyAlignment="1">
      <alignment horizontal="right"/>
    </xf>
    <xf numFmtId="0" fontId="33" fillId="4" borderId="0" xfId="0" applyNumberFormat="1" applyFont="1" applyFill="1" applyAlignment="1">
      <alignment horizontal="left" vertical="center"/>
    </xf>
    <xf numFmtId="0" fontId="17" fillId="0" borderId="0" xfId="0" applyFont="1" applyAlignment="1"/>
    <xf numFmtId="0" fontId="17" fillId="4" borderId="0" xfId="0" applyFont="1" applyFill="1" applyAlignment="1">
      <alignment horizontal="left"/>
    </xf>
    <xf numFmtId="0" fontId="17" fillId="0" borderId="0" xfId="0" applyFont="1" applyFill="1" applyAlignment="1"/>
    <xf numFmtId="0" fontId="33" fillId="0" borderId="0" xfId="0" applyNumberFormat="1" applyFont="1" applyFill="1" applyAlignment="1">
      <alignment horizontal="left" vertical="center"/>
    </xf>
    <xf numFmtId="0" fontId="21" fillId="3" borderId="0" xfId="0" applyFont="1" applyFill="1" applyBorder="1" applyAlignment="1">
      <alignment horizontal="center"/>
    </xf>
    <xf numFmtId="0" fontId="21" fillId="3" borderId="0" xfId="0" applyFont="1" applyFill="1" applyBorder="1" applyAlignment="1">
      <alignment horizontal="right"/>
    </xf>
    <xf numFmtId="0" fontId="21" fillId="3" borderId="0" xfId="0" applyFont="1" applyFill="1" applyBorder="1" applyAlignment="1">
      <alignment horizontal="center" wrapText="1"/>
    </xf>
    <xf numFmtId="0" fontId="23" fillId="3" borderId="0" xfId="0" applyFont="1" applyFill="1" applyBorder="1" applyAlignment="1">
      <alignment horizontal="center"/>
    </xf>
    <xf numFmtId="0" fontId="21" fillId="2" borderId="0" xfId="0" applyFont="1" applyFill="1" applyBorder="1" applyAlignment="1">
      <alignment horizontal="center"/>
    </xf>
    <xf numFmtId="10" fontId="21" fillId="3" borderId="0" xfId="0" applyNumberFormat="1" applyFont="1" applyFill="1" applyBorder="1" applyAlignment="1">
      <alignment horizontal="center"/>
    </xf>
    <xf numFmtId="0" fontId="21" fillId="2" borderId="0" xfId="2" applyFont="1" applyFill="1" applyBorder="1" applyAlignment="1">
      <alignment horizontal="center"/>
    </xf>
    <xf numFmtId="0" fontId="21" fillId="3" borderId="0" xfId="2" applyFont="1" applyFill="1" applyBorder="1" applyAlignment="1">
      <alignment horizontal="center"/>
    </xf>
    <xf numFmtId="0" fontId="21" fillId="3" borderId="0" xfId="2" applyFont="1" applyFill="1" applyBorder="1" applyAlignment="1">
      <alignment horizontal="center" wrapText="1"/>
    </xf>
    <xf numFmtId="0" fontId="21" fillId="3" borderId="0" xfId="2" applyFont="1" applyFill="1" applyBorder="1" applyAlignment="1">
      <alignment horizontal="right"/>
    </xf>
    <xf numFmtId="176" fontId="21" fillId="3" borderId="0" xfId="2" applyNumberFormat="1" applyFont="1" applyFill="1" applyBorder="1" applyAlignment="1">
      <alignment horizontal="center"/>
    </xf>
    <xf numFmtId="10" fontId="21" fillId="2" borderId="0" xfId="2" applyNumberFormat="1" applyFont="1" applyFill="1" applyBorder="1" applyAlignment="1">
      <alignment horizontal="center"/>
    </xf>
    <xf numFmtId="176" fontId="21" fillId="2" borderId="0" xfId="2" applyNumberFormat="1" applyFont="1" applyFill="1" applyBorder="1" applyAlignment="1">
      <alignment horizontal="center"/>
    </xf>
    <xf numFmtId="0" fontId="21" fillId="3" borderId="0" xfId="2" applyNumberFormat="1" applyFont="1" applyFill="1" applyBorder="1" applyAlignment="1">
      <alignment horizontal="center"/>
    </xf>
    <xf numFmtId="177" fontId="21" fillId="3" borderId="0" xfId="2" applyNumberFormat="1" applyFont="1" applyFill="1" applyBorder="1" applyAlignment="1">
      <alignment horizontal="center"/>
    </xf>
    <xf numFmtId="0" fontId="21" fillId="2" borderId="0" xfId="2" applyFont="1" applyFill="1" applyBorder="1" applyAlignment="1">
      <alignment horizontal="right"/>
    </xf>
    <xf numFmtId="176" fontId="21" fillId="2" borderId="0" xfId="0" applyNumberFormat="1" applyFont="1" applyFill="1" applyBorder="1" applyAlignment="1">
      <alignment horizontal="center"/>
    </xf>
    <xf numFmtId="0" fontId="21" fillId="2" borderId="0" xfId="0" applyFont="1" applyFill="1" applyBorder="1" applyAlignment="1"/>
    <xf numFmtId="177" fontId="21" fillId="3" borderId="0" xfId="2" applyNumberFormat="1" applyFont="1" applyFill="1" applyBorder="1" applyAlignment="1">
      <alignment horizontal="center" wrapText="1"/>
    </xf>
    <xf numFmtId="189" fontId="21" fillId="3" borderId="0" xfId="2" applyNumberFormat="1" applyFont="1" applyFill="1" applyBorder="1" applyAlignment="1">
      <alignment horizontal="center"/>
    </xf>
    <xf numFmtId="0" fontId="21" fillId="3" borderId="0" xfId="2" applyFont="1" applyFill="1" applyBorder="1" applyAlignment="1">
      <alignment horizontal="left" wrapText="1"/>
    </xf>
    <xf numFmtId="0" fontId="21" fillId="3" borderId="0" xfId="2" applyFont="1" applyFill="1" applyBorder="1" applyAlignment="1">
      <alignment horizontal="left"/>
    </xf>
    <xf numFmtId="0" fontId="21" fillId="3" borderId="0" xfId="0" applyNumberFormat="1" applyFont="1" applyFill="1" applyBorder="1" applyAlignment="1">
      <alignment horizontal="center"/>
    </xf>
    <xf numFmtId="0" fontId="21" fillId="3" borderId="1" xfId="0" applyFont="1" applyFill="1" applyBorder="1" applyAlignment="1" applyProtection="1">
      <alignment horizontal="center"/>
      <protection locked="0"/>
    </xf>
    <xf numFmtId="0" fontId="21" fillId="3" borderId="1" xfId="0" applyFont="1" applyFill="1" applyBorder="1" applyAlignment="1">
      <alignment horizontal="center"/>
    </xf>
    <xf numFmtId="0" fontId="21" fillId="3" borderId="1" xfId="0" applyFont="1" applyFill="1" applyBorder="1" applyAlignment="1">
      <alignment horizontal="center" wrapText="1"/>
    </xf>
    <xf numFmtId="0" fontId="23" fillId="3" borderId="1" xfId="0" applyFont="1" applyFill="1" applyBorder="1" applyAlignment="1">
      <alignment horizontal="center"/>
    </xf>
    <xf numFmtId="0" fontId="21" fillId="3" borderId="1" xfId="0" applyFont="1" applyFill="1" applyBorder="1" applyAlignment="1">
      <alignment horizontal="right"/>
    </xf>
    <xf numFmtId="10" fontId="21" fillId="3" borderId="1" xfId="0" applyNumberFormat="1" applyFont="1" applyFill="1" applyBorder="1" applyAlignment="1">
      <alignment horizontal="center"/>
    </xf>
    <xf numFmtId="0" fontId="21" fillId="3" borderId="1" xfId="2" applyFont="1" applyFill="1" applyBorder="1" applyAlignment="1">
      <alignment horizontal="center"/>
    </xf>
    <xf numFmtId="0" fontId="21" fillId="3" borderId="1" xfId="2" applyFont="1" applyFill="1" applyBorder="1" applyAlignment="1">
      <alignment horizontal="center" wrapText="1"/>
    </xf>
    <xf numFmtId="0" fontId="21" fillId="3" borderId="1" xfId="2" applyFont="1" applyFill="1" applyBorder="1" applyAlignment="1">
      <alignment horizontal="right"/>
    </xf>
    <xf numFmtId="176" fontId="21" fillId="3" borderId="1" xfId="2" applyNumberFormat="1" applyFont="1" applyFill="1" applyBorder="1" applyAlignment="1">
      <alignment horizontal="center"/>
    </xf>
    <xf numFmtId="0" fontId="22" fillId="2" borderId="1" xfId="0" applyFont="1" applyFill="1" applyBorder="1" applyAlignment="1">
      <alignment horizontal="center"/>
    </xf>
    <xf numFmtId="0" fontId="22" fillId="2" borderId="1" xfId="2" applyFont="1" applyFill="1" applyBorder="1" applyAlignment="1">
      <alignment horizontal="center"/>
    </xf>
    <xf numFmtId="0" fontId="18" fillId="3" borderId="1" xfId="0" applyFont="1" applyFill="1" applyBorder="1" applyAlignment="1">
      <alignment horizontal="center"/>
    </xf>
  </cellXfs>
  <cellStyles count="33">
    <cellStyle name="百分比" xfId="5" builtinId="5"/>
    <cellStyle name="百分比 2" xfId="4"/>
    <cellStyle name="百分比 2 2" xfId="18"/>
    <cellStyle name="常规" xfId="0" builtinId="0"/>
    <cellStyle name="常规 2" xfId="1"/>
    <cellStyle name="常规 2 2" xfId="3"/>
    <cellStyle name="常规 2 2 2" xfId="9"/>
    <cellStyle name="常规 2 2 2 2" xfId="20"/>
    <cellStyle name="常规 2 2 2 3" xfId="30"/>
    <cellStyle name="常规 2 2 3" xfId="17"/>
    <cellStyle name="常规 2 2 4" xfId="25"/>
    <cellStyle name="常规 2 2 4 2" xfId="27"/>
    <cellStyle name="常规 2 2 5" xfId="31"/>
    <cellStyle name="常规 2 3" xfId="15"/>
    <cellStyle name="常规 2 4" xfId="11"/>
    <cellStyle name="常规 2 4 2" xfId="22"/>
    <cellStyle name="常规 3" xfId="2"/>
    <cellStyle name="常规 3 2" xfId="10"/>
    <cellStyle name="常规 3 2 2" xfId="14"/>
    <cellStyle name="常规 3 2 3" xfId="21"/>
    <cellStyle name="常规 3 2 4" xfId="28"/>
    <cellStyle name="常规 3 3" xfId="12"/>
    <cellStyle name="常规 3 3 2" xfId="23"/>
    <cellStyle name="常规 3 4" xfId="16"/>
    <cellStyle name="常规 3 5" xfId="13"/>
    <cellStyle name="常规 3 5 2" xfId="24"/>
    <cellStyle name="常规 3 6" xfId="26"/>
    <cellStyle name="常规 4" xfId="7"/>
    <cellStyle name="常规 5" xfId="8"/>
    <cellStyle name="常规 5 2" xfId="19"/>
    <cellStyle name="常规 5 3" xfId="29"/>
    <cellStyle name="常规 7" xfId="32"/>
    <cellStyle name="超链接" xfId="6"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9" Type="http://schemas.openxmlformats.org/officeDocument/2006/relationships/externalLink" Target="externalLinks/externalLink25.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styles" Target="styles.xml"/><Relationship Id="rId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1" Type="http://schemas.openxmlformats.org/officeDocument/2006/relationships/worksheet" Target="worksheets/sheet1.xml"/><Relationship Id="rId6"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rk\6-%20&#20013;&#20449;&#35777;&#21048;\4-CITIC%20&#20132;&#20184;&#21697;\CITIC%20Securities%20IRB%20Deliverables\Workings\Model\FI\01-Bank\Model%20Development\Qual\Transformation\&#23450;&#24615;&#22240;&#32032;WOE&#35745;&#3163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shoushu\Desktop\&#25151;&#22320;&#20135;&#20911;&#3270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CSCI\AppData\Local\Temp\Rar$DIa0.614\&#25151;&#22320;&#20135;--20170310--&#26472;&#2096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CSCI\AppData\Local\Temp\Rar$DIa0.908\&#25151;&#22320;&#20135;-20170309-&#40644;&#26790;&#298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CSCI\AppData\Local\Temp\Rar$DIa0.292\&#25151;&#22320;&#20135;-20170311-&#40644;&#26790;&#298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25151;&#22320;&#20135;-20170313-&#40644;&#26790;&#298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CSCI\AppData\Local\Temp\Rar$DIa0.961\&#25151;&#22320;&#20135;--2017.3.13--&#26472;&#2096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CSDC_IRB_&#25351;&#26631;&#38271;&#28165;&#21333;_V0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20170314&#19979;&#29677;&#21069;&#26700;&#38754;\CSDC_IRB_&#25351;&#26631;&#38271;&#28165;&#21333;_V03%20031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CSDC_IRB_&#25351;&#26631;&#38271;&#28165;&#21333;_V03++.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25151;&#22320;&#20135;20170317&#40644;&#26790;&#298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SCI\AppData\Local\Temp\Rar$DIa0.629\&#25151;&#22320;&#20135;_20170303_&#26472;&#20964;.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chinacsci\Desktop\&#25151;&#22320;&#20135;--2017.3.14--&#26472;&#20964;.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CSCI\Desktop\&#25151;&#22320;&#20135;-20170313-&#40644;&#26790;&#2981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21442;&#32771;&#36164;&#26009;\4.%20&#25968;&#25454;&#37319;&#38598;&#34920;&#26684;\CSDC_IRB_&#25351;&#26631;&#38271;&#28165;&#21333;_V03%2020170313&#26356;&#25442;&#33267;0314.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CSCI\AppData\Local\Temp\Rar$DIa0.092\&#25151;&#22320;&#20135;20170315&#40644;&#26790;&#2981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CSCI\AppData\Local\Temp\Rar$DIa0.659\&#25151;&#22320;&#20135;20170316&#40644;&#26790;&#2981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CSDC_IRB_&#25351;&#26631;&#38271;&#28165;&#21333;_V03%200317.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CSCI\AppData\Local\Temp\Rar$DIa0.325\&#25151;&#22320;&#20135;&#23457;&#2668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CSCI\AppData\Local\Temp\Rar$DIa0.172\&#25151;&#22320;&#20135;&#20911;&#32701;2017031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CSCI\AppData\Local\Temp\Rar$DIa0.382\&#25151;&#22320;&#20135;_2017.3.16_&#26472;&#20964;.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CSCI\AppData\Local\Temp\Rar$DIa0.365\&#25151;&#22320;&#20135;20170318&#40644;&#26790;&#29814;.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5151;&#22320;&#20135;_20170306_&#26472;&#20964;.xlsx"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SDC_IRB_&#25351;&#26631;&#38271;&#28165;&#21333;_V03%200316.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CSCI\AppData\Local\Temp\Rar$DIa0.147\&#25151;&#22320;&#20135;20170318&#40644;&#26790;&#29814;.xlsx"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25151;&#22320;&#20135;&#23457;&#26680;_20170320.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CSCI\AppData\Local\Temp\Rar$DIa0.618\&#25151;&#22320;&#20135;_2017.3.17_&#26472;&#20964;.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CSCI\AppData\Local\Temp\Rar$DIa0.308\&#25151;&#22320;&#20135;_20170318_&#26472;&#20964;.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25968;&#25454;&#25910;&#38598;\2.%20&#23457;&#26680;\3.%2020170322&#23457;&#26680;&#36164;&#26009;\1.%20&#23457;&#26680;&#21021;&#22987;&#36164;&#26009;\0.%20&#34987;&#23457;&#26680;&#20154;&#25968;&#25454;&#36164;&#26009;\&#25151;&#22320;&#20135;&#23457;&#26680;20170321_596-609\&#25151;&#22320;&#20135;&#23457;&#26680;_20170321.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CSCI\AppData\Local\Temp\Rar$DIa0.012\&#25151;&#22320;&#20135;&#20911;&#32701;20170318.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CSCI\AppData\Local\Temp\Rar$DIa0.850\&#25151;&#22320;&#20135;&#20911;&#32701;20170328.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chinacsci\Desktop\&#25151;&#22320;&#20135;\&#25151;&#22320;&#20135;_2017.3.18_&#26472;&#20964;\&#25151;&#22320;&#20135;_20170318_&#26472;&#20964;.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CSCI\AppData\Local\Temp\Rar$DIa0.667\&#25151;&#22320;&#20135;&#20911;&#32701;2017032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SCI\Desktop\&#25151;&#22320;&#20135;&#25910;&#25968;&#27169;&#26495;.xlsx"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Att7EA4.tmp.xlsx"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25151;&#22320;&#20135;&#20911;&#32701;20170328&#65288;1&#65289;.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shihl\Desktop\&#25151;&#22320;&#20135;&#25950;&#21475;2016&#24180;&#25968;&#25454;&#27719;&#24635;_201709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25151;&#22320;&#20135;-20170306-&#40644;&#26790;&#298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SCI\Documents\&#25105;&#25509;&#25910;&#21040;&#30340;&#25991;&#20214;\CSDC_IRB_&#25351;&#26631;&#38271;&#28165;&#21333;_V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SCI\AppData\Local\Temp\Rar$DIa0.115\&#25151;&#22320;&#20135;-20170308-&#40644;&#26790;&#298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shoushu\Desktop\CSDC_IRB_&#25351;&#26631;&#38271;&#28165;&#21333;_V03.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houshu\Desktop\&#20911;&#32701;\&#20911;&#32701;&#25151;&#22320;&#201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l Pivot"/>
      <sheetName val="WOE"/>
      <sheetName val="Qual_new"/>
      <sheetName val="Dropdownlist"/>
      <sheetName val="dropdown"/>
    </sheetNames>
    <sheetDataSet>
      <sheetData sheetId="0"/>
      <sheetData sheetId="1"/>
      <sheetData sheetId="2"/>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房地产指标长清单"/>
      <sheetName val="数据收集"/>
      <sheetName val="审计机构排名1"/>
      <sheetName val="审计机构排名"/>
      <sheetName val="城市等级划分"/>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refreshError="1"/>
      <sheetData sheetId="1" refreshError="1"/>
      <sheetData sheetId="2" refreshError="1"/>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2014房地产排行"/>
      <sheetName val="dropdown"/>
      <sheetName val="审计机构排名"/>
      <sheetName val="审计机构排名2"/>
      <sheetName val="城市等级划分"/>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sheetData sheetId="1"/>
      <sheetData sheetId="2"/>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sheetData sheetId="1"/>
      <sheetData sheetId="2" refreshError="1"/>
      <sheetData sheetId="3"/>
      <sheetData sheetId="4"/>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房地产指标长清单"/>
      <sheetName val="数据收集"/>
      <sheetName val="审计机构排名"/>
      <sheetName val="城市等级划分"/>
      <sheetName val="审计机构排名2"/>
    </sheetNames>
    <sheetDataSet>
      <sheetData sheetId="0"/>
      <sheetData sheetId="1"/>
      <sheetData sheetId="2"/>
      <sheetData sheetId="3"/>
      <sheetData sheetId="4"/>
      <sheetData sheetId="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sheetData sheetId="1"/>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refreshError="1"/>
      <sheetData sheetId="1" refreshError="1"/>
      <sheetData sheetId="2"/>
      <sheetData sheetId="3" refreshError="1"/>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sheetData sheetId="1"/>
      <sheetData sheetId="2"/>
      <sheetData sheetId="3"/>
      <sheetData sheetId="4"/>
      <sheetData sheetId="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 val="房地产企业开发排名"/>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sheetData sheetId="1"/>
      <sheetData sheetId="2"/>
      <sheetData sheetId="3"/>
      <sheetData sheetId="4"/>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审计机构排名"/>
      <sheetName val="dropdown"/>
      <sheetName val="Sheet1"/>
      <sheetName val="城市等级划分"/>
      <sheetName val="房地产企业开发排名"/>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城市等级划分"/>
      <sheetName val="审计机构排名"/>
      <sheetName val="房地产企业排名"/>
      <sheetName val="Sheet1"/>
      <sheetName val="Sheet2"/>
    </sheetNames>
    <sheetDataSet>
      <sheetData sheetId="0"/>
      <sheetData sheetId="1"/>
      <sheetData sheetId="2"/>
      <sheetData sheetId="3"/>
      <sheetData sheetId="4"/>
      <sheetData sheetId="5"/>
      <sheetData sheetId="6"/>
      <sheetData sheetId="7"/>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房地产指标长清单"/>
      <sheetName val="数据收集"/>
      <sheetName val="审计机构排名"/>
      <sheetName val="城市等级划分"/>
      <sheetName val="房地产企业开发排名"/>
    </sheetNames>
    <sheetDataSet>
      <sheetData sheetId="0"/>
      <sheetData sheetId="1"/>
      <sheetData sheetId="2"/>
      <sheetData sheetId="3"/>
      <sheetData sheetId="4"/>
      <sheetData sheetId="5"/>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Sheet1"/>
      <sheetName val="数据收集"/>
      <sheetName val="房地产敞口企业清单（涵盖招商、结算和广州）"/>
      <sheetName val="目前有年报和评级的房地产企业清单"/>
      <sheetName val="样例土地储备城市分布"/>
      <sheetName val="dropdown"/>
      <sheetName val="央企名单"/>
      <sheetName val="世界500强"/>
      <sheetName val="中国房地产开发企业500强"/>
      <sheetName val="企业品牌及产品品牌"/>
      <sheetName val="审计机构排名"/>
      <sheetName val="城市等级划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房地产指标长清单"/>
      <sheetName val="数据收集"/>
      <sheetName val="审计机构排名"/>
      <sheetName val="城市等级划分"/>
    </sheetNames>
    <sheetDataSet>
      <sheetData sheetId="0" refreshError="1"/>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房地产指标长清单"/>
      <sheetName val="数据收集"/>
      <sheetName val="dropdown"/>
      <sheetName val="审计机构排名"/>
      <sheetName val="城市等级划分"/>
    </sheetNames>
    <sheetDataSet>
      <sheetData sheetId="0" refreshError="1"/>
      <sheetData sheetId="1"/>
      <sheetData sheetId="2"/>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房地产指标长清单"/>
      <sheetName val="数据收集"/>
      <sheetName val="审计机构排名1"/>
      <sheetName val="审计机构排名"/>
      <sheetName val="城市等级划分"/>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股权"/>
      <sheetName val="房地产指标长清单"/>
      <sheetName val="数据收集"/>
      <sheetName val="审计机构排名"/>
      <sheetName val="城市等级划分"/>
      <sheetName val="Sheet9"/>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219.142.101.72/showcorpinfo/showcorpinfo.aspx" TargetMode="External"/><Relationship Id="rId21" Type="http://schemas.openxmlformats.org/officeDocument/2006/relationships/hyperlink" Target="http://219.142.101.72/showcorpinfo/showcorpinfo.aspx" TargetMode="External"/><Relationship Id="rId34" Type="http://schemas.openxmlformats.org/officeDocument/2006/relationships/hyperlink" Target="http://www.phbang.cn/finance/corporation/141594.html" TargetMode="External"/><Relationship Id="rId42" Type="http://schemas.openxmlformats.org/officeDocument/2006/relationships/hyperlink" Target="http://219.142.101.72/showcorpinfo/showcorpinfo.aspx" TargetMode="External"/><Relationship Id="rId47" Type="http://schemas.openxmlformats.org/officeDocument/2006/relationships/hyperlink" Target="http://219.142.101.72/showcorpinfo/showcorpinfo.aspx" TargetMode="External"/><Relationship Id="rId50" Type="http://schemas.openxmlformats.org/officeDocument/2006/relationships/hyperlink" Target="http://219.142.101.72/showcorpinfo/showcorpinfo.aspx" TargetMode="External"/><Relationship Id="rId55" Type="http://schemas.openxmlformats.org/officeDocument/2006/relationships/hyperlink" Target="http://www.fangchan.com/zt/top500/2015/" TargetMode="External"/><Relationship Id="rId63" Type="http://schemas.openxmlformats.org/officeDocument/2006/relationships/hyperlink" Target="http://www.fangchan.com/zt/top500/2016" TargetMode="External"/><Relationship Id="rId7" Type="http://schemas.openxmlformats.org/officeDocument/2006/relationships/hyperlink" Target="http://www.fangchan.com/zt/top500/2016" TargetMode="External"/><Relationship Id="rId2" Type="http://schemas.openxmlformats.org/officeDocument/2006/relationships/hyperlink" Target="http://www.fangchan.com/zt/top500/2015/" TargetMode="External"/><Relationship Id="rId16" Type="http://schemas.openxmlformats.org/officeDocument/2006/relationships/hyperlink" Target="http://219.142.101.72/showcorpinfo/showcorpinfo.aspx" TargetMode="External"/><Relationship Id="rId29" Type="http://schemas.openxmlformats.org/officeDocument/2006/relationships/hyperlink" Target="http://www.fangchan.com/zt/top500/2014/" TargetMode="External"/><Relationship Id="rId11" Type="http://schemas.openxmlformats.org/officeDocument/2006/relationships/hyperlink" Target="http://www.fangchan.com/zt/top500/2016" TargetMode="External"/><Relationship Id="rId24" Type="http://schemas.openxmlformats.org/officeDocument/2006/relationships/hyperlink" Target="http://www.phbang.cn/finance/corporation/141594.html" TargetMode="External"/><Relationship Id="rId32" Type="http://schemas.openxmlformats.org/officeDocument/2006/relationships/hyperlink" Target="http://www.fangchan.com/zt/top500/2016" TargetMode="External"/><Relationship Id="rId37" Type="http://schemas.openxmlformats.org/officeDocument/2006/relationships/hyperlink" Target="http://219.142.101.72/showcorpinfo/showcorpinfo.aspx" TargetMode="External"/><Relationship Id="rId40" Type="http://schemas.openxmlformats.org/officeDocument/2006/relationships/hyperlink" Target="http://219.142.101.72/showcorpinfo/showcorpinfo.aspx" TargetMode="External"/><Relationship Id="rId45" Type="http://schemas.openxmlformats.org/officeDocument/2006/relationships/hyperlink" Target="http://www.fangchan.com/zt/top500/2015/" TargetMode="External"/><Relationship Id="rId53" Type="http://schemas.openxmlformats.org/officeDocument/2006/relationships/hyperlink" Target="http://www.fangchan.com/zt/top500/2015/" TargetMode="External"/><Relationship Id="rId58" Type="http://schemas.openxmlformats.org/officeDocument/2006/relationships/hyperlink" Target="http://www.fangchan.com/zt/top500/2016" TargetMode="External"/><Relationship Id="rId5" Type="http://schemas.openxmlformats.org/officeDocument/2006/relationships/hyperlink" Target="http://www.fangchan.com/zt/top500/2015/" TargetMode="External"/><Relationship Id="rId61" Type="http://schemas.openxmlformats.org/officeDocument/2006/relationships/hyperlink" Target="http://www.fangchan.com/zt/top500/2016" TargetMode="External"/><Relationship Id="rId19" Type="http://schemas.openxmlformats.org/officeDocument/2006/relationships/hyperlink" Target="http://www.fangchan.com/zt/top500/2016" TargetMode="External"/><Relationship Id="rId14" Type="http://schemas.openxmlformats.org/officeDocument/2006/relationships/hyperlink" Target="http://www.fangchan.com/zt/top500/2015" TargetMode="External"/><Relationship Id="rId22" Type="http://schemas.openxmlformats.org/officeDocument/2006/relationships/hyperlink" Target="http://www.fangchan.com/zt/top500/2016" TargetMode="External"/><Relationship Id="rId27" Type="http://schemas.openxmlformats.org/officeDocument/2006/relationships/hyperlink" Target="http://www.phbang.cn/finance/corporation/141594.html" TargetMode="External"/><Relationship Id="rId30" Type="http://schemas.openxmlformats.org/officeDocument/2006/relationships/hyperlink" Target="http://www.fangchan.com/zt/top500/2015/" TargetMode="External"/><Relationship Id="rId35" Type="http://schemas.openxmlformats.org/officeDocument/2006/relationships/hyperlink" Target="http://www.fangchan.com/zt/top500/2015/" TargetMode="External"/><Relationship Id="rId43" Type="http://schemas.openxmlformats.org/officeDocument/2006/relationships/hyperlink" Target="http://www.fangchan.com/zt/top500/2015/" TargetMode="External"/><Relationship Id="rId48" Type="http://schemas.openxmlformats.org/officeDocument/2006/relationships/hyperlink" Target="http://219.142.101.72/showcorpinfo/showcorpinfo.aspx" TargetMode="External"/><Relationship Id="rId56" Type="http://schemas.openxmlformats.org/officeDocument/2006/relationships/hyperlink" Target="http://www.fangchan.com/zt/top500/2016" TargetMode="External"/><Relationship Id="rId64" Type="http://schemas.openxmlformats.org/officeDocument/2006/relationships/hyperlink" Target="http://www.fangchan.com/zt/top500/2016" TargetMode="External"/><Relationship Id="rId8" Type="http://schemas.openxmlformats.org/officeDocument/2006/relationships/hyperlink" Target="http://www.fangchan.com/zt/top500/2015/" TargetMode="External"/><Relationship Id="rId51" Type="http://schemas.openxmlformats.org/officeDocument/2006/relationships/hyperlink" Target="http://219.142.101.72/showcorpinfo/showcorpinfo.aspx" TargetMode="External"/><Relationship Id="rId3" Type="http://schemas.openxmlformats.org/officeDocument/2006/relationships/hyperlink" Target="http://www.fangchan.com/zt/top500/2016" TargetMode="External"/><Relationship Id="rId12" Type="http://schemas.openxmlformats.org/officeDocument/2006/relationships/hyperlink" Target="http://219.142.101.72/showcorpinfo/showcorpinfo.aspx" TargetMode="External"/><Relationship Id="rId17" Type="http://schemas.openxmlformats.org/officeDocument/2006/relationships/hyperlink" Target="http://www.fangchan.com/zt/top500/2016" TargetMode="External"/><Relationship Id="rId25" Type="http://schemas.openxmlformats.org/officeDocument/2006/relationships/hyperlink" Target="http://www.phbang.cn/finance/corporation/141594.html" TargetMode="External"/><Relationship Id="rId33" Type="http://schemas.openxmlformats.org/officeDocument/2006/relationships/hyperlink" Target="http://219.142.101.72/showcorpinfo/showcorpinfo.aspx" TargetMode="External"/><Relationship Id="rId38" Type="http://schemas.openxmlformats.org/officeDocument/2006/relationships/hyperlink" Target="http://www.fangchan.com/zt/top500/2016/" TargetMode="External"/><Relationship Id="rId46" Type="http://schemas.openxmlformats.org/officeDocument/2006/relationships/hyperlink" Target="http://www.fangchan.com/zt/top500/2016/" TargetMode="External"/><Relationship Id="rId59" Type="http://schemas.openxmlformats.org/officeDocument/2006/relationships/hyperlink" Target="http://www.fangchan.com/zt/top500/2016" TargetMode="External"/><Relationship Id="rId20" Type="http://schemas.openxmlformats.org/officeDocument/2006/relationships/hyperlink" Target="http://www.fangchan.com/zt/top500/2016" TargetMode="External"/><Relationship Id="rId41" Type="http://schemas.openxmlformats.org/officeDocument/2006/relationships/hyperlink" Target="http://www.fangchan.com/zt/top500/2015/" TargetMode="External"/><Relationship Id="rId54" Type="http://schemas.openxmlformats.org/officeDocument/2006/relationships/hyperlink" Target="http://www.fangchan.com/zt/top500/2015/" TargetMode="External"/><Relationship Id="rId62" Type="http://schemas.openxmlformats.org/officeDocument/2006/relationships/hyperlink" Target="http://www.fangchan.com/zt/top500/2016" TargetMode="External"/><Relationship Id="rId1" Type="http://schemas.openxmlformats.org/officeDocument/2006/relationships/hyperlink" Target="http://www.fangchan.com/zt/top500/2016" TargetMode="External"/><Relationship Id="rId6" Type="http://schemas.openxmlformats.org/officeDocument/2006/relationships/hyperlink" Target="http://www.fangchan.com/zt/top500/2015" TargetMode="External"/><Relationship Id="rId15" Type="http://schemas.openxmlformats.org/officeDocument/2006/relationships/hyperlink" Target="http://www.fangchan.com/zt/top500/2015/" TargetMode="External"/><Relationship Id="rId23" Type="http://schemas.openxmlformats.org/officeDocument/2006/relationships/hyperlink" Target="http://www.phbang.cn/finance/corporation/141594.html" TargetMode="External"/><Relationship Id="rId28" Type="http://schemas.openxmlformats.org/officeDocument/2006/relationships/hyperlink" Target="http://www.fangchan.com/zt/top500/2015/" TargetMode="External"/><Relationship Id="rId36" Type="http://schemas.openxmlformats.org/officeDocument/2006/relationships/hyperlink" Target="http://www.fangchan.com/zt/top500/2016" TargetMode="External"/><Relationship Id="rId49" Type="http://schemas.openxmlformats.org/officeDocument/2006/relationships/hyperlink" Target="http://www.fangchan.com/zt/top500/2015/" TargetMode="External"/><Relationship Id="rId57" Type="http://schemas.openxmlformats.org/officeDocument/2006/relationships/hyperlink" Target="http://219.142.101.72/showcorpinfo/showcorpinfo.aspx" TargetMode="External"/><Relationship Id="rId10" Type="http://schemas.openxmlformats.org/officeDocument/2006/relationships/hyperlink" Target="http://219.142.101.72/showcorpinfo/showcorpinfo.aspx" TargetMode="External"/><Relationship Id="rId31" Type="http://schemas.openxmlformats.org/officeDocument/2006/relationships/hyperlink" Target="http://www.fangchan.com/zt/top500/2015/" TargetMode="External"/><Relationship Id="rId44" Type="http://schemas.openxmlformats.org/officeDocument/2006/relationships/hyperlink" Target="http://www.phbang.cn/finance/corporation/141594.html" TargetMode="External"/><Relationship Id="rId52" Type="http://schemas.openxmlformats.org/officeDocument/2006/relationships/hyperlink" Target="http://www.fangchan.com/zt/top500/2015/" TargetMode="External"/><Relationship Id="rId60" Type="http://schemas.openxmlformats.org/officeDocument/2006/relationships/hyperlink" Target="http://www.fangchan.com/zt/top500/2016" TargetMode="External"/><Relationship Id="rId65" Type="http://schemas.openxmlformats.org/officeDocument/2006/relationships/printerSettings" Target="../printerSettings/printerSettings1.bin"/><Relationship Id="rId4" Type="http://schemas.openxmlformats.org/officeDocument/2006/relationships/hyperlink" Target="http://www.fangchan.com/zt/top500/2016/" TargetMode="External"/><Relationship Id="rId9" Type="http://schemas.openxmlformats.org/officeDocument/2006/relationships/hyperlink" Target="http://www.fangchan.com/zt/top500/2014/" TargetMode="External"/><Relationship Id="rId13" Type="http://schemas.openxmlformats.org/officeDocument/2006/relationships/hyperlink" Target="http://219.142.101.72/showcorpinfo/showcorpinfo.aspx" TargetMode="External"/><Relationship Id="rId18" Type="http://schemas.openxmlformats.org/officeDocument/2006/relationships/hyperlink" Target="http://www.fangchan.com/zt/top500/2015/" TargetMode="External"/><Relationship Id="rId39" Type="http://schemas.openxmlformats.org/officeDocument/2006/relationships/hyperlink" Target="http://www.fangchan.com/zt/top500/201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fangchan.com/zt/top500/2015/" TargetMode="External"/><Relationship Id="rId13" Type="http://schemas.openxmlformats.org/officeDocument/2006/relationships/hyperlink" Target="http://219.142.101.72/showcorpinfo/showcorpinfo.aspx" TargetMode="External"/><Relationship Id="rId3" Type="http://schemas.openxmlformats.org/officeDocument/2006/relationships/hyperlink" Target="http://www.fangchan.com/zt/top500/2016/" TargetMode="External"/><Relationship Id="rId7" Type="http://schemas.openxmlformats.org/officeDocument/2006/relationships/hyperlink" Target="http://www.fangchan.com/zt/top500/2016" TargetMode="External"/><Relationship Id="rId12" Type="http://schemas.openxmlformats.org/officeDocument/2006/relationships/hyperlink" Target="http://219.142.101.72/showcorpinfo/showcorpinfo.aspx" TargetMode="External"/><Relationship Id="rId2" Type="http://schemas.openxmlformats.org/officeDocument/2006/relationships/hyperlink" Target="http://www.fangchan.com/zt/top500/2016" TargetMode="External"/><Relationship Id="rId16" Type="http://schemas.openxmlformats.org/officeDocument/2006/relationships/hyperlink" Target="http://219.142.101.72/showcorpinfo/showcorpinfo.aspx" TargetMode="External"/><Relationship Id="rId1" Type="http://schemas.openxmlformats.org/officeDocument/2006/relationships/hyperlink" Target="http://www.fangchan.com/zt/top500/2015/" TargetMode="External"/><Relationship Id="rId6" Type="http://schemas.openxmlformats.org/officeDocument/2006/relationships/hyperlink" Target="http://www.fangchan.com/zt/top500/2015" TargetMode="External"/><Relationship Id="rId11" Type="http://schemas.openxmlformats.org/officeDocument/2006/relationships/hyperlink" Target="http://www.fangchan.com/zt/top500/2016" TargetMode="External"/><Relationship Id="rId5" Type="http://schemas.openxmlformats.org/officeDocument/2006/relationships/hyperlink" Target="http://www.fangchan.com/zt/top500/2015/" TargetMode="External"/><Relationship Id="rId15" Type="http://schemas.openxmlformats.org/officeDocument/2006/relationships/hyperlink" Target="http://www.fangchan.com/zt/top500/2015/" TargetMode="External"/><Relationship Id="rId10" Type="http://schemas.openxmlformats.org/officeDocument/2006/relationships/hyperlink" Target="http://219.142.101.72/showcorpinfo/showcorpinfo.aspx" TargetMode="External"/><Relationship Id="rId4" Type="http://schemas.openxmlformats.org/officeDocument/2006/relationships/hyperlink" Target="http://www.fangchan.com/zt/top500/2016/" TargetMode="External"/><Relationship Id="rId9" Type="http://schemas.openxmlformats.org/officeDocument/2006/relationships/hyperlink" Target="http://www.fangchan.com/zt/top500/2014/" TargetMode="External"/><Relationship Id="rId14" Type="http://schemas.openxmlformats.org/officeDocument/2006/relationships/hyperlink" Target="http://www.fangchan.com/zt/top500/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KQ167"/>
  <sheetViews>
    <sheetView workbookViewId="0">
      <selection sqref="A1:A3"/>
    </sheetView>
  </sheetViews>
  <sheetFormatPr defaultColWidth="7.58203125" defaultRowHeight="16.5" customHeight="1" x14ac:dyDescent="0.35"/>
  <cols>
    <col min="1" max="5" width="7.58203125" style="8"/>
    <col min="6" max="6" width="7.58203125" style="9"/>
    <col min="7" max="7" width="9" style="130" customWidth="1"/>
    <col min="8" max="8" width="9.5" style="8" bestFit="1" customWidth="1"/>
    <col min="9" max="11" width="7.58203125" style="8"/>
    <col min="12" max="12" width="7.75" style="2" bestFit="1" customWidth="1"/>
    <col min="13" max="20" width="7.58203125" style="8"/>
    <col min="21" max="21" width="8.33203125" style="8" bestFit="1" customWidth="1"/>
    <col min="22" max="23" width="7.58203125" style="8"/>
    <col min="24" max="24" width="7.75" style="8" bestFit="1" customWidth="1"/>
    <col min="25" max="25" width="9.5" style="8" bestFit="1" customWidth="1"/>
    <col min="26" max="28" width="7.58203125" style="8"/>
    <col min="29" max="29" width="7.75" style="8" bestFit="1" customWidth="1"/>
    <col min="30" max="32" width="7.58203125" style="8"/>
    <col min="33" max="33" width="7.75" style="8" bestFit="1" customWidth="1"/>
    <col min="34" max="36" width="7.58203125" style="8"/>
    <col min="37" max="37" width="7.75" style="8" bestFit="1" customWidth="1"/>
    <col min="38" max="39" width="7.58203125" style="8"/>
    <col min="40" max="40" width="7.75" style="8" bestFit="1" customWidth="1"/>
    <col min="41" max="41" width="8.33203125" style="8" bestFit="1" customWidth="1"/>
    <col min="42" max="44" width="7.58203125" style="8"/>
    <col min="45" max="45" width="7.75" style="8" bestFit="1" customWidth="1"/>
    <col min="46" max="48" width="7.58203125" style="8"/>
    <col min="49" max="49" width="7.75" style="8" bestFit="1" customWidth="1"/>
    <col min="50" max="52" width="7.58203125" style="8"/>
    <col min="53" max="53" width="7.75" style="8" bestFit="1" customWidth="1"/>
    <col min="54" max="55" width="7.58203125" style="8"/>
    <col min="56" max="56" width="7.75" style="2" bestFit="1" customWidth="1"/>
    <col min="57" max="57" width="7.75" style="8" bestFit="1" customWidth="1"/>
    <col min="58" max="60" width="7.58203125" style="8"/>
    <col min="61" max="62" width="7.75" style="8" bestFit="1" customWidth="1"/>
    <col min="63" max="63" width="7.58203125" style="8"/>
    <col min="64" max="64" width="7.75" style="2" bestFit="1" customWidth="1"/>
    <col min="65" max="65" width="7.75" style="8" bestFit="1" customWidth="1"/>
    <col min="66" max="68" width="7.58203125" style="8"/>
    <col min="69" max="70" width="7.75" style="8" bestFit="1" customWidth="1"/>
    <col min="71" max="71" width="7.58203125" style="8"/>
    <col min="72" max="73" width="7.75" style="8" bestFit="1" customWidth="1"/>
    <col min="74" max="76" width="7.58203125" style="8"/>
    <col min="77" max="77" width="7.75" style="8" bestFit="1" customWidth="1"/>
    <col min="78" max="79" width="7.58203125" style="8"/>
    <col min="80" max="80" width="7.75" style="8" bestFit="1" customWidth="1"/>
    <col min="81" max="87" width="7.58203125" style="8"/>
    <col min="88" max="89" width="7.75" style="8" bestFit="1" customWidth="1"/>
    <col min="90" max="92" width="7.58203125" style="8"/>
    <col min="93" max="93" width="7.75" style="8" bestFit="1" customWidth="1"/>
    <col min="94" max="96" width="7.58203125" style="8"/>
    <col min="97" max="97" width="7.75" style="8" bestFit="1" customWidth="1"/>
    <col min="98" max="99" width="7.58203125" style="8"/>
    <col min="100" max="101" width="7.75" style="8" bestFit="1" customWidth="1"/>
    <col min="102" max="104" width="7.58203125" style="8"/>
    <col min="105" max="105" width="7.75" style="8" bestFit="1" customWidth="1"/>
    <col min="106" max="107" width="7.58203125" style="8"/>
    <col min="108" max="108" width="7.75" style="8" bestFit="1" customWidth="1"/>
    <col min="109" max="109" width="7.75" style="15" bestFit="1" customWidth="1"/>
    <col min="110" max="112" width="7.58203125" style="8"/>
    <col min="113" max="113" width="7.75" style="8" bestFit="1" customWidth="1"/>
    <col min="114" max="116" width="7.58203125" style="8"/>
    <col min="117" max="117" width="7.75" style="8" bestFit="1" customWidth="1"/>
    <col min="118" max="119" width="7.58203125" style="8"/>
    <col min="120" max="120" width="7.75" style="8" bestFit="1" customWidth="1"/>
    <col min="121" max="124" width="7.58203125" style="8"/>
    <col min="125" max="125" width="8.33203125" style="10" bestFit="1" customWidth="1"/>
    <col min="126" max="128" width="7.58203125" style="8"/>
    <col min="129" max="129" width="8.5" style="10" bestFit="1" customWidth="1"/>
    <col min="130" max="132" width="7.58203125" style="8"/>
    <col min="133" max="133" width="8.33203125" style="10" bestFit="1" customWidth="1"/>
    <col min="134" max="136" width="7.58203125" style="8"/>
    <col min="137" max="137" width="8.5" style="10" bestFit="1" customWidth="1"/>
    <col min="138" max="139" width="7.58203125" style="8"/>
    <col min="140" max="140" width="7.75" style="2" bestFit="1" customWidth="1"/>
    <col min="141" max="141" width="7.75" style="8" bestFit="1" customWidth="1"/>
    <col min="142" max="144" width="7.58203125" style="8"/>
    <col min="145" max="145" width="7.75" style="8" bestFit="1" customWidth="1"/>
    <col min="146" max="147" width="7.58203125" style="8"/>
    <col min="148" max="149" width="7.75" style="8" bestFit="1" customWidth="1"/>
    <col min="150" max="152" width="7.58203125" style="8"/>
    <col min="153" max="153" width="7.75" style="8" bestFit="1" customWidth="1"/>
    <col min="154" max="155" width="7.58203125" style="8"/>
    <col min="156" max="157" width="7.75" style="8" bestFit="1" customWidth="1"/>
    <col min="158" max="160" width="7.58203125" style="8"/>
    <col min="161" max="161" width="7.75" style="8" bestFit="1" customWidth="1"/>
    <col min="162" max="163" width="7.58203125" style="8"/>
    <col min="164" max="164" width="7.75" style="8" bestFit="1" customWidth="1"/>
    <col min="165" max="168" width="7.58203125" style="8"/>
    <col min="169" max="169" width="8.33203125" style="8" bestFit="1" customWidth="1"/>
    <col min="170" max="171" width="7.58203125" style="8"/>
    <col min="172" max="172" width="7.75" style="8" bestFit="1" customWidth="1"/>
    <col min="173" max="173" width="8.33203125" style="8" bestFit="1" customWidth="1"/>
    <col min="174" max="176" width="7.58203125" style="8"/>
    <col min="177" max="177" width="8.33203125" style="8" bestFit="1" customWidth="1"/>
    <col min="178" max="180" width="7.58203125" style="8"/>
    <col min="181" max="181" width="8.33203125" style="8" bestFit="1" customWidth="1"/>
    <col min="182" max="183" width="7.58203125" style="8"/>
    <col min="184" max="184" width="7.75" style="8" bestFit="1" customWidth="1"/>
    <col min="185" max="191" width="7.58203125" style="8"/>
    <col min="192" max="192" width="7.75" style="8" bestFit="1" customWidth="1"/>
    <col min="193" max="193" width="8.33203125" style="8" bestFit="1" customWidth="1"/>
    <col min="194" max="195" width="7.58203125" style="8"/>
    <col min="196" max="196" width="9.33203125" style="8" bestFit="1" customWidth="1"/>
    <col min="197" max="197" width="7.75" style="8" bestFit="1" customWidth="1"/>
    <col min="198" max="200" width="7.58203125" style="8"/>
    <col min="201" max="201" width="8.5" style="8" bestFit="1" customWidth="1"/>
    <col min="202" max="203" width="7.58203125" style="8"/>
    <col min="204" max="204" width="7.75" style="8" bestFit="1" customWidth="1"/>
    <col min="205" max="205" width="8.33203125" style="8" bestFit="1" customWidth="1"/>
    <col min="206" max="208" width="7.58203125" style="8"/>
    <col min="209" max="209" width="7.75" style="8" bestFit="1" customWidth="1"/>
    <col min="210" max="212" width="7.58203125" style="8"/>
    <col min="213" max="213" width="8.5" style="8" bestFit="1" customWidth="1"/>
    <col min="214" max="215" width="7.58203125" style="8"/>
    <col min="216" max="216" width="7.75" style="8" bestFit="1" customWidth="1"/>
    <col min="217" max="217" width="8.33203125" style="8" bestFit="1" customWidth="1"/>
    <col min="218" max="220" width="7.58203125" style="8"/>
    <col min="221" max="221" width="7.75" style="8" bestFit="1" customWidth="1"/>
    <col min="222" max="224" width="7.58203125" style="8"/>
    <col min="225" max="225" width="7.75" style="8" bestFit="1" customWidth="1"/>
    <col min="226" max="227" width="7.58203125" style="8"/>
    <col min="228" max="228" width="7.75" style="8" bestFit="1" customWidth="1"/>
    <col min="229" max="229" width="8.33203125" style="10" bestFit="1" customWidth="1"/>
    <col min="230" max="232" width="7.58203125" style="8"/>
    <col min="233" max="233" width="7.75" style="8" bestFit="1" customWidth="1"/>
    <col min="234" max="236" width="7.58203125" style="8"/>
    <col min="237" max="237" width="8.5" style="8" bestFit="1" customWidth="1"/>
    <col min="238" max="239" width="7.58203125" style="8"/>
    <col min="240" max="240" width="7.75" style="8" bestFit="1" customWidth="1"/>
    <col min="241" max="251" width="7.58203125" style="8"/>
    <col min="252" max="252" width="7.75" style="2" bestFit="1" customWidth="1"/>
    <col min="253" max="253" width="9.5" style="8" bestFit="1" customWidth="1"/>
    <col min="254" max="256" width="7.58203125" style="8"/>
    <col min="257" max="257" width="7.75" style="8" bestFit="1" customWidth="1"/>
    <col min="258" max="260" width="7.58203125" style="8"/>
    <col min="261" max="261" width="8.5" style="8" bestFit="1" customWidth="1"/>
    <col min="262" max="263" width="7.58203125" style="8"/>
    <col min="264" max="264" width="7.75" style="8" bestFit="1" customWidth="1"/>
    <col min="265" max="265" width="8.33203125" style="8" bestFit="1" customWidth="1"/>
    <col min="266" max="268" width="7.58203125" style="8"/>
    <col min="269" max="269" width="7.75" style="8" bestFit="1" customWidth="1"/>
    <col min="270" max="272" width="7.58203125" style="8"/>
    <col min="273" max="273" width="7.75" style="8" bestFit="1" customWidth="1"/>
    <col min="274" max="276" width="7.58203125" style="8"/>
    <col min="277" max="277" width="7.75" style="8" bestFit="1" customWidth="1"/>
    <col min="278" max="280" width="7.58203125" style="8"/>
    <col min="281" max="281" width="7.75" style="8" bestFit="1" customWidth="1"/>
    <col min="282" max="283" width="7.58203125" style="8"/>
    <col min="284" max="284" width="7.75" style="8" bestFit="1" customWidth="1"/>
    <col min="285" max="287" width="7.58203125" style="8"/>
    <col min="288" max="288" width="7.75" style="8" bestFit="1" customWidth="1"/>
    <col min="289" max="291" width="7.58203125" style="8"/>
    <col min="292" max="292" width="7.75" style="8" bestFit="1" customWidth="1"/>
    <col min="293" max="293" width="9.33203125" style="8" bestFit="1" customWidth="1"/>
    <col min="294" max="296" width="7.58203125" style="8"/>
    <col min="297" max="297" width="7.75" style="8" bestFit="1" customWidth="1"/>
    <col min="298" max="300" width="7.58203125" style="8"/>
    <col min="301" max="301" width="8.5" style="8" bestFit="1" customWidth="1"/>
    <col min="302" max="16384" width="7.58203125" style="8"/>
  </cols>
  <sheetData>
    <row r="1" spans="1:303" ht="16.5" customHeight="1" x14ac:dyDescent="0.35">
      <c r="A1" s="269" t="s">
        <v>53</v>
      </c>
      <c r="B1" s="269" t="s">
        <v>54</v>
      </c>
      <c r="C1" s="269" t="s">
        <v>55</v>
      </c>
      <c r="D1" s="269" t="s">
        <v>56</v>
      </c>
      <c r="E1" s="269" t="s">
        <v>57</v>
      </c>
      <c r="F1" s="267" t="s">
        <v>58</v>
      </c>
      <c r="G1" s="268" t="s">
        <v>59</v>
      </c>
      <c r="H1" s="269" t="s">
        <v>161</v>
      </c>
      <c r="I1" s="269" t="s">
        <v>164</v>
      </c>
      <c r="J1" s="267" t="s">
        <v>160</v>
      </c>
      <c r="K1" s="267" t="s">
        <v>162</v>
      </c>
      <c r="L1" s="271" t="s">
        <v>41</v>
      </c>
      <c r="M1" s="271"/>
      <c r="N1" s="271"/>
      <c r="O1" s="271"/>
      <c r="P1" s="271"/>
      <c r="Q1" s="271"/>
      <c r="R1" s="271"/>
      <c r="S1" s="271"/>
      <c r="T1" s="271"/>
      <c r="U1" s="271"/>
      <c r="V1" s="271"/>
      <c r="W1" s="271"/>
      <c r="X1" s="273" t="s">
        <v>19</v>
      </c>
      <c r="Y1" s="273"/>
      <c r="Z1" s="273"/>
      <c r="AA1" s="273"/>
      <c r="AB1" s="273"/>
      <c r="AC1" s="273"/>
      <c r="AD1" s="273"/>
      <c r="AE1" s="273"/>
      <c r="AF1" s="273"/>
      <c r="AG1" s="273"/>
      <c r="AH1" s="273"/>
      <c r="AI1" s="273"/>
      <c r="AJ1" s="273"/>
      <c r="AK1" s="273"/>
      <c r="AL1" s="273"/>
      <c r="AM1" s="273"/>
      <c r="AN1" s="273" t="s">
        <v>29</v>
      </c>
      <c r="AO1" s="273"/>
      <c r="AP1" s="273"/>
      <c r="AQ1" s="273"/>
      <c r="AR1" s="273"/>
      <c r="AS1" s="273"/>
      <c r="AT1" s="273"/>
      <c r="AU1" s="273"/>
      <c r="AV1" s="273"/>
      <c r="AW1" s="273"/>
      <c r="AX1" s="273"/>
      <c r="AY1" s="273"/>
      <c r="AZ1" s="273"/>
      <c r="BA1" s="273"/>
      <c r="BB1" s="273"/>
      <c r="BC1" s="273"/>
      <c r="BD1" s="273" t="s">
        <v>23</v>
      </c>
      <c r="BE1" s="273"/>
      <c r="BF1" s="273"/>
      <c r="BG1" s="273"/>
      <c r="BH1" s="273"/>
      <c r="BI1" s="273"/>
      <c r="BJ1" s="273"/>
      <c r="BK1" s="273"/>
      <c r="BL1" s="273" t="s">
        <v>38</v>
      </c>
      <c r="BM1" s="273"/>
      <c r="BN1" s="273"/>
      <c r="BO1" s="273"/>
      <c r="BP1" s="273"/>
      <c r="BQ1" s="273"/>
      <c r="BR1" s="273"/>
      <c r="BS1" s="273"/>
      <c r="BT1" s="273" t="s">
        <v>541</v>
      </c>
      <c r="BU1" s="273"/>
      <c r="BV1" s="273"/>
      <c r="BW1" s="273"/>
      <c r="BX1" s="273"/>
      <c r="BY1" s="273"/>
      <c r="BZ1" s="273"/>
      <c r="CA1" s="273"/>
      <c r="CB1" s="273" t="s">
        <v>16</v>
      </c>
      <c r="CC1" s="273"/>
      <c r="CD1" s="273"/>
      <c r="CE1" s="273"/>
      <c r="CF1" s="273"/>
      <c r="CG1" s="273"/>
      <c r="CH1" s="273"/>
      <c r="CI1" s="273"/>
      <c r="CJ1" s="273" t="s">
        <v>26</v>
      </c>
      <c r="CK1" s="273"/>
      <c r="CL1" s="273"/>
      <c r="CM1" s="273"/>
      <c r="CN1" s="273"/>
      <c r="CO1" s="273"/>
      <c r="CP1" s="273"/>
      <c r="CQ1" s="273"/>
      <c r="CR1" s="273"/>
      <c r="CS1" s="273"/>
      <c r="CT1" s="273"/>
      <c r="CU1" s="273"/>
      <c r="CV1" s="273" t="s">
        <v>17</v>
      </c>
      <c r="CW1" s="273"/>
      <c r="CX1" s="273"/>
      <c r="CY1" s="273"/>
      <c r="CZ1" s="273"/>
      <c r="DA1" s="273"/>
      <c r="DB1" s="273"/>
      <c r="DC1" s="273"/>
      <c r="DD1" s="273" t="s">
        <v>24</v>
      </c>
      <c r="DE1" s="273"/>
      <c r="DF1" s="273"/>
      <c r="DG1" s="273"/>
      <c r="DH1" s="273"/>
      <c r="DI1" s="273"/>
      <c r="DJ1" s="273"/>
      <c r="DK1" s="273"/>
      <c r="DL1" s="273"/>
      <c r="DM1" s="273"/>
      <c r="DN1" s="273"/>
      <c r="DO1" s="273"/>
      <c r="DP1" s="273" t="s">
        <v>2</v>
      </c>
      <c r="DQ1" s="273"/>
      <c r="DR1" s="273"/>
      <c r="DS1" s="273"/>
      <c r="DT1" s="273"/>
      <c r="DU1" s="273"/>
      <c r="DV1" s="273"/>
      <c r="DW1" s="273"/>
      <c r="DX1" s="273"/>
      <c r="DY1" s="273"/>
      <c r="DZ1" s="273"/>
      <c r="EA1" s="273"/>
      <c r="EB1" s="273"/>
      <c r="EC1" s="273"/>
      <c r="ED1" s="273"/>
      <c r="EE1" s="273"/>
      <c r="EF1" s="273"/>
      <c r="EG1" s="273"/>
      <c r="EH1" s="273"/>
      <c r="EI1" s="273"/>
      <c r="EJ1" s="273" t="s">
        <v>66</v>
      </c>
      <c r="EK1" s="273"/>
      <c r="EL1" s="273"/>
      <c r="EM1" s="273"/>
      <c r="EN1" s="273"/>
      <c r="EO1" s="273"/>
      <c r="EP1" s="273"/>
      <c r="EQ1" s="273"/>
      <c r="ER1" s="273" t="s">
        <v>68</v>
      </c>
      <c r="ES1" s="273"/>
      <c r="ET1" s="273"/>
      <c r="EU1" s="273"/>
      <c r="EV1" s="273"/>
      <c r="EW1" s="273"/>
      <c r="EX1" s="273"/>
      <c r="EY1" s="273"/>
      <c r="EZ1" s="273" t="s">
        <v>39</v>
      </c>
      <c r="FA1" s="273"/>
      <c r="FB1" s="273"/>
      <c r="FC1" s="273"/>
      <c r="FD1" s="273"/>
      <c r="FE1" s="273"/>
      <c r="FF1" s="273"/>
      <c r="FG1" s="273"/>
      <c r="FH1" s="273" t="s">
        <v>70</v>
      </c>
      <c r="FI1" s="273"/>
      <c r="FJ1" s="273"/>
      <c r="FK1" s="273"/>
      <c r="FL1" s="273"/>
      <c r="FM1" s="273"/>
      <c r="FN1" s="273"/>
      <c r="FO1" s="273"/>
      <c r="FP1" s="273"/>
      <c r="FQ1" s="273"/>
      <c r="FR1" s="273"/>
      <c r="FS1" s="273"/>
      <c r="FT1" s="273"/>
      <c r="FU1" s="273"/>
      <c r="FV1" s="273"/>
      <c r="FW1" s="273"/>
      <c r="FX1" s="273"/>
      <c r="FY1" s="273"/>
      <c r="FZ1" s="273"/>
      <c r="GA1" s="273"/>
      <c r="GB1" s="273" t="s">
        <v>3</v>
      </c>
      <c r="GC1" s="273"/>
      <c r="GD1" s="273"/>
      <c r="GE1" s="273"/>
      <c r="GF1" s="273"/>
      <c r="GG1" s="273"/>
      <c r="GH1" s="273"/>
      <c r="GI1" s="273"/>
      <c r="GJ1" s="273" t="s">
        <v>33</v>
      </c>
      <c r="GK1" s="273"/>
      <c r="GL1" s="273"/>
      <c r="GM1" s="273"/>
      <c r="GN1" s="273"/>
      <c r="GO1" s="273"/>
      <c r="GP1" s="273"/>
      <c r="GQ1" s="273"/>
      <c r="GR1" s="273"/>
      <c r="GS1" s="273"/>
      <c r="GT1" s="273"/>
      <c r="GU1" s="273"/>
      <c r="GV1" s="271" t="s">
        <v>4</v>
      </c>
      <c r="GW1" s="271"/>
      <c r="GX1" s="271"/>
      <c r="GY1" s="271"/>
      <c r="GZ1" s="271"/>
      <c r="HA1" s="271"/>
      <c r="HB1" s="271"/>
      <c r="HC1" s="271"/>
      <c r="HD1" s="271"/>
      <c r="HE1" s="271"/>
      <c r="HF1" s="271"/>
      <c r="HG1" s="271"/>
      <c r="HH1" s="271" t="s">
        <v>74</v>
      </c>
      <c r="HI1" s="271"/>
      <c r="HJ1" s="271"/>
      <c r="HK1" s="271"/>
      <c r="HL1" s="271"/>
      <c r="HM1" s="271"/>
      <c r="HN1" s="271"/>
      <c r="HO1" s="271"/>
      <c r="HP1" s="271"/>
      <c r="HQ1" s="271"/>
      <c r="HR1" s="271"/>
      <c r="HS1" s="271"/>
      <c r="HT1" s="271" t="s">
        <v>5</v>
      </c>
      <c r="HU1" s="271"/>
      <c r="HV1" s="271"/>
      <c r="HW1" s="271"/>
      <c r="HX1" s="271"/>
      <c r="HY1" s="271"/>
      <c r="HZ1" s="271"/>
      <c r="IA1" s="271"/>
      <c r="IB1" s="271"/>
      <c r="IC1" s="271"/>
      <c r="ID1" s="271"/>
      <c r="IE1" s="271"/>
      <c r="IF1" s="271" t="s">
        <v>75</v>
      </c>
      <c r="IG1" s="271"/>
      <c r="IH1" s="271"/>
      <c r="II1" s="271"/>
      <c r="IJ1" s="271"/>
      <c r="IK1" s="271"/>
      <c r="IL1" s="271"/>
      <c r="IM1" s="271"/>
      <c r="IN1" s="271"/>
      <c r="IO1" s="271"/>
      <c r="IP1" s="271"/>
      <c r="IQ1" s="271"/>
      <c r="IR1" s="271" t="s">
        <v>76</v>
      </c>
      <c r="IS1" s="271"/>
      <c r="IT1" s="271"/>
      <c r="IU1" s="271"/>
      <c r="IV1" s="271"/>
      <c r="IW1" s="271"/>
      <c r="IX1" s="271"/>
      <c r="IY1" s="271"/>
      <c r="IZ1" s="271"/>
      <c r="JA1" s="271"/>
      <c r="JB1" s="271"/>
      <c r="JC1" s="271"/>
      <c r="JD1" s="271" t="s">
        <v>77</v>
      </c>
      <c r="JE1" s="271"/>
      <c r="JF1" s="271"/>
      <c r="JG1" s="271"/>
      <c r="JH1" s="271"/>
      <c r="JI1" s="271"/>
      <c r="JJ1" s="271"/>
      <c r="JK1" s="271"/>
      <c r="JL1" s="271"/>
      <c r="JM1" s="271"/>
      <c r="JN1" s="271"/>
      <c r="JO1" s="271"/>
      <c r="JP1" s="271"/>
      <c r="JQ1" s="271"/>
      <c r="JR1" s="271"/>
      <c r="JS1" s="271"/>
      <c r="JT1" s="271"/>
      <c r="JU1" s="271"/>
      <c r="JV1" s="271"/>
      <c r="JW1" s="271"/>
      <c r="JX1" s="271" t="s">
        <v>78</v>
      </c>
      <c r="JY1" s="271"/>
      <c r="JZ1" s="271"/>
      <c r="KA1" s="271"/>
      <c r="KB1" s="271"/>
      <c r="KC1" s="271"/>
      <c r="KD1" s="271"/>
      <c r="KE1" s="271"/>
      <c r="KF1" s="271" t="s">
        <v>79</v>
      </c>
      <c r="KG1" s="271"/>
      <c r="KH1" s="271"/>
      <c r="KI1" s="271"/>
      <c r="KJ1" s="271"/>
      <c r="KK1" s="271"/>
      <c r="KL1" s="271"/>
      <c r="KM1" s="271"/>
      <c r="KN1" s="271"/>
      <c r="KO1" s="271"/>
      <c r="KP1" s="271"/>
      <c r="KQ1" s="271"/>
    </row>
    <row r="2" spans="1:303" ht="16.5" customHeight="1" x14ac:dyDescent="0.35">
      <c r="A2" s="269"/>
      <c r="B2" s="269"/>
      <c r="C2" s="269"/>
      <c r="D2" s="269"/>
      <c r="E2" s="269"/>
      <c r="F2" s="267"/>
      <c r="G2" s="268"/>
      <c r="H2" s="269"/>
      <c r="I2" s="269"/>
      <c r="J2" s="267"/>
      <c r="K2" s="267"/>
      <c r="L2" s="268" t="s">
        <v>42</v>
      </c>
      <c r="M2" s="267" t="s">
        <v>43</v>
      </c>
      <c r="N2" s="267" t="s">
        <v>44</v>
      </c>
      <c r="O2" s="269" t="s">
        <v>45</v>
      </c>
      <c r="P2" s="267" t="s">
        <v>46</v>
      </c>
      <c r="Q2" s="267"/>
      <c r="R2" s="267"/>
      <c r="S2" s="267"/>
      <c r="T2" s="267" t="s">
        <v>47</v>
      </c>
      <c r="U2" s="267"/>
      <c r="V2" s="267"/>
      <c r="W2" s="267"/>
      <c r="X2" s="274" t="s">
        <v>6</v>
      </c>
      <c r="Y2" s="274" t="s">
        <v>7</v>
      </c>
      <c r="Z2" s="275" t="s">
        <v>8</v>
      </c>
      <c r="AA2" s="275" t="s">
        <v>9</v>
      </c>
      <c r="AB2" s="274" t="s">
        <v>20</v>
      </c>
      <c r="AC2" s="274"/>
      <c r="AD2" s="274"/>
      <c r="AE2" s="274"/>
      <c r="AF2" s="274" t="s">
        <v>21</v>
      </c>
      <c r="AG2" s="274"/>
      <c r="AH2" s="274"/>
      <c r="AI2" s="274"/>
      <c r="AJ2" s="274" t="s">
        <v>22</v>
      </c>
      <c r="AK2" s="274"/>
      <c r="AL2" s="274"/>
      <c r="AM2" s="274"/>
      <c r="AN2" s="274" t="s">
        <v>6</v>
      </c>
      <c r="AO2" s="274" t="s">
        <v>7</v>
      </c>
      <c r="AP2" s="275" t="s">
        <v>8</v>
      </c>
      <c r="AQ2" s="275" t="s">
        <v>9</v>
      </c>
      <c r="AR2" s="274" t="s">
        <v>30</v>
      </c>
      <c r="AS2" s="274"/>
      <c r="AT2" s="274"/>
      <c r="AU2" s="274"/>
      <c r="AV2" s="274" t="s">
        <v>31</v>
      </c>
      <c r="AW2" s="274"/>
      <c r="AX2" s="274"/>
      <c r="AY2" s="274"/>
      <c r="AZ2" s="274" t="s">
        <v>32</v>
      </c>
      <c r="BA2" s="274"/>
      <c r="BB2" s="274"/>
      <c r="BC2" s="274"/>
      <c r="BD2" s="276" t="s">
        <v>6</v>
      </c>
      <c r="BE2" s="274" t="s">
        <v>7</v>
      </c>
      <c r="BF2" s="274" t="s">
        <v>8</v>
      </c>
      <c r="BG2" s="275" t="s">
        <v>9</v>
      </c>
      <c r="BH2" s="274" t="s">
        <v>20</v>
      </c>
      <c r="BI2" s="274"/>
      <c r="BJ2" s="274"/>
      <c r="BK2" s="274"/>
      <c r="BL2" s="276" t="s">
        <v>6</v>
      </c>
      <c r="BM2" s="274" t="s">
        <v>7</v>
      </c>
      <c r="BN2" s="274" t="s">
        <v>8</v>
      </c>
      <c r="BO2" s="275" t="s">
        <v>9</v>
      </c>
      <c r="BP2" s="274" t="s">
        <v>60</v>
      </c>
      <c r="BQ2" s="274"/>
      <c r="BR2" s="274"/>
      <c r="BS2" s="274"/>
      <c r="BT2" s="274" t="s">
        <v>6</v>
      </c>
      <c r="BU2" s="274" t="s">
        <v>7</v>
      </c>
      <c r="BV2" s="274" t="s">
        <v>8</v>
      </c>
      <c r="BW2" s="275" t="s">
        <v>9</v>
      </c>
      <c r="BX2" s="274" t="s">
        <v>61</v>
      </c>
      <c r="BY2" s="274"/>
      <c r="BZ2" s="274"/>
      <c r="CA2" s="274"/>
      <c r="CB2" s="274" t="s">
        <v>6</v>
      </c>
      <c r="CC2" s="274" t="s">
        <v>7</v>
      </c>
      <c r="CD2" s="274" t="s">
        <v>8</v>
      </c>
      <c r="CE2" s="275" t="s">
        <v>9</v>
      </c>
      <c r="CF2" s="274" t="s">
        <v>16</v>
      </c>
      <c r="CG2" s="274"/>
      <c r="CH2" s="274"/>
      <c r="CI2" s="274"/>
      <c r="CJ2" s="274" t="s">
        <v>6</v>
      </c>
      <c r="CK2" s="274" t="s">
        <v>7</v>
      </c>
      <c r="CL2" s="274" t="s">
        <v>8</v>
      </c>
      <c r="CM2" s="275" t="s">
        <v>9</v>
      </c>
      <c r="CN2" s="274" t="s">
        <v>27</v>
      </c>
      <c r="CO2" s="274"/>
      <c r="CP2" s="274"/>
      <c r="CQ2" s="274"/>
      <c r="CR2" s="274" t="s">
        <v>20</v>
      </c>
      <c r="CS2" s="274"/>
      <c r="CT2" s="274"/>
      <c r="CU2" s="274"/>
      <c r="CV2" s="274" t="s">
        <v>6</v>
      </c>
      <c r="CW2" s="274" t="s">
        <v>7</v>
      </c>
      <c r="CX2" s="274" t="s">
        <v>8</v>
      </c>
      <c r="CY2" s="275" t="s">
        <v>9</v>
      </c>
      <c r="CZ2" s="274" t="s">
        <v>18</v>
      </c>
      <c r="DA2" s="274"/>
      <c r="DB2" s="274"/>
      <c r="DC2" s="274"/>
      <c r="DD2" s="274" t="s">
        <v>6</v>
      </c>
      <c r="DE2" s="277" t="s">
        <v>7</v>
      </c>
      <c r="DF2" s="274" t="s">
        <v>8</v>
      </c>
      <c r="DG2" s="275" t="s">
        <v>9</v>
      </c>
      <c r="DH2" s="274" t="s">
        <v>25</v>
      </c>
      <c r="DI2" s="274"/>
      <c r="DJ2" s="274"/>
      <c r="DK2" s="274"/>
      <c r="DL2" s="275" t="s">
        <v>18</v>
      </c>
      <c r="DM2" s="275"/>
      <c r="DN2" s="275"/>
      <c r="DO2" s="275"/>
      <c r="DP2" s="274" t="s">
        <v>6</v>
      </c>
      <c r="DQ2" s="274" t="s">
        <v>7</v>
      </c>
      <c r="DR2" s="274" t="s">
        <v>8</v>
      </c>
      <c r="DS2" s="275" t="s">
        <v>9</v>
      </c>
      <c r="DT2" s="274" t="s">
        <v>62</v>
      </c>
      <c r="DU2" s="274"/>
      <c r="DV2" s="274"/>
      <c r="DW2" s="274"/>
      <c r="DX2" s="274" t="s">
        <v>63</v>
      </c>
      <c r="DY2" s="274"/>
      <c r="DZ2" s="274"/>
      <c r="EA2" s="274"/>
      <c r="EB2" s="274" t="s">
        <v>64</v>
      </c>
      <c r="EC2" s="274"/>
      <c r="ED2" s="274"/>
      <c r="EE2" s="274"/>
      <c r="EF2" s="274" t="s">
        <v>65</v>
      </c>
      <c r="EG2" s="274"/>
      <c r="EH2" s="274"/>
      <c r="EI2" s="274"/>
      <c r="EJ2" s="276" t="s">
        <v>6</v>
      </c>
      <c r="EK2" s="274" t="s">
        <v>7</v>
      </c>
      <c r="EL2" s="274" t="s">
        <v>8</v>
      </c>
      <c r="EM2" s="275" t="s">
        <v>9</v>
      </c>
      <c r="EN2" s="274" t="s">
        <v>67</v>
      </c>
      <c r="EO2" s="274"/>
      <c r="EP2" s="274"/>
      <c r="EQ2" s="274"/>
      <c r="ER2" s="274" t="s">
        <v>6</v>
      </c>
      <c r="ES2" s="274" t="s">
        <v>7</v>
      </c>
      <c r="ET2" s="274" t="s">
        <v>8</v>
      </c>
      <c r="EU2" s="275" t="s">
        <v>9</v>
      </c>
      <c r="EV2" s="274" t="s">
        <v>69</v>
      </c>
      <c r="EW2" s="274"/>
      <c r="EX2" s="274"/>
      <c r="EY2" s="274"/>
      <c r="EZ2" s="274" t="s">
        <v>6</v>
      </c>
      <c r="FA2" s="274" t="s">
        <v>7</v>
      </c>
      <c r="FB2" s="274" t="s">
        <v>8</v>
      </c>
      <c r="FC2" s="275" t="s">
        <v>9</v>
      </c>
      <c r="FD2" s="274" t="s">
        <v>40</v>
      </c>
      <c r="FE2" s="274"/>
      <c r="FF2" s="274"/>
      <c r="FG2" s="274"/>
      <c r="FH2" s="274" t="s">
        <v>6</v>
      </c>
      <c r="FI2" s="274" t="s">
        <v>7</v>
      </c>
      <c r="FJ2" s="274" t="s">
        <v>8</v>
      </c>
      <c r="FK2" s="275" t="s">
        <v>9</v>
      </c>
      <c r="FL2" s="274" t="s">
        <v>158</v>
      </c>
      <c r="FM2" s="274"/>
      <c r="FN2" s="274"/>
      <c r="FO2" s="274"/>
      <c r="FP2" s="274" t="s">
        <v>71</v>
      </c>
      <c r="FQ2" s="274"/>
      <c r="FR2" s="274"/>
      <c r="FS2" s="274"/>
      <c r="FT2" s="274" t="s">
        <v>72</v>
      </c>
      <c r="FU2" s="274"/>
      <c r="FV2" s="274"/>
      <c r="FW2" s="274"/>
      <c r="FX2" s="274" t="s">
        <v>73</v>
      </c>
      <c r="FY2" s="274"/>
      <c r="FZ2" s="274"/>
      <c r="GA2" s="274"/>
      <c r="GB2" s="274" t="s">
        <v>6</v>
      </c>
      <c r="GC2" s="274" t="s">
        <v>7</v>
      </c>
      <c r="GD2" s="274" t="s">
        <v>8</v>
      </c>
      <c r="GE2" s="275" t="s">
        <v>9</v>
      </c>
      <c r="GF2" s="274" t="s">
        <v>28</v>
      </c>
      <c r="GG2" s="274"/>
      <c r="GH2" s="274"/>
      <c r="GI2" s="274"/>
      <c r="GJ2" s="274" t="s">
        <v>6</v>
      </c>
      <c r="GK2" s="274" t="s">
        <v>7</v>
      </c>
      <c r="GL2" s="274" t="s">
        <v>8</v>
      </c>
      <c r="GM2" s="275" t="s">
        <v>9</v>
      </c>
      <c r="GN2" s="274" t="s">
        <v>34</v>
      </c>
      <c r="GO2" s="274"/>
      <c r="GP2" s="274"/>
      <c r="GQ2" s="274"/>
      <c r="GR2" s="274" t="s">
        <v>35</v>
      </c>
      <c r="GS2" s="274"/>
      <c r="GT2" s="274"/>
      <c r="GU2" s="274"/>
      <c r="GV2" s="267" t="s">
        <v>6</v>
      </c>
      <c r="GW2" s="267" t="s">
        <v>80</v>
      </c>
      <c r="GX2" s="267" t="s">
        <v>8</v>
      </c>
      <c r="GY2" s="269" t="s">
        <v>81</v>
      </c>
      <c r="GZ2" s="267" t="s">
        <v>82</v>
      </c>
      <c r="HA2" s="267"/>
      <c r="HB2" s="267"/>
      <c r="HC2" s="267"/>
      <c r="HD2" s="267" t="s">
        <v>83</v>
      </c>
      <c r="HE2" s="267"/>
      <c r="HF2" s="267"/>
      <c r="HG2" s="267"/>
      <c r="HH2" s="267" t="s">
        <v>6</v>
      </c>
      <c r="HI2" s="267" t="s">
        <v>7</v>
      </c>
      <c r="HJ2" s="267" t="s">
        <v>8</v>
      </c>
      <c r="HK2" s="269" t="s">
        <v>81</v>
      </c>
      <c r="HL2" s="267" t="s">
        <v>15</v>
      </c>
      <c r="HM2" s="267"/>
      <c r="HN2" s="267"/>
      <c r="HO2" s="267"/>
      <c r="HP2" s="267" t="s">
        <v>84</v>
      </c>
      <c r="HQ2" s="267"/>
      <c r="HR2" s="267"/>
      <c r="HS2" s="267"/>
      <c r="HT2" s="267" t="s">
        <v>85</v>
      </c>
      <c r="HU2" s="272" t="s">
        <v>7</v>
      </c>
      <c r="HV2" s="267" t="s">
        <v>8</v>
      </c>
      <c r="HW2" s="269" t="s">
        <v>9</v>
      </c>
      <c r="HX2" s="267" t="s">
        <v>14</v>
      </c>
      <c r="HY2" s="267"/>
      <c r="HZ2" s="267"/>
      <c r="IA2" s="267"/>
      <c r="IB2" s="267" t="s">
        <v>86</v>
      </c>
      <c r="IC2" s="267"/>
      <c r="ID2" s="267"/>
      <c r="IE2" s="267"/>
      <c r="IF2" s="267" t="s">
        <v>85</v>
      </c>
      <c r="IG2" s="267" t="s">
        <v>7</v>
      </c>
      <c r="IH2" s="267" t="s">
        <v>8</v>
      </c>
      <c r="II2" s="269" t="s">
        <v>9</v>
      </c>
      <c r="IJ2" s="267" t="s">
        <v>87</v>
      </c>
      <c r="IK2" s="267"/>
      <c r="IL2" s="267"/>
      <c r="IM2" s="267"/>
      <c r="IN2" s="267" t="s">
        <v>88</v>
      </c>
      <c r="IO2" s="267"/>
      <c r="IP2" s="267"/>
      <c r="IQ2" s="267"/>
      <c r="IR2" s="268" t="s">
        <v>85</v>
      </c>
      <c r="IS2" s="267" t="s">
        <v>80</v>
      </c>
      <c r="IT2" s="267" t="s">
        <v>8</v>
      </c>
      <c r="IU2" s="269" t="s">
        <v>81</v>
      </c>
      <c r="IV2" s="267" t="s">
        <v>89</v>
      </c>
      <c r="IW2" s="267"/>
      <c r="IX2" s="267"/>
      <c r="IY2" s="267"/>
      <c r="IZ2" s="267" t="s">
        <v>90</v>
      </c>
      <c r="JA2" s="267"/>
      <c r="JB2" s="267"/>
      <c r="JC2" s="267"/>
      <c r="JD2" s="267" t="s">
        <v>85</v>
      </c>
      <c r="JE2" s="267" t="s">
        <v>80</v>
      </c>
      <c r="JF2" s="267" t="s">
        <v>91</v>
      </c>
      <c r="JG2" s="269" t="s">
        <v>9</v>
      </c>
      <c r="JH2" s="267" t="s">
        <v>92</v>
      </c>
      <c r="JI2" s="267"/>
      <c r="JJ2" s="267"/>
      <c r="JK2" s="267"/>
      <c r="JL2" s="267" t="s">
        <v>93</v>
      </c>
      <c r="JM2" s="267"/>
      <c r="JN2" s="267"/>
      <c r="JO2" s="267"/>
      <c r="JP2" s="270" t="s">
        <v>168</v>
      </c>
      <c r="JQ2" s="270"/>
      <c r="JR2" s="270"/>
      <c r="JS2" s="270"/>
      <c r="JT2" s="270" t="s">
        <v>167</v>
      </c>
      <c r="JU2" s="270"/>
      <c r="JV2" s="270"/>
      <c r="JW2" s="270"/>
      <c r="JX2" s="267" t="s">
        <v>94</v>
      </c>
      <c r="JY2" s="267" t="s">
        <v>95</v>
      </c>
      <c r="JZ2" s="267" t="s">
        <v>96</v>
      </c>
      <c r="KA2" s="269" t="s">
        <v>97</v>
      </c>
      <c r="KB2" s="267" t="s">
        <v>98</v>
      </c>
      <c r="KC2" s="267"/>
      <c r="KD2" s="267"/>
      <c r="KE2" s="267"/>
      <c r="KF2" s="267" t="s">
        <v>6</v>
      </c>
      <c r="KG2" s="267" t="s">
        <v>7</v>
      </c>
      <c r="KH2" s="267" t="s">
        <v>8</v>
      </c>
      <c r="KI2" s="269" t="s">
        <v>9</v>
      </c>
      <c r="KJ2" s="267" t="s">
        <v>99</v>
      </c>
      <c r="KK2" s="267"/>
      <c r="KL2" s="267"/>
      <c r="KM2" s="267"/>
      <c r="KN2" s="267" t="s">
        <v>100</v>
      </c>
      <c r="KO2" s="267"/>
      <c r="KP2" s="267"/>
      <c r="KQ2" s="267"/>
    </row>
    <row r="3" spans="1:303" ht="16.5" customHeight="1" x14ac:dyDescent="0.35">
      <c r="A3" s="269"/>
      <c r="B3" s="269"/>
      <c r="C3" s="269"/>
      <c r="D3" s="269"/>
      <c r="E3" s="269"/>
      <c r="F3" s="267"/>
      <c r="G3" s="268"/>
      <c r="H3" s="269"/>
      <c r="I3" s="269"/>
      <c r="J3" s="267"/>
      <c r="K3" s="267"/>
      <c r="L3" s="268"/>
      <c r="M3" s="267"/>
      <c r="N3" s="267"/>
      <c r="O3" s="269"/>
      <c r="P3" s="165" t="s">
        <v>48</v>
      </c>
      <c r="Q3" s="165" t="s">
        <v>49</v>
      </c>
      <c r="R3" s="165" t="s">
        <v>50</v>
      </c>
      <c r="S3" s="165" t="s">
        <v>51</v>
      </c>
      <c r="T3" s="165" t="s">
        <v>48</v>
      </c>
      <c r="U3" s="165" t="s">
        <v>49</v>
      </c>
      <c r="V3" s="165" t="s">
        <v>50</v>
      </c>
      <c r="W3" s="165" t="s">
        <v>52</v>
      </c>
      <c r="X3" s="274"/>
      <c r="Y3" s="274"/>
      <c r="Z3" s="275"/>
      <c r="AA3" s="275"/>
      <c r="AB3" s="166" t="s">
        <v>10</v>
      </c>
      <c r="AC3" s="166" t="s">
        <v>11</v>
      </c>
      <c r="AD3" s="166" t="s">
        <v>12</v>
      </c>
      <c r="AE3" s="166" t="s">
        <v>13</v>
      </c>
      <c r="AF3" s="166" t="s">
        <v>10</v>
      </c>
      <c r="AG3" s="166" t="s">
        <v>11</v>
      </c>
      <c r="AH3" s="166" t="s">
        <v>12</v>
      </c>
      <c r="AI3" s="166" t="s">
        <v>13</v>
      </c>
      <c r="AJ3" s="166" t="s">
        <v>10</v>
      </c>
      <c r="AK3" s="166" t="s">
        <v>11</v>
      </c>
      <c r="AL3" s="166" t="s">
        <v>12</v>
      </c>
      <c r="AM3" s="166" t="s">
        <v>13</v>
      </c>
      <c r="AN3" s="274"/>
      <c r="AO3" s="274"/>
      <c r="AP3" s="275"/>
      <c r="AQ3" s="275"/>
      <c r="AR3" s="166" t="s">
        <v>10</v>
      </c>
      <c r="AS3" s="166" t="s">
        <v>11</v>
      </c>
      <c r="AT3" s="166" t="s">
        <v>12</v>
      </c>
      <c r="AU3" s="166" t="s">
        <v>13</v>
      </c>
      <c r="AV3" s="166" t="s">
        <v>10</v>
      </c>
      <c r="AW3" s="166" t="s">
        <v>11</v>
      </c>
      <c r="AX3" s="166" t="s">
        <v>12</v>
      </c>
      <c r="AY3" s="166" t="s">
        <v>13</v>
      </c>
      <c r="AZ3" s="166" t="s">
        <v>10</v>
      </c>
      <c r="BA3" s="166" t="s">
        <v>11</v>
      </c>
      <c r="BB3" s="166" t="s">
        <v>12</v>
      </c>
      <c r="BC3" s="166" t="s">
        <v>13</v>
      </c>
      <c r="BD3" s="276"/>
      <c r="BE3" s="274"/>
      <c r="BF3" s="274"/>
      <c r="BG3" s="275"/>
      <c r="BH3" s="166" t="s">
        <v>10</v>
      </c>
      <c r="BI3" s="166" t="s">
        <v>11</v>
      </c>
      <c r="BJ3" s="166" t="s">
        <v>12</v>
      </c>
      <c r="BK3" s="166" t="s">
        <v>13</v>
      </c>
      <c r="BL3" s="276"/>
      <c r="BM3" s="274"/>
      <c r="BN3" s="274"/>
      <c r="BO3" s="275"/>
      <c r="BP3" s="166" t="s">
        <v>10</v>
      </c>
      <c r="BQ3" s="166" t="s">
        <v>11</v>
      </c>
      <c r="BR3" s="166" t="s">
        <v>12</v>
      </c>
      <c r="BS3" s="166" t="s">
        <v>13</v>
      </c>
      <c r="BT3" s="274"/>
      <c r="BU3" s="274"/>
      <c r="BV3" s="274"/>
      <c r="BW3" s="275"/>
      <c r="BX3" s="166" t="s">
        <v>10</v>
      </c>
      <c r="BY3" s="166" t="s">
        <v>11</v>
      </c>
      <c r="BZ3" s="166" t="s">
        <v>12</v>
      </c>
      <c r="CA3" s="166" t="s">
        <v>13</v>
      </c>
      <c r="CB3" s="274"/>
      <c r="CC3" s="274"/>
      <c r="CD3" s="274"/>
      <c r="CE3" s="275"/>
      <c r="CF3" s="166" t="s">
        <v>10</v>
      </c>
      <c r="CG3" s="166" t="s">
        <v>11</v>
      </c>
      <c r="CH3" s="166" t="s">
        <v>12</v>
      </c>
      <c r="CI3" s="166" t="s">
        <v>13</v>
      </c>
      <c r="CJ3" s="274"/>
      <c r="CK3" s="274"/>
      <c r="CL3" s="274"/>
      <c r="CM3" s="275"/>
      <c r="CN3" s="166" t="s">
        <v>10</v>
      </c>
      <c r="CO3" s="166" t="s">
        <v>11</v>
      </c>
      <c r="CP3" s="166" t="s">
        <v>12</v>
      </c>
      <c r="CQ3" s="166" t="s">
        <v>13</v>
      </c>
      <c r="CR3" s="166" t="s">
        <v>10</v>
      </c>
      <c r="CS3" s="166" t="s">
        <v>11</v>
      </c>
      <c r="CT3" s="166" t="s">
        <v>12</v>
      </c>
      <c r="CU3" s="166" t="s">
        <v>13</v>
      </c>
      <c r="CV3" s="274"/>
      <c r="CW3" s="274"/>
      <c r="CX3" s="274"/>
      <c r="CY3" s="275"/>
      <c r="CZ3" s="166" t="s">
        <v>10</v>
      </c>
      <c r="DA3" s="166" t="s">
        <v>11</v>
      </c>
      <c r="DB3" s="166" t="s">
        <v>12</v>
      </c>
      <c r="DC3" s="166" t="s">
        <v>13</v>
      </c>
      <c r="DD3" s="274"/>
      <c r="DE3" s="277"/>
      <c r="DF3" s="274"/>
      <c r="DG3" s="275"/>
      <c r="DH3" s="166" t="s">
        <v>10</v>
      </c>
      <c r="DI3" s="166" t="s">
        <v>11</v>
      </c>
      <c r="DJ3" s="166" t="s">
        <v>12</v>
      </c>
      <c r="DK3" s="166" t="s">
        <v>13</v>
      </c>
      <c r="DL3" s="166" t="s">
        <v>10</v>
      </c>
      <c r="DM3" s="166" t="s">
        <v>11</v>
      </c>
      <c r="DN3" s="166" t="s">
        <v>12</v>
      </c>
      <c r="DO3" s="166" t="s">
        <v>13</v>
      </c>
      <c r="DP3" s="274"/>
      <c r="DQ3" s="274"/>
      <c r="DR3" s="274"/>
      <c r="DS3" s="275"/>
      <c r="DT3" s="166" t="s">
        <v>10</v>
      </c>
      <c r="DU3" s="167" t="s">
        <v>11</v>
      </c>
      <c r="DV3" s="166" t="s">
        <v>12</v>
      </c>
      <c r="DW3" s="166" t="s">
        <v>13</v>
      </c>
      <c r="DX3" s="166" t="s">
        <v>10</v>
      </c>
      <c r="DY3" s="167" t="s">
        <v>11</v>
      </c>
      <c r="DZ3" s="166" t="s">
        <v>12</v>
      </c>
      <c r="EA3" s="166" t="s">
        <v>13</v>
      </c>
      <c r="EB3" s="166" t="s">
        <v>10</v>
      </c>
      <c r="EC3" s="167" t="s">
        <v>11</v>
      </c>
      <c r="ED3" s="166" t="s">
        <v>12</v>
      </c>
      <c r="EE3" s="166" t="s">
        <v>13</v>
      </c>
      <c r="EF3" s="166" t="s">
        <v>10</v>
      </c>
      <c r="EG3" s="167" t="s">
        <v>11</v>
      </c>
      <c r="EH3" s="166" t="s">
        <v>12</v>
      </c>
      <c r="EI3" s="166" t="s">
        <v>13</v>
      </c>
      <c r="EJ3" s="276"/>
      <c r="EK3" s="274"/>
      <c r="EL3" s="274"/>
      <c r="EM3" s="275"/>
      <c r="EN3" s="166" t="s">
        <v>10</v>
      </c>
      <c r="EO3" s="166" t="s">
        <v>11</v>
      </c>
      <c r="EP3" s="166" t="s">
        <v>12</v>
      </c>
      <c r="EQ3" s="166" t="s">
        <v>13</v>
      </c>
      <c r="ER3" s="274"/>
      <c r="ES3" s="274"/>
      <c r="ET3" s="274"/>
      <c r="EU3" s="275"/>
      <c r="EV3" s="166" t="s">
        <v>10</v>
      </c>
      <c r="EW3" s="166" t="s">
        <v>11</v>
      </c>
      <c r="EX3" s="166" t="s">
        <v>12</v>
      </c>
      <c r="EY3" s="166" t="s">
        <v>13</v>
      </c>
      <c r="EZ3" s="274"/>
      <c r="FA3" s="274"/>
      <c r="FB3" s="274"/>
      <c r="FC3" s="275"/>
      <c r="FD3" s="166" t="s">
        <v>10</v>
      </c>
      <c r="FE3" s="166" t="s">
        <v>11</v>
      </c>
      <c r="FF3" s="166" t="s">
        <v>12</v>
      </c>
      <c r="FG3" s="166" t="s">
        <v>13</v>
      </c>
      <c r="FH3" s="274"/>
      <c r="FI3" s="274"/>
      <c r="FJ3" s="274"/>
      <c r="FK3" s="275"/>
      <c r="FL3" s="166" t="s">
        <v>10</v>
      </c>
      <c r="FM3" s="166" t="s">
        <v>11</v>
      </c>
      <c r="FN3" s="166" t="s">
        <v>12</v>
      </c>
      <c r="FO3" s="166" t="s">
        <v>13</v>
      </c>
      <c r="FP3" s="166" t="s">
        <v>10</v>
      </c>
      <c r="FQ3" s="166" t="s">
        <v>11</v>
      </c>
      <c r="FR3" s="166" t="s">
        <v>12</v>
      </c>
      <c r="FS3" s="166" t="s">
        <v>13</v>
      </c>
      <c r="FT3" s="166" t="s">
        <v>10</v>
      </c>
      <c r="FU3" s="166" t="s">
        <v>11</v>
      </c>
      <c r="FV3" s="166" t="s">
        <v>12</v>
      </c>
      <c r="FW3" s="166" t="s">
        <v>13</v>
      </c>
      <c r="FX3" s="166" t="s">
        <v>10</v>
      </c>
      <c r="FY3" s="166" t="s">
        <v>11</v>
      </c>
      <c r="FZ3" s="166" t="s">
        <v>12</v>
      </c>
      <c r="GA3" s="166" t="s">
        <v>13</v>
      </c>
      <c r="GB3" s="274"/>
      <c r="GC3" s="274"/>
      <c r="GD3" s="274"/>
      <c r="GE3" s="275"/>
      <c r="GF3" s="166" t="s">
        <v>10</v>
      </c>
      <c r="GG3" s="166" t="s">
        <v>11</v>
      </c>
      <c r="GH3" s="166" t="s">
        <v>12</v>
      </c>
      <c r="GI3" s="166" t="s">
        <v>13</v>
      </c>
      <c r="GJ3" s="274"/>
      <c r="GK3" s="274"/>
      <c r="GL3" s="274"/>
      <c r="GM3" s="275"/>
      <c r="GN3" s="166" t="s">
        <v>10</v>
      </c>
      <c r="GO3" s="166" t="s">
        <v>11</v>
      </c>
      <c r="GP3" s="166" t="s">
        <v>12</v>
      </c>
      <c r="GQ3" s="166" t="s">
        <v>13</v>
      </c>
      <c r="GR3" s="166" t="s">
        <v>10</v>
      </c>
      <c r="GS3" s="166" t="s">
        <v>11</v>
      </c>
      <c r="GT3" s="166" t="s">
        <v>12</v>
      </c>
      <c r="GU3" s="166" t="s">
        <v>13</v>
      </c>
      <c r="GV3" s="267"/>
      <c r="GW3" s="267"/>
      <c r="GX3" s="267"/>
      <c r="GY3" s="269"/>
      <c r="GZ3" s="165" t="s">
        <v>10</v>
      </c>
      <c r="HA3" s="165" t="s">
        <v>11</v>
      </c>
      <c r="HB3" s="165" t="s">
        <v>101</v>
      </c>
      <c r="HC3" s="165" t="s">
        <v>102</v>
      </c>
      <c r="HD3" s="165" t="s">
        <v>10</v>
      </c>
      <c r="HE3" s="165" t="s">
        <v>11</v>
      </c>
      <c r="HF3" s="165" t="s">
        <v>12</v>
      </c>
      <c r="HG3" s="165" t="s">
        <v>13</v>
      </c>
      <c r="HH3" s="267"/>
      <c r="HI3" s="267"/>
      <c r="HJ3" s="267"/>
      <c r="HK3" s="269"/>
      <c r="HL3" s="165" t="s">
        <v>103</v>
      </c>
      <c r="HM3" s="165" t="s">
        <v>11</v>
      </c>
      <c r="HN3" s="165" t="s">
        <v>12</v>
      </c>
      <c r="HO3" s="165" t="s">
        <v>13</v>
      </c>
      <c r="HP3" s="165" t="s">
        <v>10</v>
      </c>
      <c r="HQ3" s="165" t="s">
        <v>11</v>
      </c>
      <c r="HR3" s="165" t="s">
        <v>12</v>
      </c>
      <c r="HS3" s="165" t="s">
        <v>13</v>
      </c>
      <c r="HT3" s="267"/>
      <c r="HU3" s="272"/>
      <c r="HV3" s="267"/>
      <c r="HW3" s="269"/>
      <c r="HX3" s="165" t="s">
        <v>10</v>
      </c>
      <c r="HY3" s="165" t="s">
        <v>11</v>
      </c>
      <c r="HZ3" s="165" t="s">
        <v>12</v>
      </c>
      <c r="IA3" s="165" t="s">
        <v>13</v>
      </c>
      <c r="IB3" s="165" t="s">
        <v>10</v>
      </c>
      <c r="IC3" s="165" t="s">
        <v>11</v>
      </c>
      <c r="ID3" s="165" t="s">
        <v>12</v>
      </c>
      <c r="IE3" s="165" t="s">
        <v>13</v>
      </c>
      <c r="IF3" s="267"/>
      <c r="IG3" s="267"/>
      <c r="IH3" s="267"/>
      <c r="II3" s="269"/>
      <c r="IJ3" s="165" t="s">
        <v>10</v>
      </c>
      <c r="IK3" s="165" t="s">
        <v>104</v>
      </c>
      <c r="IL3" s="165" t="s">
        <v>12</v>
      </c>
      <c r="IM3" s="165" t="s">
        <v>13</v>
      </c>
      <c r="IN3" s="165" t="s">
        <v>10</v>
      </c>
      <c r="IO3" s="165" t="s">
        <v>11</v>
      </c>
      <c r="IP3" s="165" t="s">
        <v>12</v>
      </c>
      <c r="IQ3" s="165" t="s">
        <v>13</v>
      </c>
      <c r="IR3" s="268"/>
      <c r="IS3" s="267"/>
      <c r="IT3" s="267"/>
      <c r="IU3" s="269"/>
      <c r="IV3" s="165" t="s">
        <v>10</v>
      </c>
      <c r="IW3" s="165" t="s">
        <v>11</v>
      </c>
      <c r="IX3" s="165" t="s">
        <v>101</v>
      </c>
      <c r="IY3" s="165" t="s">
        <v>102</v>
      </c>
      <c r="IZ3" s="165" t="s">
        <v>10</v>
      </c>
      <c r="JA3" s="165" t="s">
        <v>11</v>
      </c>
      <c r="JB3" s="165" t="s">
        <v>12</v>
      </c>
      <c r="JC3" s="165" t="s">
        <v>13</v>
      </c>
      <c r="JD3" s="267"/>
      <c r="JE3" s="267"/>
      <c r="JF3" s="267"/>
      <c r="JG3" s="269"/>
      <c r="JH3" s="165" t="s">
        <v>10</v>
      </c>
      <c r="JI3" s="165" t="s">
        <v>11</v>
      </c>
      <c r="JJ3" s="165" t="s">
        <v>101</v>
      </c>
      <c r="JK3" s="165" t="s">
        <v>13</v>
      </c>
      <c r="JL3" s="165" t="s">
        <v>10</v>
      </c>
      <c r="JM3" s="165" t="s">
        <v>104</v>
      </c>
      <c r="JN3" s="165" t="s">
        <v>12</v>
      </c>
      <c r="JO3" s="165" t="s">
        <v>13</v>
      </c>
      <c r="JP3" s="165" t="s">
        <v>10</v>
      </c>
      <c r="JQ3" s="165" t="s">
        <v>11</v>
      </c>
      <c r="JR3" s="165" t="s">
        <v>12</v>
      </c>
      <c r="JS3" s="165" t="s">
        <v>13</v>
      </c>
      <c r="JT3" s="165" t="s">
        <v>10</v>
      </c>
      <c r="JU3" s="165" t="s">
        <v>11</v>
      </c>
      <c r="JV3" s="165" t="s">
        <v>12</v>
      </c>
      <c r="JW3" s="165" t="s">
        <v>13</v>
      </c>
      <c r="JX3" s="267"/>
      <c r="JY3" s="267"/>
      <c r="JZ3" s="267"/>
      <c r="KA3" s="269"/>
      <c r="KB3" s="165" t="s">
        <v>105</v>
      </c>
      <c r="KC3" s="165" t="s">
        <v>106</v>
      </c>
      <c r="KD3" s="165" t="s">
        <v>107</v>
      </c>
      <c r="KE3" s="165" t="s">
        <v>52</v>
      </c>
      <c r="KF3" s="267"/>
      <c r="KG3" s="267"/>
      <c r="KH3" s="267"/>
      <c r="KI3" s="269"/>
      <c r="KJ3" s="165" t="s">
        <v>10</v>
      </c>
      <c r="KK3" s="165" t="s">
        <v>11</v>
      </c>
      <c r="KL3" s="165" t="s">
        <v>12</v>
      </c>
      <c r="KM3" s="165" t="s">
        <v>13</v>
      </c>
      <c r="KN3" s="165" t="s">
        <v>103</v>
      </c>
      <c r="KO3" s="165" t="s">
        <v>11</v>
      </c>
      <c r="KP3" s="165" t="s">
        <v>12</v>
      </c>
      <c r="KQ3" s="165" t="s">
        <v>13</v>
      </c>
    </row>
    <row r="4" spans="1:303" ht="16.5" hidden="1" customHeight="1" x14ac:dyDescent="0.35">
      <c r="B4" s="8" t="s">
        <v>125</v>
      </c>
      <c r="C4" s="8" t="s">
        <v>123</v>
      </c>
      <c r="F4" s="111" t="s">
        <v>124</v>
      </c>
      <c r="G4" s="130" t="s">
        <v>163</v>
      </c>
      <c r="H4" s="10">
        <v>0.99280000000000002</v>
      </c>
      <c r="I4" s="10"/>
      <c r="L4" s="2">
        <v>4</v>
      </c>
      <c r="M4" s="8" t="s">
        <v>165</v>
      </c>
      <c r="P4" s="8" t="s">
        <v>126</v>
      </c>
      <c r="Q4" s="8" t="s">
        <v>127</v>
      </c>
      <c r="R4" s="8" t="s">
        <v>128</v>
      </c>
      <c r="T4" s="8" t="s">
        <v>129</v>
      </c>
      <c r="U4" s="1">
        <v>0.46671499999999994</v>
      </c>
      <c r="X4" s="8">
        <f>IF(Y4="数据缺失",0,IF(Y4&lt;-30%,6,IF(Y4&lt;-10%,5,IF(Y4&lt;0%,4,IF(Y4&lt;10%,3,IF(Y4&lt;30%,2,1))))))</f>
        <v>1</v>
      </c>
      <c r="Y4" s="1">
        <f t="shared" ref="Y4:Y12" si="0">((AC4-AG4)/AG4+(AG4-AK4)/AK4)/2*100%</f>
        <v>0.52404512140766124</v>
      </c>
      <c r="AC4" s="8">
        <v>288</v>
      </c>
      <c r="AD4" s="8" t="s">
        <v>130</v>
      </c>
      <c r="AG4" s="8">
        <v>201.02</v>
      </c>
      <c r="AH4" s="8" t="s">
        <v>130</v>
      </c>
      <c r="AK4" s="8">
        <v>124.44</v>
      </c>
      <c r="AL4" s="8" t="s">
        <v>130</v>
      </c>
      <c r="AN4" s="8">
        <f>IF(AO4="数据缺失",0,IF(AO4&lt;-30%,6,IF(AO4&lt;-10%,5,IF(AO4&lt;0%,4,IF(AO4&lt;10%,3,IF(AO4&lt;30%,2,1))))))</f>
        <v>2</v>
      </c>
      <c r="AO4" s="1">
        <f>((AS4-AW4)/AW4+(AW4-BA4)/BA4)/2*100%</f>
        <v>0.25567255789824889</v>
      </c>
      <c r="AS4" s="8">
        <v>139.85</v>
      </c>
      <c r="AT4" s="8" t="s">
        <v>130</v>
      </c>
      <c r="AW4" s="8">
        <v>119.82</v>
      </c>
      <c r="AX4" s="8" t="s">
        <v>130</v>
      </c>
      <c r="BA4" s="8">
        <v>89.14</v>
      </c>
      <c r="BB4" s="8" t="s">
        <v>130</v>
      </c>
      <c r="BD4" s="2">
        <f>IF(BE4="数据缺失",0,IF(BE4&lt;50,5,IF(BE4&lt;100,4,IF(BE4&lt;300,3,IF(BE4&lt;500,2,1)))))</f>
        <v>3</v>
      </c>
      <c r="BE4" s="8">
        <f>BI4</f>
        <v>288</v>
      </c>
      <c r="BI4" s="8">
        <f>AC4</f>
        <v>288</v>
      </c>
      <c r="BJ4" s="8" t="s">
        <v>130</v>
      </c>
      <c r="BL4" s="2">
        <f>IF(BM4="数据缺失",0,IF(BM4&lt;50,5,IF(BM4&lt;100,4,IF(BM4&lt;300,3,IF(BM4&lt;500,2,1)))))</f>
        <v>3</v>
      </c>
      <c r="BM4" s="8">
        <f>BQ4</f>
        <v>139.85</v>
      </c>
      <c r="BQ4" s="8">
        <f>AS4</f>
        <v>139.85</v>
      </c>
      <c r="BR4" s="8" t="s">
        <v>130</v>
      </c>
      <c r="BT4" s="8">
        <f>IF(BU4="未上榜",5,IF(BU4&lt;21,1,IF(BU4&lt;101,2,IF(BU4&lt;301,3,IF(BU4&lt;=500,4,5)))))</f>
        <v>2</v>
      </c>
      <c r="BU4" s="8">
        <v>25</v>
      </c>
      <c r="BY4" s="8">
        <v>25</v>
      </c>
      <c r="BZ4" s="11" t="s">
        <v>131</v>
      </c>
      <c r="CB4" s="8">
        <v>1</v>
      </c>
      <c r="CC4" s="8" t="str">
        <f>CF4</f>
        <v>一级</v>
      </c>
      <c r="CF4" s="8" t="s">
        <v>132</v>
      </c>
      <c r="CG4" s="8" t="s">
        <v>138</v>
      </c>
      <c r="CH4" s="8" t="s">
        <v>128</v>
      </c>
      <c r="CJ4" s="8">
        <f>IF(CK4="数据缺失",0,IF(CK4&lt;0,0,IF(CK4&lt;2,2,IF(CK4&lt;=5,1,3))))</f>
        <v>2</v>
      </c>
      <c r="CK4" s="12">
        <f>CO4/CS4</f>
        <v>0.41083333333333333</v>
      </c>
      <c r="CO4" s="13">
        <v>118.32</v>
      </c>
      <c r="CP4" s="8" t="s">
        <v>130</v>
      </c>
      <c r="CS4" s="8">
        <f>AC4</f>
        <v>288</v>
      </c>
      <c r="CT4" s="8" t="s">
        <v>130</v>
      </c>
      <c r="CV4" s="8">
        <f>IF(CW4="数据缺失",0,IF(CW4&lt;0,0,IF(CW4&lt;100,5,IF(CW4&lt;500,4,IF(CW4&lt;1000,3,IF(CW4&lt;2000,2,1))))))</f>
        <v>4</v>
      </c>
      <c r="CW4" s="8">
        <f>DA4</f>
        <v>297.13</v>
      </c>
      <c r="DA4" s="13">
        <v>297.13</v>
      </c>
      <c r="DB4" s="13" t="s">
        <v>139</v>
      </c>
      <c r="DD4" s="8">
        <f>IF(DE4="数据缺失",0,IF(DE4&lt;0,0,IF(DE4&lt;2,3,IF(DE4&lt;=5,1,2))))</f>
        <v>1</v>
      </c>
      <c r="DE4" s="15">
        <f>DM4/DI4</f>
        <v>2.1246335359313551</v>
      </c>
      <c r="DI4" s="8">
        <f>AS4</f>
        <v>139.85</v>
      </c>
      <c r="DJ4" s="8" t="s">
        <v>130</v>
      </c>
      <c r="DM4" s="13">
        <f>DA4</f>
        <v>297.13</v>
      </c>
      <c r="DN4" s="13" t="s">
        <v>139</v>
      </c>
      <c r="DP4" s="8">
        <v>1</v>
      </c>
      <c r="DQ4" s="8" t="s">
        <v>140</v>
      </c>
      <c r="DU4" s="10">
        <v>0.51049999999999995</v>
      </c>
      <c r="DV4" s="8" t="s">
        <v>128</v>
      </c>
      <c r="DY4" s="10">
        <v>0.48949999999999999</v>
      </c>
      <c r="DZ4" s="8" t="s">
        <v>128</v>
      </c>
      <c r="EC4" s="10">
        <v>0</v>
      </c>
      <c r="ED4" s="8" t="s">
        <v>128</v>
      </c>
      <c r="EG4" s="10">
        <v>0</v>
      </c>
      <c r="EH4" s="8" t="s">
        <v>128</v>
      </c>
      <c r="EJ4" s="2">
        <f>IF(EK4="数据缺失",0,IF(EK4&lt;0,0,IF(EK4&lt;=5,5,IF(EK4&lt;=20,4,IF(EK4&lt;=50,3,IF(EK4&lt;=100,2,1))))))</f>
        <v>1</v>
      </c>
      <c r="EK4" s="8">
        <f>EO4</f>
        <v>794.79</v>
      </c>
      <c r="EO4" s="8">
        <v>794.79</v>
      </c>
      <c r="EP4" s="8" t="s">
        <v>128</v>
      </c>
      <c r="EQ4" s="8" t="s">
        <v>141</v>
      </c>
      <c r="ER4" s="8">
        <f>IF(ES4="数据缺失",0,IF(ES4&lt;0,0,IF(ES4&lt;=5,5,IF(ES4&lt;=20,4,IF(ES4&lt;=50,3,IF(ES4&lt;=100,2,1))))))</f>
        <v>1</v>
      </c>
      <c r="ES4" s="8">
        <f>EW4</f>
        <v>118.67</v>
      </c>
      <c r="EW4" s="8">
        <v>118.67</v>
      </c>
      <c r="EX4" s="8" t="s">
        <v>128</v>
      </c>
      <c r="EZ4" s="8">
        <f>IF(FA4="数据缺失",0,IF(FA4&lt;0%,0,IF(FA4&lt;=50,4,IF(FA4&lt;100,3,IF(FA4&lt;200,2,1)))))</f>
        <v>1</v>
      </c>
      <c r="FA4" s="8">
        <f>FE4</f>
        <v>732.64</v>
      </c>
      <c r="FE4" s="8">
        <v>732.64</v>
      </c>
      <c r="FF4" s="8" t="s">
        <v>130</v>
      </c>
      <c r="FH4" s="8">
        <v>2</v>
      </c>
      <c r="FI4" s="8" t="s">
        <v>159</v>
      </c>
      <c r="FM4" s="10">
        <v>0.2387</v>
      </c>
      <c r="FN4" s="8" t="s">
        <v>157</v>
      </c>
      <c r="FQ4" s="10">
        <v>0.39950000000000002</v>
      </c>
      <c r="FR4" s="8" t="s">
        <v>157</v>
      </c>
      <c r="FU4" s="10">
        <v>0.19389999999999999</v>
      </c>
      <c r="FV4" s="8" t="s">
        <v>157</v>
      </c>
      <c r="FY4" s="10">
        <v>0.16789999999999999</v>
      </c>
      <c r="FZ4" s="8" t="s">
        <v>157</v>
      </c>
      <c r="GB4" s="8">
        <v>2</v>
      </c>
      <c r="GC4" s="8" t="str">
        <f>GG4</f>
        <v>房地产开发业务：98.59%</v>
      </c>
      <c r="GG4" s="8" t="s">
        <v>142</v>
      </c>
      <c r="GH4" s="8" t="s">
        <v>130</v>
      </c>
      <c r="GJ4" s="8">
        <f>IF(GK4="数据缺失",0,IF(GK4&lt;0%,0,IF(GK4&lt;=5%,4,IF(GK4&lt;10%,3,IF(GK4&lt;20%,2,1)))))</f>
        <v>4</v>
      </c>
      <c r="GK4" s="1">
        <f>GN4/GS4</f>
        <v>6.8858435158306898E-3</v>
      </c>
      <c r="GN4" s="8">
        <v>1.02</v>
      </c>
      <c r="GO4" s="8" t="s">
        <v>143</v>
      </c>
      <c r="GP4" s="8" t="s">
        <v>128</v>
      </c>
      <c r="GS4" s="8">
        <v>148.13</v>
      </c>
      <c r="GT4" s="8" t="s">
        <v>144</v>
      </c>
      <c r="GV4" s="8">
        <f>IF(GW4="数据缺失",0,IF(GW4&lt;20%,1,IF(GW4&lt;40%,2,IF(GW4&lt;60%,3,IF(GW4&lt;80%,4,IF(GW4&lt;=100%,5,0))))))</f>
        <v>3</v>
      </c>
      <c r="GW4" s="1">
        <f>HA4/HE4*100%</f>
        <v>0.4930958407211436</v>
      </c>
      <c r="HA4" s="12">
        <v>418.05651568019999</v>
      </c>
      <c r="HB4" s="8" t="s">
        <v>146</v>
      </c>
      <c r="HE4" s="8">
        <v>847.82</v>
      </c>
      <c r="HF4" s="8" t="s">
        <v>145</v>
      </c>
      <c r="HH4" s="8">
        <f>IF(HI4="数据缺失",0,IF(HI4&lt;20%,1,IF(HI4&lt;40%,2,IF(HI4&lt;60%,3,IF(HI4&lt;80%,4,IF(HI4&lt;=100%,5,0))))))</f>
        <v>1</v>
      </c>
      <c r="HI4" s="1">
        <f>HM4/HQ4</f>
        <v>0.19598768369421202</v>
      </c>
      <c r="HM4" s="12">
        <v>11.241853536700001</v>
      </c>
      <c r="HN4" s="8" t="s">
        <v>147</v>
      </c>
      <c r="HQ4" s="8">
        <v>57.36</v>
      </c>
      <c r="HR4" s="8" t="s">
        <v>148</v>
      </c>
      <c r="HT4" s="8">
        <f t="shared" ref="HT4:HT9" si="1">IF(HU4="数据缺失",0,IF(HU4&lt;5%,4,IF(HU4&lt;=10%,3,IF(HU4&lt;30%,2,IF(HU4&lt;=100%,1,0)))))</f>
        <v>4</v>
      </c>
      <c r="HU4" s="10">
        <f>HY4/IC4</f>
        <v>0</v>
      </c>
      <c r="HY4" s="8">
        <v>0</v>
      </c>
      <c r="HZ4" s="8" t="s">
        <v>149</v>
      </c>
      <c r="IC4" s="8">
        <v>251.65</v>
      </c>
      <c r="ID4" s="8" t="s">
        <v>150</v>
      </c>
      <c r="IF4" s="8">
        <v>2</v>
      </c>
      <c r="IG4" s="8" t="str">
        <f>IK4&amp;","&amp;IO4</f>
        <v>上市,公司债</v>
      </c>
      <c r="IJ4" s="8" t="s">
        <v>151</v>
      </c>
      <c r="IK4" s="8" t="s">
        <v>151</v>
      </c>
      <c r="IL4" s="8" t="s">
        <v>145</v>
      </c>
      <c r="IN4" s="8" t="s">
        <v>152</v>
      </c>
      <c r="IO4" s="8" t="s">
        <v>153</v>
      </c>
      <c r="IP4" s="8" t="s">
        <v>154</v>
      </c>
      <c r="IR4" s="2">
        <f>IF(IS4="数据缺失",0,IF(IS4&lt;0%,0,IF(IS4&lt;=100%,4,IF(IS4&lt;200%,3,IF(IS4&lt;300%,2,1)))))</f>
        <v>4</v>
      </c>
      <c r="IS4" s="1">
        <f t="shared" ref="IS4:IS10" si="2">IW4/JA4</f>
        <v>0.87403327865010549</v>
      </c>
      <c r="IW4" s="8">
        <v>149.18</v>
      </c>
      <c r="IX4" s="8" t="s">
        <v>144</v>
      </c>
      <c r="JA4" s="8">
        <v>170.68</v>
      </c>
      <c r="JB4" s="8" t="s">
        <v>148</v>
      </c>
      <c r="JD4" s="14">
        <f>IF(JE4="数据缺失",0,IF(JE4&lt;0%,0,IF(JE4&lt;4%,1,IF(JE4&lt;6%,2,IF(JE4&lt;8%,3,4)))))</f>
        <v>4</v>
      </c>
      <c r="JE4" s="1">
        <f>JI4/JM4/(JQ4+JU4)*2</f>
        <v>0.26653818851200162</v>
      </c>
      <c r="JI4" s="8">
        <v>19.75</v>
      </c>
      <c r="JJ4" s="8" t="s">
        <v>128</v>
      </c>
      <c r="JM4" s="8">
        <v>0.33</v>
      </c>
      <c r="JN4" s="8" t="s">
        <v>128</v>
      </c>
      <c r="JQ4" s="8">
        <v>449.08</v>
      </c>
      <c r="JR4" s="8" t="s">
        <v>128</v>
      </c>
      <c r="JX4" s="8">
        <v>2</v>
      </c>
      <c r="JY4" s="8" t="s">
        <v>155</v>
      </c>
      <c r="KB4" s="8">
        <v>2</v>
      </c>
      <c r="KC4" s="8" t="s">
        <v>155</v>
      </c>
      <c r="KD4" s="8" t="s">
        <v>130</v>
      </c>
      <c r="KF4" s="8">
        <f>IF(KG4="数据缺失",0,IF(KG4&lt;0%,0,IF(KG4&lt;20%,1,IF(KG4&lt;50%,2,IF(KG4&lt;100%,3,4)))))</f>
        <v>3</v>
      </c>
      <c r="KG4" s="1">
        <f>KK4/KO4</f>
        <v>0.76546754159831265</v>
      </c>
      <c r="KK4" s="8">
        <v>130.65</v>
      </c>
      <c r="KL4" s="8" t="s">
        <v>156</v>
      </c>
      <c r="KO4" s="15">
        <f>JA4</f>
        <v>170.68</v>
      </c>
      <c r="KP4" s="8" t="s">
        <v>150</v>
      </c>
    </row>
    <row r="5" spans="1:303" s="39" customFormat="1" ht="16.5" hidden="1" customHeight="1" x14ac:dyDescent="0.35">
      <c r="B5" s="30" t="s">
        <v>542</v>
      </c>
      <c r="C5" s="39" t="s">
        <v>636</v>
      </c>
      <c r="D5" s="39" t="s">
        <v>637</v>
      </c>
      <c r="E5" s="39" t="s">
        <v>545</v>
      </c>
      <c r="F5" s="112" t="s">
        <v>546</v>
      </c>
      <c r="G5" s="3" t="s">
        <v>547</v>
      </c>
      <c r="H5" s="40">
        <f>110.28/115.63</f>
        <v>0.95373173051976134</v>
      </c>
      <c r="L5" s="42">
        <v>4</v>
      </c>
      <c r="M5" s="39" t="s">
        <v>548</v>
      </c>
      <c r="P5" s="39" t="s">
        <v>319</v>
      </c>
      <c r="Q5" s="39" t="s">
        <v>549</v>
      </c>
      <c r="R5" s="39" t="s">
        <v>550</v>
      </c>
      <c r="T5" s="39" t="s">
        <v>551</v>
      </c>
      <c r="U5" s="40">
        <v>0.46939999999999998</v>
      </c>
      <c r="X5" s="8">
        <f t="shared" ref="X5:X29" si="3">IF(Y5="数据缺失",0,IF(Y5&lt;-30%,6,IF(Y5&lt;-10%,5,IF(Y5&lt;0%,4,IF(Y5&lt;10%,3,IF(Y5&lt;30%,2,1))))))</f>
        <v>3</v>
      </c>
      <c r="Y5" s="43">
        <f t="shared" si="0"/>
        <v>6.0550954963694434E-2</v>
      </c>
      <c r="AC5" s="39">
        <v>157.44</v>
      </c>
      <c r="AD5" s="39" t="s">
        <v>550</v>
      </c>
      <c r="AG5" s="39">
        <v>155.58000000000001</v>
      </c>
      <c r="AH5" s="39" t="s">
        <v>232</v>
      </c>
      <c r="AK5" s="39">
        <v>140.27000000000001</v>
      </c>
      <c r="AL5" s="39" t="s">
        <v>550</v>
      </c>
      <c r="AN5" s="39">
        <v>2</v>
      </c>
      <c r="AO5" s="43">
        <f t="shared" ref="AO5:AO12" si="4">((AS5-AW5)/AW5+(AW5-BA5)/BA5)/2*100%</f>
        <v>0.15851892547768026</v>
      </c>
      <c r="AS5" s="39">
        <v>273.12</v>
      </c>
      <c r="AT5" s="39" t="s">
        <v>232</v>
      </c>
      <c r="AW5" s="39">
        <v>218.12</v>
      </c>
      <c r="AX5" s="39" t="s">
        <v>550</v>
      </c>
      <c r="BA5" s="39">
        <v>204.83</v>
      </c>
      <c r="BB5" s="39" t="s">
        <v>550</v>
      </c>
      <c r="BD5" s="2">
        <f t="shared" ref="BD5:BD64" si="5">IF(BE5="数据缺失",0,IF(BE5&lt;50,5,IF(BE5&lt;100,4,IF(BE5&lt;300,3,IF(BE5&lt;500,2,1)))))</f>
        <v>3</v>
      </c>
      <c r="BE5" s="8">
        <f t="shared" ref="BE5:BE31" si="6">BI5</f>
        <v>157.44</v>
      </c>
      <c r="BI5" s="39">
        <v>157.44</v>
      </c>
      <c r="BJ5" s="39" t="s">
        <v>550</v>
      </c>
      <c r="BL5" s="2">
        <f t="shared" ref="BL5:BL64" si="7">IF(BM5="数据缺失",0,IF(BM5&lt;50,5,IF(BM5&lt;100,4,IF(BM5&lt;300,3,IF(BM5&lt;500,2,1)))))</f>
        <v>3</v>
      </c>
      <c r="BM5" s="39">
        <v>273.12</v>
      </c>
      <c r="BQ5" s="39">
        <v>273.12</v>
      </c>
      <c r="BR5" s="39" t="s">
        <v>232</v>
      </c>
      <c r="BT5" s="8">
        <f t="shared" ref="BT5:BT64" si="8">IF(BU5="未上榜",5,IF(BU5&lt;21,1,IF(BU5&lt;101,2,IF(BU5&lt;301,3,IF(BU5&lt;=500,4,5)))))</f>
        <v>2</v>
      </c>
      <c r="BU5" s="39">
        <v>28</v>
      </c>
      <c r="BY5" s="39">
        <v>28</v>
      </c>
      <c r="BZ5" s="39" t="s">
        <v>552</v>
      </c>
      <c r="CB5" s="39">
        <v>1</v>
      </c>
      <c r="CC5" s="39" t="s">
        <v>553</v>
      </c>
      <c r="CF5" s="39" t="s">
        <v>553</v>
      </c>
      <c r="CG5" s="39" t="s">
        <v>554</v>
      </c>
      <c r="CH5" s="39" t="s">
        <v>550</v>
      </c>
      <c r="CJ5" s="67">
        <f t="shared" ref="CJ5:CJ29" si="9">IF(CK5="数据缺失",0,IF(CK5&lt;0,0,IF(CK5&lt;2,2,IF(CK5&lt;=5,1,3))))</f>
        <v>2</v>
      </c>
      <c r="CK5" s="48">
        <f>CO5/CS5</f>
        <v>0.19759908536585366</v>
      </c>
      <c r="CO5" s="39">
        <v>31.11</v>
      </c>
      <c r="CP5" s="39" t="s">
        <v>550</v>
      </c>
      <c r="CS5" s="68">
        <f>BI5</f>
        <v>157.44</v>
      </c>
      <c r="CT5" s="39" t="s">
        <v>550</v>
      </c>
      <c r="CV5" s="42">
        <v>2</v>
      </c>
      <c r="CW5" s="39">
        <v>1391.39</v>
      </c>
      <c r="DA5" s="39">
        <v>1391.39</v>
      </c>
      <c r="DB5" s="39" t="s">
        <v>550</v>
      </c>
      <c r="DD5" s="39">
        <v>2</v>
      </c>
      <c r="DE5" s="69">
        <f>DM5/DI5</f>
        <v>5.0944273579379029</v>
      </c>
      <c r="DI5" s="39">
        <v>273.12</v>
      </c>
      <c r="DJ5" s="39" t="s">
        <v>232</v>
      </c>
      <c r="DM5" s="39">
        <v>1391.39</v>
      </c>
      <c r="DN5" s="39" t="s">
        <v>232</v>
      </c>
      <c r="DP5" s="39">
        <v>6</v>
      </c>
      <c r="DQ5" s="39" t="s">
        <v>555</v>
      </c>
      <c r="DU5" s="40">
        <v>0</v>
      </c>
      <c r="DV5" s="39" t="s">
        <v>550</v>
      </c>
      <c r="DY5" s="40">
        <v>0.3125</v>
      </c>
      <c r="DZ5" s="39" t="s">
        <v>550</v>
      </c>
      <c r="EC5" s="40">
        <v>5.11E-2</v>
      </c>
      <c r="ED5" s="39" t="s">
        <v>550</v>
      </c>
      <c r="EG5" s="40">
        <v>0.63649999999999995</v>
      </c>
      <c r="EH5" s="39" t="s">
        <v>232</v>
      </c>
      <c r="EJ5" s="39">
        <v>1</v>
      </c>
      <c r="EK5" s="39">
        <v>257.54000000000002</v>
      </c>
      <c r="EO5" s="39">
        <v>257.54000000000002</v>
      </c>
      <c r="EP5" s="39" t="s">
        <v>550</v>
      </c>
      <c r="ER5" s="42">
        <v>1</v>
      </c>
      <c r="ES5" s="39">
        <v>290.88</v>
      </c>
      <c r="EW5" s="39">
        <v>290.88</v>
      </c>
      <c r="EX5" s="39" t="s">
        <v>232</v>
      </c>
      <c r="EZ5" s="39">
        <v>1</v>
      </c>
      <c r="FA5" s="69">
        <f>FE5</f>
        <v>471.65</v>
      </c>
      <c r="FE5" s="68">
        <v>471.65</v>
      </c>
      <c r="FF5" s="39" t="s">
        <v>550</v>
      </c>
      <c r="FH5" s="39">
        <v>4</v>
      </c>
      <c r="FI5" s="39" t="s">
        <v>556</v>
      </c>
      <c r="FM5" s="39">
        <v>0</v>
      </c>
      <c r="FN5" s="39" t="s">
        <v>550</v>
      </c>
      <c r="FQ5" s="40">
        <v>0.42880000000000001</v>
      </c>
      <c r="FR5" s="39" t="s">
        <v>550</v>
      </c>
      <c r="FU5" s="40">
        <v>0.10539999999999999</v>
      </c>
      <c r="FV5" s="39" t="s">
        <v>550</v>
      </c>
      <c r="FY5" s="40">
        <v>0.4657</v>
      </c>
      <c r="FZ5" s="39" t="s">
        <v>550</v>
      </c>
      <c r="GB5" s="39">
        <v>2</v>
      </c>
      <c r="GC5" s="39" t="s">
        <v>1866</v>
      </c>
      <c r="GG5" s="39" t="s">
        <v>1866</v>
      </c>
      <c r="GH5" s="39" t="s">
        <v>233</v>
      </c>
      <c r="GJ5" s="39">
        <v>4</v>
      </c>
      <c r="GK5" s="70">
        <v>0</v>
      </c>
      <c r="GN5" s="39">
        <v>0</v>
      </c>
      <c r="GO5" s="39" t="s">
        <v>921</v>
      </c>
      <c r="GP5" s="39" t="s">
        <v>557</v>
      </c>
      <c r="GS5" s="39">
        <v>115.63</v>
      </c>
      <c r="GT5" s="39" t="s">
        <v>557</v>
      </c>
      <c r="GV5" s="67">
        <f>IF(GW5="数据缺失",0,IF(GW5&lt;20%,1,IF(GW5&lt;40%,2,IF(GW5&lt;60%,3,IF(GW5&lt;80%,4,IF(GW5&lt;=100%,5,0))))))</f>
        <v>1</v>
      </c>
      <c r="GW5" s="40">
        <f>HA5/HE5</f>
        <v>0.13408462308009181</v>
      </c>
      <c r="HA5" s="39">
        <v>45.57</v>
      </c>
      <c r="HB5" s="39" t="s">
        <v>557</v>
      </c>
      <c r="HE5" s="68">
        <v>339.86</v>
      </c>
      <c r="HF5" s="39" t="s">
        <v>557</v>
      </c>
      <c r="HH5" s="39">
        <v>1</v>
      </c>
      <c r="HI5" s="40">
        <f>HM5/HQ5</f>
        <v>0.18614502865686516</v>
      </c>
      <c r="HM5" s="39">
        <v>14.94</v>
      </c>
      <c r="HN5" s="39" t="s">
        <v>550</v>
      </c>
      <c r="HQ5" s="39">
        <v>80.260000000000005</v>
      </c>
      <c r="HR5" s="39" t="s">
        <v>232</v>
      </c>
      <c r="HT5" s="8">
        <f t="shared" si="1"/>
        <v>4</v>
      </c>
      <c r="HU5" s="70">
        <v>0</v>
      </c>
      <c r="HY5" s="39">
        <v>0</v>
      </c>
      <c r="HZ5" s="39" t="s">
        <v>557</v>
      </c>
      <c r="IC5" s="39">
        <v>21.49</v>
      </c>
      <c r="ID5" s="39" t="s">
        <v>557</v>
      </c>
      <c r="IR5" s="42">
        <v>1</v>
      </c>
      <c r="IS5" s="40">
        <f t="shared" si="2"/>
        <v>8.1145584725536999</v>
      </c>
      <c r="IW5" s="39">
        <v>680</v>
      </c>
      <c r="IX5" s="39" t="s">
        <v>557</v>
      </c>
      <c r="JA5" s="68">
        <v>83.8</v>
      </c>
      <c r="JB5" s="39" t="s">
        <v>557</v>
      </c>
      <c r="JD5" s="39">
        <v>3</v>
      </c>
      <c r="JE5" s="40">
        <f t="shared" ref="JE5:JE12" si="10">JI5/JM5/(JQ5+JU5)*2</f>
        <v>7.4737544066555278E-2</v>
      </c>
      <c r="JI5" s="39">
        <v>20.190000000000001</v>
      </c>
      <c r="JJ5" s="39" t="s">
        <v>550</v>
      </c>
      <c r="JM5" s="39">
        <v>6.07</v>
      </c>
      <c r="JN5" s="39" t="s">
        <v>550</v>
      </c>
      <c r="JQ5" s="39">
        <v>42.81</v>
      </c>
      <c r="JR5" s="39" t="s">
        <v>550</v>
      </c>
      <c r="JU5" s="39">
        <v>46.2</v>
      </c>
      <c r="JV5" s="39" t="s">
        <v>550</v>
      </c>
      <c r="JX5" s="39">
        <v>2</v>
      </c>
      <c r="JY5" s="39" t="s">
        <v>558</v>
      </c>
      <c r="KB5" s="39">
        <v>18</v>
      </c>
      <c r="KC5" s="39" t="s">
        <v>559</v>
      </c>
      <c r="KD5" s="39" t="s">
        <v>232</v>
      </c>
      <c r="KF5" s="67">
        <f t="shared" ref="KF5:KF12" si="11">IF(KG5="数据缺失",0,IF(KG5&lt;0%,0,IF(KG5&lt;20%,1,IF(KG5&lt;50%,2,IF(KG5&lt;100%,3,4)))))</f>
        <v>4</v>
      </c>
      <c r="KG5" s="43">
        <f t="shared" ref="KG5:KG10" si="12">KK5/KO5</f>
        <v>1.4473747016706444</v>
      </c>
      <c r="KK5" s="39">
        <v>121.29</v>
      </c>
      <c r="KL5" s="39" t="s">
        <v>557</v>
      </c>
      <c r="KM5" s="39" t="s">
        <v>2858</v>
      </c>
      <c r="KO5" s="68">
        <v>83.8</v>
      </c>
      <c r="KP5" s="39" t="s">
        <v>146</v>
      </c>
    </row>
    <row r="6" spans="1:303" s="39" customFormat="1" ht="16.5" hidden="1" customHeight="1" x14ac:dyDescent="0.35">
      <c r="B6" s="30" t="s">
        <v>560</v>
      </c>
      <c r="C6" s="39" t="s">
        <v>636</v>
      </c>
      <c r="D6" s="39" t="s">
        <v>637</v>
      </c>
      <c r="E6" s="39" t="s">
        <v>545</v>
      </c>
      <c r="F6" s="112" t="s">
        <v>561</v>
      </c>
      <c r="G6" s="3" t="s">
        <v>547</v>
      </c>
      <c r="H6" s="40">
        <f>(705.41+6.15)/719.46</f>
        <v>0.98901954243460366</v>
      </c>
      <c r="I6" s="40"/>
      <c r="L6" s="42">
        <v>2</v>
      </c>
      <c r="M6" s="71" t="s">
        <v>562</v>
      </c>
      <c r="P6" s="233" t="s">
        <v>970</v>
      </c>
      <c r="Q6" s="39" t="s">
        <v>563</v>
      </c>
      <c r="R6" s="39" t="s">
        <v>564</v>
      </c>
      <c r="T6" s="39" t="s">
        <v>113</v>
      </c>
      <c r="U6" s="40">
        <v>0.34350000000000003</v>
      </c>
      <c r="X6" s="8">
        <f t="shared" si="3"/>
        <v>2</v>
      </c>
      <c r="Y6" s="40">
        <f t="shared" si="0"/>
        <v>0.11606386278894054</v>
      </c>
      <c r="AC6" s="68">
        <v>651.27</v>
      </c>
      <c r="AD6" s="39" t="s">
        <v>564</v>
      </c>
      <c r="AG6" s="68">
        <v>563.49</v>
      </c>
      <c r="AH6" s="39" t="s">
        <v>564</v>
      </c>
      <c r="AK6" s="68">
        <v>523.52</v>
      </c>
      <c r="AL6" s="39" t="s">
        <v>565</v>
      </c>
      <c r="AN6" s="39">
        <v>2</v>
      </c>
      <c r="AO6" s="43">
        <f t="shared" si="4"/>
        <v>0.20504663483711932</v>
      </c>
      <c r="AS6" s="39">
        <v>563.9</v>
      </c>
      <c r="AT6" s="39" t="s">
        <v>564</v>
      </c>
      <c r="AW6" s="39">
        <v>458.2</v>
      </c>
      <c r="AX6" s="39" t="s">
        <v>564</v>
      </c>
      <c r="BA6" s="39">
        <v>388.5</v>
      </c>
      <c r="BB6" s="39" t="s">
        <v>565</v>
      </c>
      <c r="BD6" s="2">
        <f t="shared" si="5"/>
        <v>1</v>
      </c>
      <c r="BE6" s="8">
        <f t="shared" si="6"/>
        <v>651.27</v>
      </c>
      <c r="BI6" s="68">
        <v>651.27</v>
      </c>
      <c r="BJ6" s="39" t="str">
        <f>AD6</f>
        <v>评级20160530</v>
      </c>
      <c r="BL6" s="2">
        <f t="shared" si="7"/>
        <v>1</v>
      </c>
      <c r="BM6" s="39">
        <v>563.9</v>
      </c>
      <c r="BQ6" s="39">
        <v>563.9</v>
      </c>
      <c r="BR6" s="39" t="s">
        <v>564</v>
      </c>
      <c r="BT6" s="8">
        <f t="shared" si="8"/>
        <v>1</v>
      </c>
      <c r="BU6" s="39">
        <v>5</v>
      </c>
      <c r="BY6" s="39">
        <v>5</v>
      </c>
      <c r="BZ6" s="39" t="s">
        <v>552</v>
      </c>
      <c r="CA6" s="39" t="s">
        <v>566</v>
      </c>
      <c r="CB6" s="39">
        <v>1</v>
      </c>
      <c r="CC6" s="39" t="s">
        <v>553</v>
      </c>
      <c r="CF6" s="39" t="s">
        <v>567</v>
      </c>
      <c r="CG6" s="39" t="s">
        <v>568</v>
      </c>
      <c r="CH6" s="39" t="s">
        <v>565</v>
      </c>
      <c r="CJ6" s="67">
        <f t="shared" si="9"/>
        <v>2</v>
      </c>
      <c r="CK6" s="53">
        <f>CO6/CS6</f>
        <v>0.38483271147143272</v>
      </c>
      <c r="CL6" s="36"/>
      <c r="CM6" s="36"/>
      <c r="CN6" s="36"/>
      <c r="CO6" s="35">
        <v>250.63</v>
      </c>
      <c r="CP6" s="36" t="s">
        <v>442</v>
      </c>
      <c r="CS6" s="68">
        <f>BI6</f>
        <v>651.27</v>
      </c>
      <c r="CT6" s="39" t="s">
        <v>564</v>
      </c>
      <c r="CV6" s="42">
        <v>2</v>
      </c>
      <c r="CW6" s="39">
        <v>1949.1</v>
      </c>
      <c r="DA6" s="39">
        <v>1949.1</v>
      </c>
      <c r="DB6" s="39" t="s">
        <v>564</v>
      </c>
      <c r="DD6" s="39">
        <v>1</v>
      </c>
      <c r="DE6" s="69">
        <f>DM6/DI6</f>
        <v>3.456463912041142</v>
      </c>
      <c r="DI6" s="39">
        <v>563.9</v>
      </c>
      <c r="DJ6" s="39" t="s">
        <v>564</v>
      </c>
      <c r="DM6" s="39">
        <v>1949.1</v>
      </c>
      <c r="DN6" s="39" t="s">
        <v>564</v>
      </c>
      <c r="DP6" s="39">
        <v>2</v>
      </c>
      <c r="DQ6" s="39" t="s">
        <v>569</v>
      </c>
      <c r="DU6" s="40">
        <v>0.13109999999999999</v>
      </c>
      <c r="DV6" s="39" t="s">
        <v>564</v>
      </c>
      <c r="DY6" s="40">
        <v>0.62209999999999999</v>
      </c>
      <c r="DZ6" s="39" t="s">
        <v>564</v>
      </c>
      <c r="EC6" s="40">
        <v>0.24679999999999999</v>
      </c>
      <c r="ED6" s="39" t="s">
        <v>564</v>
      </c>
      <c r="EG6" s="40">
        <v>0</v>
      </c>
      <c r="EH6" s="39" t="s">
        <v>564</v>
      </c>
      <c r="EJ6" s="39">
        <v>1</v>
      </c>
      <c r="EK6" s="39">
        <v>438.4</v>
      </c>
      <c r="EO6" s="39">
        <v>438.4</v>
      </c>
      <c r="EP6" s="39" t="s">
        <v>564</v>
      </c>
      <c r="ER6" s="42">
        <v>1</v>
      </c>
      <c r="ES6" s="39">
        <v>656.6</v>
      </c>
      <c r="EW6" s="39">
        <v>656.6</v>
      </c>
      <c r="EX6" s="39" t="s">
        <v>564</v>
      </c>
      <c r="EZ6" s="39">
        <v>1</v>
      </c>
      <c r="FA6" s="39">
        <v>1075.5</v>
      </c>
      <c r="FE6" s="39">
        <v>1075.5</v>
      </c>
      <c r="FF6" s="39" t="s">
        <v>564</v>
      </c>
      <c r="FH6" s="39">
        <v>4</v>
      </c>
      <c r="FI6" s="58" t="s">
        <v>1227</v>
      </c>
      <c r="FJ6" s="39" t="s">
        <v>564</v>
      </c>
      <c r="FM6" s="39" t="s">
        <v>37</v>
      </c>
      <c r="FQ6" s="39" t="s">
        <v>37</v>
      </c>
      <c r="FU6" s="39" t="s">
        <v>37</v>
      </c>
      <c r="FY6" s="39" t="s">
        <v>37</v>
      </c>
      <c r="GB6" s="39">
        <v>2</v>
      </c>
      <c r="GC6" s="39" t="s">
        <v>570</v>
      </c>
      <c r="GG6" s="39" t="s">
        <v>570</v>
      </c>
      <c r="GH6" s="39" t="s">
        <v>564</v>
      </c>
      <c r="GJ6" s="72">
        <v>4</v>
      </c>
      <c r="GK6" s="43">
        <f t="shared" ref="GK6:GK12" si="13">GN6/GS6</f>
        <v>8.5045772602815508E-3</v>
      </c>
      <c r="GN6" s="39">
        <v>6.15</v>
      </c>
      <c r="GO6" s="39" t="s">
        <v>571</v>
      </c>
      <c r="GP6" s="39" t="s">
        <v>557</v>
      </c>
      <c r="GS6" s="39">
        <v>723.14</v>
      </c>
      <c r="GT6" s="39" t="s">
        <v>557</v>
      </c>
      <c r="GV6" s="67">
        <f>IF(GW6="数据缺失",0,IF(GW6&lt;20%,1,IF(GW6&lt;40%,2,IF(GW6&lt;60%,3,IF(GW6&lt;80%,4,IF(GW6&lt;=100%,5,0))))))</f>
        <v>1</v>
      </c>
      <c r="GW6" s="40">
        <f>HA6/HE6</f>
        <v>0</v>
      </c>
      <c r="HA6" s="53">
        <v>0</v>
      </c>
      <c r="HB6" s="39" t="s">
        <v>557</v>
      </c>
      <c r="HC6" s="39" t="s">
        <v>572</v>
      </c>
      <c r="HE6" s="39">
        <v>1908.92</v>
      </c>
      <c r="HF6" s="39" t="s">
        <v>557</v>
      </c>
      <c r="HH6" s="39">
        <v>0</v>
      </c>
      <c r="HI6" s="48" t="s">
        <v>37</v>
      </c>
      <c r="HM6" s="48" t="s">
        <v>37</v>
      </c>
      <c r="HQ6" s="48">
        <v>289.5</v>
      </c>
      <c r="HR6" s="39" t="s">
        <v>1254</v>
      </c>
      <c r="HT6" s="6">
        <f t="shared" si="1"/>
        <v>0</v>
      </c>
      <c r="HU6" s="171" t="s">
        <v>2856</v>
      </c>
      <c r="HV6" s="6"/>
      <c r="HW6" s="6"/>
      <c r="HX6" s="6"/>
      <c r="HY6" s="6" t="s">
        <v>222</v>
      </c>
      <c r="IC6" s="39">
        <v>71.23</v>
      </c>
      <c r="ID6" s="39" t="s">
        <v>564</v>
      </c>
      <c r="IR6" s="42">
        <v>4</v>
      </c>
      <c r="IS6" s="43">
        <f t="shared" si="2"/>
        <v>0.81344221105527648</v>
      </c>
      <c r="IW6" s="71">
        <v>518</v>
      </c>
      <c r="IX6" s="39" t="s">
        <v>224</v>
      </c>
      <c r="JA6" s="39">
        <v>636.79999999999995</v>
      </c>
      <c r="JB6" s="39" t="s">
        <v>557</v>
      </c>
      <c r="JD6" s="39">
        <v>2</v>
      </c>
      <c r="JE6" s="43">
        <f t="shared" si="10"/>
        <v>5.2848318159886172E-2</v>
      </c>
      <c r="JI6" s="39">
        <v>191.72</v>
      </c>
      <c r="JJ6" s="39" t="s">
        <v>564</v>
      </c>
      <c r="JM6" s="39">
        <v>27.68</v>
      </c>
      <c r="JN6" s="39" t="s">
        <v>564</v>
      </c>
      <c r="JQ6" s="39">
        <v>164.84</v>
      </c>
      <c r="JR6" s="39" t="s">
        <v>564</v>
      </c>
      <c r="JU6" s="39">
        <v>97.28</v>
      </c>
      <c r="JV6" s="39" t="s">
        <v>564</v>
      </c>
      <c r="JX6" s="39">
        <v>2</v>
      </c>
      <c r="JY6" s="39" t="s">
        <v>155</v>
      </c>
      <c r="KB6" s="39">
        <v>2</v>
      </c>
      <c r="KC6" s="39" t="s">
        <v>155</v>
      </c>
      <c r="KD6" s="39" t="s">
        <v>564</v>
      </c>
      <c r="KF6" s="36">
        <f t="shared" si="11"/>
        <v>1</v>
      </c>
      <c r="KG6" s="5">
        <f t="shared" si="12"/>
        <v>0.16279836683417087</v>
      </c>
      <c r="KH6" s="36"/>
      <c r="KI6" s="36"/>
      <c r="KJ6" s="36"/>
      <c r="KK6" s="36">
        <v>103.67</v>
      </c>
      <c r="KL6" s="36" t="s">
        <v>574</v>
      </c>
      <c r="KO6" s="68">
        <f>JA6</f>
        <v>636.79999999999995</v>
      </c>
      <c r="KP6" s="39" t="str">
        <f>JB6</f>
        <v>年报2015</v>
      </c>
    </row>
    <row r="7" spans="1:303" s="39" customFormat="1" ht="16.5" hidden="1" customHeight="1" x14ac:dyDescent="0.35">
      <c r="B7" s="36" t="s">
        <v>575</v>
      </c>
      <c r="C7" s="36" t="s">
        <v>543</v>
      </c>
      <c r="D7" s="39" t="s">
        <v>544</v>
      </c>
      <c r="E7" s="39" t="s">
        <v>545</v>
      </c>
      <c r="F7" s="36" t="s">
        <v>576</v>
      </c>
      <c r="G7" s="3" t="s">
        <v>174</v>
      </c>
      <c r="H7" s="40">
        <v>0.95279999999999998</v>
      </c>
      <c r="I7" s="42"/>
      <c r="L7" s="42">
        <v>3</v>
      </c>
      <c r="M7" s="36" t="s">
        <v>577</v>
      </c>
      <c r="N7" s="36"/>
      <c r="O7" s="36"/>
      <c r="P7" s="36" t="s">
        <v>578</v>
      </c>
      <c r="Q7" s="36" t="s">
        <v>579</v>
      </c>
      <c r="R7" s="36" t="s">
        <v>580</v>
      </c>
      <c r="T7" s="39" t="s">
        <v>581</v>
      </c>
      <c r="U7" s="50">
        <v>1</v>
      </c>
      <c r="X7" s="8">
        <f t="shared" si="3"/>
        <v>5</v>
      </c>
      <c r="Y7" s="41">
        <f t="shared" si="0"/>
        <v>-0.14092130000890848</v>
      </c>
      <c r="Z7" s="36"/>
      <c r="AA7" s="36"/>
      <c r="AB7" s="36"/>
      <c r="AC7" s="36">
        <v>30.62</v>
      </c>
      <c r="AD7" s="36" t="s">
        <v>580</v>
      </c>
      <c r="AE7" s="36"/>
      <c r="AF7" s="36"/>
      <c r="AG7" s="36">
        <v>29.11</v>
      </c>
      <c r="AH7" s="36" t="s">
        <v>580</v>
      </c>
      <c r="AI7" s="36"/>
      <c r="AJ7" s="36"/>
      <c r="AK7" s="36">
        <v>43.69</v>
      </c>
      <c r="AL7" s="36" t="s">
        <v>580</v>
      </c>
      <c r="AN7" s="3" t="str">
        <f>IF(AO7&gt;=30%,"1",IF(AO7&gt;=10%,"2",IF(AO7&gt;=0%,"3",IF(AO7&gt;=-10%,"4",IF(AO7&gt;=-30%,"5",IF(AO7&lt;-30%,"6",IF(AO7=数据缺失,"0")))))))</f>
        <v>5</v>
      </c>
      <c r="AO7" s="43">
        <f t="shared" si="4"/>
        <v>-0.23770222626777679</v>
      </c>
      <c r="AP7" s="36"/>
      <c r="AQ7" s="36"/>
      <c r="AR7" s="36"/>
      <c r="AS7" s="37">
        <v>42.97</v>
      </c>
      <c r="AT7" s="36" t="s">
        <v>580</v>
      </c>
      <c r="AU7" s="36"/>
      <c r="AV7" s="36"/>
      <c r="AW7" s="37">
        <v>46.34</v>
      </c>
      <c r="AX7" s="36" t="s">
        <v>580</v>
      </c>
      <c r="AY7" s="36"/>
      <c r="AZ7" s="36"/>
      <c r="BA7" s="37">
        <v>77.58</v>
      </c>
      <c r="BB7" s="36" t="s">
        <v>582</v>
      </c>
      <c r="BC7" s="36"/>
      <c r="BD7" s="2">
        <f t="shared" si="5"/>
        <v>5</v>
      </c>
      <c r="BE7" s="8">
        <f t="shared" si="6"/>
        <v>30.62</v>
      </c>
      <c r="BF7" s="36"/>
      <c r="BG7" s="36"/>
      <c r="BH7" s="36"/>
      <c r="BI7" s="36">
        <f>AC7</f>
        <v>30.62</v>
      </c>
      <c r="BJ7" s="36" t="s">
        <v>580</v>
      </c>
      <c r="BL7" s="2">
        <f t="shared" si="7"/>
        <v>5</v>
      </c>
      <c r="BM7" s="37">
        <f>BQ7</f>
        <v>42.97</v>
      </c>
      <c r="BN7" s="36"/>
      <c r="BO7" s="36"/>
      <c r="BP7" s="36"/>
      <c r="BQ7" s="37">
        <f>AS7</f>
        <v>42.97</v>
      </c>
      <c r="BR7" s="36" t="s">
        <v>580</v>
      </c>
      <c r="BT7" s="8">
        <f t="shared" si="8"/>
        <v>3</v>
      </c>
      <c r="BU7" s="39">
        <v>247</v>
      </c>
      <c r="BY7" s="39">
        <v>247</v>
      </c>
      <c r="BZ7" s="39" t="s">
        <v>583</v>
      </c>
      <c r="CB7" s="36">
        <v>2</v>
      </c>
      <c r="CC7" s="36" t="s">
        <v>584</v>
      </c>
      <c r="CD7" s="36"/>
      <c r="CE7" s="36"/>
      <c r="CF7" s="36" t="s">
        <v>134</v>
      </c>
      <c r="CG7" s="36" t="s">
        <v>585</v>
      </c>
      <c r="CH7" s="36" t="s">
        <v>580</v>
      </c>
      <c r="CJ7" s="67">
        <f t="shared" si="9"/>
        <v>2</v>
      </c>
      <c r="CK7" s="69">
        <f>CO7/CS7</f>
        <v>0.2576420640104507</v>
      </c>
      <c r="CO7" s="39">
        <v>7.8890000000000002</v>
      </c>
      <c r="CP7" s="6" t="s">
        <v>2851</v>
      </c>
      <c r="CQ7" s="39" t="s">
        <v>587</v>
      </c>
      <c r="CS7" s="39">
        <v>30.62</v>
      </c>
      <c r="CT7" s="39" t="s">
        <v>582</v>
      </c>
      <c r="CV7" s="42">
        <v>5</v>
      </c>
      <c r="CW7" s="39">
        <v>82.04</v>
      </c>
      <c r="DA7" s="39">
        <v>82.04</v>
      </c>
      <c r="DB7" s="39" t="s">
        <v>588</v>
      </c>
      <c r="DC7" s="39" t="s">
        <v>587</v>
      </c>
      <c r="DD7" s="42">
        <v>3</v>
      </c>
      <c r="DE7" s="69">
        <f>DM7/DI7</f>
        <v>1.9092390039562488</v>
      </c>
      <c r="DI7" s="37">
        <v>42.97</v>
      </c>
      <c r="DJ7" s="39" t="s">
        <v>580</v>
      </c>
      <c r="DM7" s="39">
        <v>82.04</v>
      </c>
      <c r="DN7" s="39" t="s">
        <v>589</v>
      </c>
      <c r="DP7" s="39">
        <v>6</v>
      </c>
      <c r="DQ7" s="39" t="s">
        <v>590</v>
      </c>
      <c r="DU7" s="40">
        <v>0</v>
      </c>
      <c r="DV7" s="39" t="s">
        <v>588</v>
      </c>
      <c r="DY7" s="40">
        <v>0</v>
      </c>
      <c r="DZ7" s="39" t="s">
        <v>588</v>
      </c>
      <c r="EC7" s="40">
        <v>0</v>
      </c>
      <c r="ED7" s="39" t="s">
        <v>589</v>
      </c>
      <c r="EG7" s="40">
        <v>1</v>
      </c>
      <c r="EH7" s="39" t="s">
        <v>589</v>
      </c>
      <c r="EJ7" s="3" t="str">
        <f>IF(EK7&gt;100,"1",IF(EK7&gt;50,"2",IF(EK7&gt;20,"3",IF(EK7&gt;5,"4",IF(EK7&gt;0,"5",IF(EK7=数据缺失,"0"))))))</f>
        <v>3</v>
      </c>
      <c r="EK7" s="37">
        <f>EO7</f>
        <v>22.53</v>
      </c>
      <c r="EL7" s="36"/>
      <c r="EM7" s="36"/>
      <c r="EN7" s="36"/>
      <c r="EO7" s="37">
        <v>22.53</v>
      </c>
      <c r="EP7" s="36" t="s">
        <v>580</v>
      </c>
      <c r="EQ7" s="36"/>
      <c r="ER7" s="3" t="str">
        <f>IF(ES7&gt;100,"1",IF(ES7&gt;50,"2",IF(ES7&gt;20,"3",IF(ES7&gt;5,"4",IF(ES7&gt;0,"5",IF(ES7=数据缺失,"0"))))))</f>
        <v>2</v>
      </c>
      <c r="ES7" s="38">
        <f>EW7</f>
        <v>69.38</v>
      </c>
      <c r="ET7" s="36"/>
      <c r="EU7" s="36"/>
      <c r="EV7" s="36"/>
      <c r="EW7" s="38">
        <v>69.38</v>
      </c>
      <c r="EX7" s="36" t="s">
        <v>580</v>
      </c>
      <c r="EZ7" s="42">
        <v>1</v>
      </c>
      <c r="FA7" s="39">
        <v>234</v>
      </c>
      <c r="FC7" s="39" t="s">
        <v>591</v>
      </c>
      <c r="FE7" s="39">
        <v>234</v>
      </c>
      <c r="FF7" s="39" t="s">
        <v>588</v>
      </c>
      <c r="FH7" s="39">
        <v>6</v>
      </c>
      <c r="FI7" s="39" t="s">
        <v>592</v>
      </c>
      <c r="FM7" s="40">
        <v>4.7008547008547008E-2</v>
      </c>
      <c r="FN7" s="39" t="s">
        <v>588</v>
      </c>
      <c r="FQ7" s="40">
        <v>0.39316239316239315</v>
      </c>
      <c r="FR7" s="39" t="s">
        <v>588</v>
      </c>
      <c r="FU7" s="39">
        <v>0</v>
      </c>
      <c r="FV7" s="39" t="s">
        <v>589</v>
      </c>
      <c r="FY7" s="40">
        <v>0.55982905982905984</v>
      </c>
      <c r="FZ7" s="39" t="s">
        <v>588</v>
      </c>
      <c r="GB7" s="39">
        <v>2</v>
      </c>
      <c r="GC7" s="39" t="s">
        <v>593</v>
      </c>
      <c r="GG7" s="39" t="s">
        <v>593</v>
      </c>
      <c r="GH7" s="39" t="s">
        <v>580</v>
      </c>
      <c r="GJ7" s="42">
        <v>4</v>
      </c>
      <c r="GK7" s="43">
        <f t="shared" si="13"/>
        <v>6.4969928147522518E-3</v>
      </c>
      <c r="GN7" s="74">
        <v>0.27668825000000002</v>
      </c>
      <c r="GO7" s="36" t="s">
        <v>594</v>
      </c>
      <c r="GP7" s="36" t="s">
        <v>557</v>
      </c>
      <c r="GS7" s="69">
        <v>42.587125750200002</v>
      </c>
      <c r="GT7" s="39" t="s">
        <v>595</v>
      </c>
      <c r="GV7" s="67">
        <f>IF(GW7="数据缺失",0,IF(GW7&lt;20%,1,IF(GW7&lt;40%,2,IF(GW7&lt;60%,3,IF(GW7&lt;80%,4,IF(GW7&lt;=100%,5,0))))))</f>
        <v>1</v>
      </c>
      <c r="GW7" s="43">
        <f>HA7/HE7</f>
        <v>0.13103681188787569</v>
      </c>
      <c r="HA7" s="39">
        <v>19.399999999999999</v>
      </c>
      <c r="HB7" s="39" t="s">
        <v>595</v>
      </c>
      <c r="HE7" s="39">
        <v>148.05000000000001</v>
      </c>
      <c r="HF7" s="39" t="s">
        <v>595</v>
      </c>
      <c r="HH7" s="42">
        <v>1</v>
      </c>
      <c r="HI7" s="40">
        <f>HM7/HQ7</f>
        <v>1.5523932729624837E-2</v>
      </c>
      <c r="HM7" s="39">
        <v>0.12</v>
      </c>
      <c r="HN7" s="39" t="s">
        <v>595</v>
      </c>
      <c r="HQ7" s="39">
        <v>7.73</v>
      </c>
      <c r="HR7" s="39" t="s">
        <v>595</v>
      </c>
      <c r="HT7" s="6">
        <f t="shared" si="1"/>
        <v>0</v>
      </c>
      <c r="HU7" s="171" t="s">
        <v>222</v>
      </c>
      <c r="HV7" s="6"/>
      <c r="HW7" s="6"/>
      <c r="HX7" s="6"/>
      <c r="HY7" s="6" t="s">
        <v>222</v>
      </c>
      <c r="IC7" s="39">
        <v>33.49</v>
      </c>
      <c r="ID7" s="39" t="s">
        <v>595</v>
      </c>
      <c r="IF7" s="39">
        <v>0</v>
      </c>
      <c r="IG7" s="39" t="str">
        <f>IK7&amp;","&amp;IO7</f>
        <v>非上市,数据缺失</v>
      </c>
      <c r="IJ7" s="39" t="s">
        <v>596</v>
      </c>
      <c r="IK7" s="39" t="s">
        <v>596</v>
      </c>
      <c r="IL7" s="39" t="s">
        <v>597</v>
      </c>
      <c r="IN7" s="39" t="s">
        <v>598</v>
      </c>
      <c r="IO7" s="39" t="s">
        <v>573</v>
      </c>
      <c r="IP7" s="39" t="s">
        <v>597</v>
      </c>
      <c r="IR7" s="42">
        <v>4</v>
      </c>
      <c r="IS7" s="43">
        <f t="shared" si="2"/>
        <v>0.63096500530222699</v>
      </c>
      <c r="IW7" s="39">
        <v>23.8</v>
      </c>
      <c r="IX7" s="39" t="s">
        <v>597</v>
      </c>
      <c r="IY7" s="39" t="s">
        <v>599</v>
      </c>
      <c r="JA7" s="39">
        <v>37.72</v>
      </c>
      <c r="JB7" s="39" t="s">
        <v>557</v>
      </c>
      <c r="JD7" s="39">
        <v>2</v>
      </c>
      <c r="JE7" s="43">
        <f t="shared" si="10"/>
        <v>5.4379217559133872E-2</v>
      </c>
      <c r="JI7" s="36">
        <v>3.86</v>
      </c>
      <c r="JJ7" s="36" t="s">
        <v>580</v>
      </c>
      <c r="JK7" s="36"/>
      <c r="JL7" s="36"/>
      <c r="JM7" s="36">
        <v>1.32</v>
      </c>
      <c r="JN7" s="36" t="s">
        <v>580</v>
      </c>
      <c r="JO7" s="36"/>
      <c r="JP7" s="36"/>
      <c r="JQ7" s="37">
        <v>58.19</v>
      </c>
      <c r="JR7" s="36" t="s">
        <v>582</v>
      </c>
      <c r="JU7" s="39">
        <v>49.36</v>
      </c>
      <c r="JV7" s="36" t="s">
        <v>580</v>
      </c>
      <c r="JX7" s="39">
        <v>2</v>
      </c>
      <c r="JY7" s="39" t="s">
        <v>155</v>
      </c>
      <c r="KB7" s="39">
        <v>2</v>
      </c>
      <c r="KC7" s="39" t="s">
        <v>155</v>
      </c>
      <c r="KD7" s="39" t="s">
        <v>580</v>
      </c>
      <c r="KF7" s="67">
        <f t="shared" si="11"/>
        <v>2</v>
      </c>
      <c r="KG7" s="40">
        <f t="shared" si="12"/>
        <v>0.43001060445387063</v>
      </c>
      <c r="KK7" s="39">
        <v>16.22</v>
      </c>
      <c r="KL7" s="36" t="s">
        <v>580</v>
      </c>
      <c r="KO7" s="39">
        <v>37.72</v>
      </c>
      <c r="KP7" s="39" t="s">
        <v>557</v>
      </c>
    </row>
    <row r="8" spans="1:303" s="39" customFormat="1" ht="16.5" hidden="1" customHeight="1" x14ac:dyDescent="0.35">
      <c r="B8" s="39" t="s">
        <v>600</v>
      </c>
      <c r="C8" s="36" t="s">
        <v>543</v>
      </c>
      <c r="D8" s="39" t="s">
        <v>544</v>
      </c>
      <c r="E8" s="39" t="s">
        <v>545</v>
      </c>
      <c r="F8" s="36" t="s">
        <v>601</v>
      </c>
      <c r="G8" s="3" t="s">
        <v>199</v>
      </c>
      <c r="H8" s="40">
        <f>61.1/62.34</f>
        <v>0.98010907924286172</v>
      </c>
      <c r="I8" s="42"/>
      <c r="L8" s="3">
        <v>4</v>
      </c>
      <c r="M8" s="36" t="s">
        <v>602</v>
      </c>
      <c r="N8" s="36"/>
      <c r="O8" s="36"/>
      <c r="P8" s="39" t="s">
        <v>603</v>
      </c>
      <c r="Q8" s="36" t="s">
        <v>604</v>
      </c>
      <c r="R8" s="36" t="s">
        <v>605</v>
      </c>
      <c r="T8" s="39" t="s">
        <v>129</v>
      </c>
      <c r="U8" s="40">
        <v>0.34482000000000002</v>
      </c>
      <c r="X8" s="8">
        <f t="shared" si="3"/>
        <v>3</v>
      </c>
      <c r="Y8" s="41">
        <f t="shared" si="0"/>
        <v>4.4239918391771986E-2</v>
      </c>
      <c r="Z8" s="36"/>
      <c r="AA8" s="36"/>
      <c r="AB8" s="36"/>
      <c r="AC8" s="36">
        <v>40.909999999999997</v>
      </c>
      <c r="AD8" s="36" t="s">
        <v>605</v>
      </c>
      <c r="AE8" s="36"/>
      <c r="AF8" s="36"/>
      <c r="AG8" s="36">
        <v>38.049999999999997</v>
      </c>
      <c r="AH8" s="36" t="s">
        <v>605</v>
      </c>
      <c r="AI8" s="36"/>
      <c r="AJ8" s="36"/>
      <c r="AK8" s="36">
        <v>37.549999999999997</v>
      </c>
      <c r="AL8" s="36" t="s">
        <v>606</v>
      </c>
      <c r="AN8" s="3" t="str">
        <f>IF(AO8&gt;=30%,"1",IF(AO8&gt;=10%,"2",IF(AO8&gt;=0%,"3",IF(AO8&gt;=-10%,"4",IF(AO8&gt;=-30%,"5",IF(AO8&lt;-30%,"6",IF(AO8=数据缺失,"0")))))))</f>
        <v>3</v>
      </c>
      <c r="AO8" s="43">
        <f t="shared" si="4"/>
        <v>4.060680597316374E-3</v>
      </c>
      <c r="AP8" s="36"/>
      <c r="AQ8" s="36"/>
      <c r="AR8" s="36"/>
      <c r="AS8" s="37">
        <v>26.47</v>
      </c>
      <c r="AT8" s="36" t="s">
        <v>607</v>
      </c>
      <c r="AU8" s="36"/>
      <c r="AV8" s="36"/>
      <c r="AW8" s="37">
        <v>28.76</v>
      </c>
      <c r="AX8" s="36" t="s">
        <v>605</v>
      </c>
      <c r="AY8" s="36"/>
      <c r="AZ8" s="36"/>
      <c r="BA8" s="37">
        <v>26.44</v>
      </c>
      <c r="BB8" s="36" t="s">
        <v>608</v>
      </c>
      <c r="BD8" s="2">
        <f t="shared" si="5"/>
        <v>5</v>
      </c>
      <c r="BE8" s="8">
        <f t="shared" si="6"/>
        <v>40.909999999999997</v>
      </c>
      <c r="BF8" s="36"/>
      <c r="BG8" s="36"/>
      <c r="BH8" s="36"/>
      <c r="BI8" s="36">
        <f>AC8</f>
        <v>40.909999999999997</v>
      </c>
      <c r="BJ8" s="36" t="s">
        <v>605</v>
      </c>
      <c r="BL8" s="2">
        <f t="shared" si="7"/>
        <v>5</v>
      </c>
      <c r="BM8" s="39">
        <v>26.47</v>
      </c>
      <c r="BQ8" s="39">
        <v>26.47</v>
      </c>
      <c r="BR8" s="39" t="s">
        <v>609</v>
      </c>
      <c r="BT8" s="8">
        <f t="shared" si="8"/>
        <v>3</v>
      </c>
      <c r="BU8" s="36">
        <v>300</v>
      </c>
      <c r="BV8" s="36"/>
      <c r="BW8" s="36"/>
      <c r="BX8" s="36"/>
      <c r="BY8" s="36">
        <v>300</v>
      </c>
      <c r="BZ8" s="47" t="s">
        <v>398</v>
      </c>
      <c r="CB8" s="39">
        <v>1</v>
      </c>
      <c r="CC8" s="36" t="s">
        <v>553</v>
      </c>
      <c r="CF8" s="36" t="s">
        <v>553</v>
      </c>
      <c r="CG8" s="36" t="s">
        <v>610</v>
      </c>
      <c r="CH8" s="36" t="s">
        <v>608</v>
      </c>
      <c r="CJ8" s="67">
        <f t="shared" si="9"/>
        <v>0</v>
      </c>
      <c r="CK8" s="39" t="s">
        <v>573</v>
      </c>
      <c r="CO8" s="39" t="s">
        <v>573</v>
      </c>
      <c r="CS8" s="39">
        <v>40.909999999999997</v>
      </c>
      <c r="CT8" s="39" t="s">
        <v>605</v>
      </c>
      <c r="CV8" s="3">
        <v>2</v>
      </c>
      <c r="CW8" s="160">
        <v>719.07</v>
      </c>
      <c r="CX8" s="36"/>
      <c r="CY8" s="36"/>
      <c r="CZ8" s="36"/>
      <c r="DA8" s="160">
        <v>719.07</v>
      </c>
      <c r="DB8" s="36" t="s">
        <v>605</v>
      </c>
      <c r="DD8" s="42">
        <v>2</v>
      </c>
      <c r="DE8" s="69">
        <f>DM8/DI8</f>
        <v>27.165470343785419</v>
      </c>
      <c r="DI8" s="39">
        <v>26.47</v>
      </c>
      <c r="DJ8" s="39" t="s">
        <v>605</v>
      </c>
      <c r="DM8" s="160">
        <v>719.07</v>
      </c>
      <c r="DN8" s="39" t="s">
        <v>605</v>
      </c>
      <c r="DP8" s="39">
        <v>3</v>
      </c>
      <c r="DQ8" s="107" t="s">
        <v>2878</v>
      </c>
      <c r="DU8" s="179">
        <v>0.35320000000000001</v>
      </c>
      <c r="DV8" s="39" t="s">
        <v>605</v>
      </c>
      <c r="DY8" s="179">
        <v>0.64680000000000004</v>
      </c>
      <c r="DZ8" s="39" t="s">
        <v>605</v>
      </c>
      <c r="EC8" s="40">
        <v>0</v>
      </c>
      <c r="ED8" s="39" t="s">
        <v>605</v>
      </c>
      <c r="EG8" s="40">
        <v>0</v>
      </c>
      <c r="EH8" s="39" t="s">
        <v>607</v>
      </c>
      <c r="EJ8" s="3" t="str">
        <f>IF(EK8&gt;100,"1",IF(EK8&gt;50,"2",IF(EK8&gt;20,"3",IF(EK8&gt;5,"4",IF(EK8&gt;0,"5",IF(EK8=数据缺失,"0"))))))</f>
        <v>2</v>
      </c>
      <c r="EK8" s="37">
        <f>EO8</f>
        <v>84.9</v>
      </c>
      <c r="EL8" s="36"/>
      <c r="EM8" s="36"/>
      <c r="EN8" s="36"/>
      <c r="EO8" s="37">
        <v>84.9</v>
      </c>
      <c r="EP8" s="36" t="s">
        <v>605</v>
      </c>
      <c r="ER8" s="42">
        <v>2</v>
      </c>
      <c r="ES8" s="39">
        <v>75.819999999999993</v>
      </c>
      <c r="EW8" s="39">
        <v>75.819999999999993</v>
      </c>
      <c r="EX8" s="39" t="s">
        <v>605</v>
      </c>
      <c r="EZ8" s="3" t="str">
        <f>IF(FA8&gt;=200,"1",IF(FA8&gt;=100,"2",IF(FA8&gt;=50,"3",IF(FA8&gt;=0,"4",IF(FA8=数据缺失,"0")))))</f>
        <v>1</v>
      </c>
      <c r="FA8" s="38">
        <f>FE8</f>
        <v>285.23</v>
      </c>
      <c r="FB8" s="36"/>
      <c r="FC8" s="36"/>
      <c r="FD8" s="36"/>
      <c r="FE8" s="36">
        <v>285.23</v>
      </c>
      <c r="FF8" s="39" t="s">
        <v>564</v>
      </c>
      <c r="FH8" s="39">
        <v>3</v>
      </c>
      <c r="FI8" s="36" t="s">
        <v>612</v>
      </c>
      <c r="FM8" s="41">
        <v>0.1636</v>
      </c>
      <c r="FN8" s="36" t="s">
        <v>605</v>
      </c>
      <c r="FQ8" s="41">
        <v>0.83640000000000003</v>
      </c>
      <c r="FR8" s="36" t="s">
        <v>605</v>
      </c>
      <c r="FU8" s="36">
        <v>0</v>
      </c>
      <c r="FV8" s="36" t="s">
        <v>605</v>
      </c>
      <c r="FY8" s="36">
        <v>0</v>
      </c>
      <c r="FZ8" s="36" t="s">
        <v>605</v>
      </c>
      <c r="GB8" s="39">
        <v>2</v>
      </c>
      <c r="GC8" s="14" t="s">
        <v>613</v>
      </c>
      <c r="GG8" s="14" t="s">
        <v>613</v>
      </c>
      <c r="GH8" s="39" t="s">
        <v>605</v>
      </c>
      <c r="GJ8" s="42">
        <v>1</v>
      </c>
      <c r="GK8" s="43">
        <f t="shared" si="13"/>
        <v>0.38514597369265319</v>
      </c>
      <c r="GN8" s="39">
        <v>24.01</v>
      </c>
      <c r="GO8" s="39" t="s">
        <v>614</v>
      </c>
      <c r="GP8" s="39" t="s">
        <v>605</v>
      </c>
      <c r="GS8" s="39">
        <v>62.34</v>
      </c>
      <c r="GT8" s="39" t="s">
        <v>605</v>
      </c>
      <c r="GV8" s="42">
        <v>0</v>
      </c>
      <c r="GW8" s="36" t="s">
        <v>573</v>
      </c>
      <c r="GX8" s="36"/>
      <c r="GY8" s="36"/>
      <c r="GZ8" s="36"/>
      <c r="HA8" s="36" t="s">
        <v>573</v>
      </c>
      <c r="HE8" s="39">
        <v>376.84</v>
      </c>
      <c r="HF8" s="36" t="s">
        <v>615</v>
      </c>
      <c r="HH8" s="42">
        <v>1</v>
      </c>
      <c r="HI8" s="40">
        <f>HM8/HQ8</f>
        <v>5.9628770301624126E-2</v>
      </c>
      <c r="HM8" s="39">
        <v>2.57</v>
      </c>
      <c r="HN8" s="36" t="s">
        <v>615</v>
      </c>
      <c r="HQ8" s="37">
        <v>43.1</v>
      </c>
      <c r="HR8" s="36" t="s">
        <v>615</v>
      </c>
      <c r="HT8" s="9">
        <f t="shared" si="1"/>
        <v>4</v>
      </c>
      <c r="HU8" s="117">
        <v>0</v>
      </c>
      <c r="HV8" s="36"/>
      <c r="HW8" s="36"/>
      <c r="HX8" s="36"/>
      <c r="HY8" s="36">
        <v>0</v>
      </c>
      <c r="HZ8" s="39" t="s">
        <v>615</v>
      </c>
      <c r="IC8" s="36">
        <v>121.54</v>
      </c>
      <c r="ID8" s="36" t="s">
        <v>615</v>
      </c>
      <c r="IF8" s="39">
        <v>1</v>
      </c>
      <c r="IG8" s="39" t="str">
        <f>IK8&amp;","&amp;IO8</f>
        <v>上市,公司债，企业债</v>
      </c>
      <c r="IJ8" s="36" t="s">
        <v>616</v>
      </c>
      <c r="IK8" s="36" t="s">
        <v>616</v>
      </c>
      <c r="IL8" s="36" t="s">
        <v>597</v>
      </c>
      <c r="IN8" s="39" t="s">
        <v>617</v>
      </c>
      <c r="IO8" s="39" t="s">
        <v>618</v>
      </c>
      <c r="IP8" s="36" t="s">
        <v>597</v>
      </c>
      <c r="IR8" s="42">
        <v>3</v>
      </c>
      <c r="IS8" s="40">
        <f t="shared" si="2"/>
        <v>1.1468304135813618</v>
      </c>
      <c r="IW8" s="39">
        <v>127</v>
      </c>
      <c r="IX8" s="39" t="s">
        <v>597</v>
      </c>
      <c r="JA8" s="39">
        <v>110.74</v>
      </c>
      <c r="JB8" s="36" t="s">
        <v>615</v>
      </c>
      <c r="JD8" s="39">
        <v>3</v>
      </c>
      <c r="JE8" s="43">
        <f t="shared" si="10"/>
        <v>6.6704484445750056E-2</v>
      </c>
      <c r="JI8" s="39">
        <v>13.17</v>
      </c>
      <c r="JJ8" s="39" t="s">
        <v>605</v>
      </c>
      <c r="JM8" s="39">
        <v>1.36</v>
      </c>
      <c r="JN8" s="39" t="s">
        <v>605</v>
      </c>
      <c r="JQ8" s="39">
        <v>161.1</v>
      </c>
      <c r="JR8" s="39" t="s">
        <v>605</v>
      </c>
      <c r="JU8" s="58">
        <v>129.25</v>
      </c>
      <c r="JV8" s="39" t="s">
        <v>605</v>
      </c>
      <c r="JX8" s="39">
        <v>1</v>
      </c>
      <c r="JY8" s="58" t="s">
        <v>619</v>
      </c>
      <c r="KB8" s="39">
        <v>1</v>
      </c>
      <c r="KC8" s="58" t="s">
        <v>619</v>
      </c>
      <c r="KD8" s="39" t="s">
        <v>605</v>
      </c>
      <c r="KF8" s="67">
        <f t="shared" si="11"/>
        <v>2</v>
      </c>
      <c r="KG8" s="40">
        <f t="shared" si="12"/>
        <v>0.22394798627415569</v>
      </c>
      <c r="KK8" s="37">
        <v>24.8</v>
      </c>
      <c r="KL8" s="36" t="s">
        <v>615</v>
      </c>
      <c r="KM8" s="39" t="s">
        <v>2858</v>
      </c>
      <c r="KO8" s="39">
        <v>110.74</v>
      </c>
      <c r="KP8" s="36" t="s">
        <v>615</v>
      </c>
    </row>
    <row r="9" spans="1:303" s="39" customFormat="1" ht="16.5" hidden="1" customHeight="1" x14ac:dyDescent="0.35">
      <c r="B9" s="39" t="s">
        <v>620</v>
      </c>
      <c r="C9" s="36" t="s">
        <v>543</v>
      </c>
      <c r="D9" s="39" t="s">
        <v>544</v>
      </c>
      <c r="E9" s="39" t="s">
        <v>545</v>
      </c>
      <c r="F9" s="36" t="s">
        <v>621</v>
      </c>
      <c r="G9" s="3" t="s">
        <v>174</v>
      </c>
      <c r="H9" s="40">
        <v>0.93420000000000003</v>
      </c>
      <c r="L9" s="42">
        <v>4</v>
      </c>
      <c r="M9" s="36" t="s">
        <v>622</v>
      </c>
      <c r="N9" s="39" t="s">
        <v>623</v>
      </c>
      <c r="O9" s="39" t="s">
        <v>624</v>
      </c>
      <c r="P9" s="39" t="s">
        <v>625</v>
      </c>
      <c r="Q9" s="36" t="s">
        <v>622</v>
      </c>
      <c r="R9" s="39" t="s">
        <v>623</v>
      </c>
      <c r="T9" s="36" t="s">
        <v>622</v>
      </c>
      <c r="U9" s="36" t="s">
        <v>622</v>
      </c>
      <c r="X9" s="8">
        <f t="shared" si="3"/>
        <v>4</v>
      </c>
      <c r="Y9" s="41">
        <f t="shared" si="0"/>
        <v>-1.9056839501509305E-2</v>
      </c>
      <c r="Z9" s="36"/>
      <c r="AA9" s="36"/>
      <c r="AB9" s="36"/>
      <c r="AC9" s="36">
        <v>20.440000000000001</v>
      </c>
      <c r="AD9" s="36" t="s">
        <v>623</v>
      </c>
      <c r="AE9" s="36"/>
      <c r="AF9" s="36"/>
      <c r="AG9" s="36">
        <v>18.89</v>
      </c>
      <c r="AH9" s="36" t="s">
        <v>623</v>
      </c>
      <c r="AI9" s="36"/>
      <c r="AJ9" s="36"/>
      <c r="AK9" s="36">
        <v>21.47</v>
      </c>
      <c r="AL9" s="36" t="s">
        <v>623</v>
      </c>
      <c r="AN9" s="42">
        <v>5</v>
      </c>
      <c r="AO9" s="43">
        <f t="shared" si="4"/>
        <v>-0.10563307347569018</v>
      </c>
      <c r="AS9" s="39">
        <v>10.029999999999999</v>
      </c>
      <c r="AT9" s="39" t="s">
        <v>623</v>
      </c>
      <c r="AW9" s="39">
        <v>10.02</v>
      </c>
      <c r="AX9" s="39" t="s">
        <v>623</v>
      </c>
      <c r="BA9" s="39">
        <v>12.72</v>
      </c>
      <c r="BB9" s="39" t="s">
        <v>623</v>
      </c>
      <c r="BD9" s="2">
        <f t="shared" si="5"/>
        <v>5</v>
      </c>
      <c r="BE9" s="8">
        <f t="shared" si="6"/>
        <v>20.440000000000001</v>
      </c>
      <c r="BI9" s="39">
        <v>20.440000000000001</v>
      </c>
      <c r="BJ9" s="39" t="s">
        <v>623</v>
      </c>
      <c r="BL9" s="2">
        <f t="shared" si="7"/>
        <v>5</v>
      </c>
      <c r="BM9" s="39">
        <v>10.029999999999999</v>
      </c>
      <c r="BQ9" s="39">
        <v>10.029999999999999</v>
      </c>
      <c r="BR9" s="39" t="s">
        <v>623</v>
      </c>
      <c r="BT9" s="8">
        <f t="shared" si="8"/>
        <v>5</v>
      </c>
      <c r="BU9" s="36" t="s">
        <v>626</v>
      </c>
      <c r="BV9" s="36"/>
      <c r="BW9" s="36"/>
      <c r="BX9" s="36"/>
      <c r="BY9" s="36" t="s">
        <v>626</v>
      </c>
      <c r="BZ9" s="39" t="s">
        <v>583</v>
      </c>
      <c r="CA9" s="36"/>
      <c r="CB9" s="36">
        <v>1</v>
      </c>
      <c r="CC9" s="36" t="s">
        <v>553</v>
      </c>
      <c r="CD9" s="36"/>
      <c r="CE9" s="36"/>
      <c r="CF9" s="36" t="s">
        <v>553</v>
      </c>
      <c r="CG9" s="36" t="s">
        <v>627</v>
      </c>
      <c r="CH9" s="36" t="s">
        <v>623</v>
      </c>
      <c r="CJ9" s="67">
        <f t="shared" si="9"/>
        <v>2</v>
      </c>
      <c r="CK9" s="53">
        <f>CO9/CS9</f>
        <v>0</v>
      </c>
      <c r="CO9" s="39">
        <v>0</v>
      </c>
      <c r="CP9" s="39" t="s">
        <v>623</v>
      </c>
      <c r="CS9" s="39">
        <v>20.440000000000001</v>
      </c>
      <c r="CT9" s="39" t="s">
        <v>623</v>
      </c>
      <c r="CV9" s="42">
        <v>0</v>
      </c>
      <c r="CW9" s="39" t="s">
        <v>573</v>
      </c>
      <c r="DA9" s="39" t="s">
        <v>573</v>
      </c>
      <c r="DB9" s="36"/>
      <c r="DD9" s="42">
        <v>0</v>
      </c>
      <c r="DE9" s="69" t="s">
        <v>573</v>
      </c>
      <c r="DI9" s="39">
        <v>10.029999999999999</v>
      </c>
      <c r="DJ9" s="39" t="s">
        <v>623</v>
      </c>
      <c r="DM9" s="39" t="s">
        <v>573</v>
      </c>
      <c r="DP9" s="39">
        <v>5</v>
      </c>
      <c r="DQ9" s="39" t="s">
        <v>573</v>
      </c>
      <c r="DU9" s="40" t="s">
        <v>573</v>
      </c>
      <c r="DY9" s="40" t="s">
        <v>573</v>
      </c>
      <c r="EC9" s="40" t="s">
        <v>573</v>
      </c>
      <c r="EG9" s="40" t="s">
        <v>573</v>
      </c>
      <c r="EJ9" s="42">
        <v>4</v>
      </c>
      <c r="EK9" s="39">
        <v>6.93</v>
      </c>
      <c r="EO9" s="39">
        <v>6.93</v>
      </c>
      <c r="EP9" s="39" t="s">
        <v>623</v>
      </c>
      <c r="ER9" s="42">
        <v>3</v>
      </c>
      <c r="ES9" s="39">
        <v>22.16</v>
      </c>
      <c r="EW9" s="39">
        <v>22.16</v>
      </c>
      <c r="EX9" s="39" t="s">
        <v>623</v>
      </c>
      <c r="EZ9" s="39">
        <v>0</v>
      </c>
      <c r="FA9" s="39" t="s">
        <v>573</v>
      </c>
      <c r="FE9" s="39" t="s">
        <v>573</v>
      </c>
      <c r="FH9" s="39">
        <v>5</v>
      </c>
      <c r="FI9" s="39" t="s">
        <v>573</v>
      </c>
      <c r="FM9" s="39" t="s">
        <v>573</v>
      </c>
      <c r="FQ9" s="39" t="s">
        <v>573</v>
      </c>
      <c r="FU9" s="39" t="s">
        <v>573</v>
      </c>
      <c r="FY9" s="39" t="s">
        <v>573</v>
      </c>
      <c r="GB9" s="39">
        <v>2</v>
      </c>
      <c r="GC9" s="39" t="s">
        <v>628</v>
      </c>
      <c r="GG9" s="39" t="s">
        <v>629</v>
      </c>
      <c r="GH9" s="39" t="s">
        <v>623</v>
      </c>
      <c r="GJ9" s="8">
        <f>IF(GK9="数据缺失",0,IF(GK9&lt;0%,0,IF(GK9&lt;=5%,4,IF(GK9&lt;10%,3,IF(GK9&lt;20%,2,1)))))</f>
        <v>1</v>
      </c>
      <c r="GK9" s="161">
        <f t="shared" si="13"/>
        <v>0.25814192663695579</v>
      </c>
      <c r="GL9" s="160"/>
      <c r="GM9" s="160"/>
      <c r="GN9" s="160">
        <v>7.53</v>
      </c>
      <c r="GO9" s="160" t="s">
        <v>2827</v>
      </c>
      <c r="GP9" s="160" t="s">
        <v>2828</v>
      </c>
      <c r="GS9" s="39">
        <v>29.17</v>
      </c>
      <c r="GT9" s="39" t="s">
        <v>623</v>
      </c>
      <c r="GV9" s="42">
        <v>0</v>
      </c>
      <c r="GW9" s="43" t="s">
        <v>573</v>
      </c>
      <c r="HA9" s="39" t="s">
        <v>573</v>
      </c>
      <c r="HE9" s="36">
        <v>159.75</v>
      </c>
      <c r="HF9" s="39" t="s">
        <v>631</v>
      </c>
      <c r="HH9" s="42">
        <v>0</v>
      </c>
      <c r="HI9" s="39" t="s">
        <v>573</v>
      </c>
      <c r="HM9" s="39" t="s">
        <v>573</v>
      </c>
      <c r="HQ9" s="36">
        <v>17.25</v>
      </c>
      <c r="HR9" s="39" t="s">
        <v>631</v>
      </c>
      <c r="HT9" s="9">
        <f t="shared" si="1"/>
        <v>4</v>
      </c>
      <c r="HU9" s="117">
        <v>0</v>
      </c>
      <c r="HV9" s="36"/>
      <c r="HW9" s="36"/>
      <c r="HX9" s="36"/>
      <c r="HY9" s="36">
        <v>0</v>
      </c>
      <c r="HZ9" s="39" t="s">
        <v>631</v>
      </c>
      <c r="IC9" s="36">
        <v>33.31</v>
      </c>
      <c r="ID9" s="39" t="s">
        <v>631</v>
      </c>
      <c r="IF9" s="39">
        <v>0</v>
      </c>
      <c r="IG9" s="39" t="str">
        <f>IK9&amp;","&amp;IO9</f>
        <v>非上市,未发债</v>
      </c>
      <c r="IJ9" s="39" t="s">
        <v>596</v>
      </c>
      <c r="IK9" s="39" t="s">
        <v>632</v>
      </c>
      <c r="IL9" s="39" t="s">
        <v>597</v>
      </c>
      <c r="IN9" s="39" t="s">
        <v>598</v>
      </c>
      <c r="IO9" s="39" t="s">
        <v>633</v>
      </c>
      <c r="IP9" s="39" t="s">
        <v>597</v>
      </c>
      <c r="IR9" s="3" t="str">
        <f>IF(IS9&gt;=300%,"1",IF(IS9&gt;=200%,"2",IF(IS9&gt;=100%,"3",IF(IS9&gt;=0%,"4",IF(IS9=数据缺失,"0")))))</f>
        <v>4</v>
      </c>
      <c r="IS9" s="5">
        <f t="shared" si="2"/>
        <v>0.91093749999999996</v>
      </c>
      <c r="IT9" s="36"/>
      <c r="IU9" s="36"/>
      <c r="IV9" s="36"/>
      <c r="IW9" s="36">
        <v>52.47</v>
      </c>
      <c r="IX9" s="36" t="s">
        <v>623</v>
      </c>
      <c r="JA9" s="36">
        <v>57.6</v>
      </c>
      <c r="JB9" s="36" t="s">
        <v>623</v>
      </c>
      <c r="JD9" s="39">
        <v>3</v>
      </c>
      <c r="JE9" s="5">
        <f t="shared" si="10"/>
        <v>7.5279070058769534E-2</v>
      </c>
      <c r="JI9" s="39">
        <v>12.92</v>
      </c>
      <c r="JJ9" s="39" t="s">
        <v>623</v>
      </c>
      <c r="JM9" s="39">
        <v>4.51</v>
      </c>
      <c r="JN9" s="39" t="s">
        <v>623</v>
      </c>
      <c r="JQ9" s="39">
        <v>39.869999999999997</v>
      </c>
      <c r="JR9" s="39" t="s">
        <v>623</v>
      </c>
      <c r="JU9" s="39">
        <v>36.24</v>
      </c>
      <c r="JV9" s="39" t="s">
        <v>623</v>
      </c>
      <c r="JX9" s="39">
        <v>2</v>
      </c>
      <c r="JY9" s="39" t="s">
        <v>634</v>
      </c>
      <c r="KB9" s="39">
        <v>16</v>
      </c>
      <c r="KC9" s="39" t="s">
        <v>634</v>
      </c>
      <c r="KD9" s="39" t="s">
        <v>623</v>
      </c>
      <c r="KF9" s="67">
        <f t="shared" si="11"/>
        <v>2</v>
      </c>
      <c r="KG9" s="40">
        <f t="shared" si="12"/>
        <v>0.3581597222222222</v>
      </c>
      <c r="KK9" s="39">
        <v>20.63</v>
      </c>
      <c r="KL9" s="39" t="s">
        <v>623</v>
      </c>
      <c r="KM9" s="39" t="s">
        <v>2858</v>
      </c>
      <c r="KO9" s="37">
        <v>57.6</v>
      </c>
      <c r="KP9" s="36" t="s">
        <v>623</v>
      </c>
    </row>
    <row r="10" spans="1:303" s="39" customFormat="1" ht="16.5" hidden="1" customHeight="1" x14ac:dyDescent="0.35">
      <c r="B10" s="39" t="s">
        <v>635</v>
      </c>
      <c r="C10" s="39" t="s">
        <v>636</v>
      </c>
      <c r="D10" s="39" t="s">
        <v>637</v>
      </c>
      <c r="E10" s="39" t="s">
        <v>545</v>
      </c>
      <c r="F10" s="113" t="s">
        <v>638</v>
      </c>
      <c r="G10" s="3" t="s">
        <v>547</v>
      </c>
      <c r="H10" s="40">
        <f>48.44/49.08</f>
        <v>0.98696006519967394</v>
      </c>
      <c r="I10" s="44"/>
      <c r="L10" s="42">
        <v>4</v>
      </c>
      <c r="M10" s="39" t="s">
        <v>639</v>
      </c>
      <c r="N10" s="45"/>
      <c r="O10" s="40"/>
      <c r="P10" s="39" t="s">
        <v>126</v>
      </c>
      <c r="Q10" s="39" t="s">
        <v>640</v>
      </c>
      <c r="R10" s="39" t="s">
        <v>641</v>
      </c>
      <c r="T10" s="39" t="s">
        <v>203</v>
      </c>
      <c r="U10" s="46">
        <v>0.84</v>
      </c>
      <c r="X10" s="8">
        <f t="shared" si="3"/>
        <v>2</v>
      </c>
      <c r="Y10" s="43">
        <f t="shared" si="0"/>
        <v>0.2683354744562878</v>
      </c>
      <c r="AC10" s="39">
        <v>67.569999999999993</v>
      </c>
      <c r="AD10" s="39" t="s">
        <v>641</v>
      </c>
      <c r="AG10" s="39">
        <v>42.54</v>
      </c>
      <c r="AH10" s="39" t="s">
        <v>641</v>
      </c>
      <c r="AK10" s="39">
        <v>44.86</v>
      </c>
      <c r="AL10" s="39" t="s">
        <v>641</v>
      </c>
      <c r="AN10" s="42">
        <v>1</v>
      </c>
      <c r="AO10" s="43">
        <f t="shared" si="4"/>
        <v>0.36483156496287777</v>
      </c>
      <c r="AS10" s="39">
        <v>61.91</v>
      </c>
      <c r="AT10" s="39" t="s">
        <v>641</v>
      </c>
      <c r="AW10" s="39">
        <v>37.979999999999997</v>
      </c>
      <c r="AX10" s="39" t="s">
        <v>641</v>
      </c>
      <c r="BA10" s="39">
        <v>34.54</v>
      </c>
      <c r="BB10" s="39" t="s">
        <v>641</v>
      </c>
      <c r="BD10" s="2">
        <f t="shared" si="5"/>
        <v>4</v>
      </c>
      <c r="BE10" s="8">
        <f t="shared" si="6"/>
        <v>67.569999999999993</v>
      </c>
      <c r="BI10" s="39">
        <v>67.569999999999993</v>
      </c>
      <c r="BJ10" s="39" t="s">
        <v>641</v>
      </c>
      <c r="BL10" s="2">
        <f t="shared" si="7"/>
        <v>4</v>
      </c>
      <c r="BM10" s="39">
        <v>61.91</v>
      </c>
      <c r="BQ10" s="39">
        <v>61.91</v>
      </c>
      <c r="BR10" s="39" t="s">
        <v>641</v>
      </c>
      <c r="BT10" s="8">
        <f t="shared" si="8"/>
        <v>2</v>
      </c>
      <c r="BU10" s="160">
        <v>70</v>
      </c>
      <c r="BV10" s="160"/>
      <c r="BW10" s="160"/>
      <c r="BX10" s="160"/>
      <c r="BY10" s="160">
        <v>70</v>
      </c>
      <c r="BZ10" s="181" t="s">
        <v>234</v>
      </c>
      <c r="CA10" s="36"/>
      <c r="CB10" s="39">
        <v>1</v>
      </c>
      <c r="CC10" s="39" t="str">
        <f>CF10</f>
        <v>一级</v>
      </c>
      <c r="CF10" s="39" t="s">
        <v>132</v>
      </c>
      <c r="CG10" s="39" t="s">
        <v>642</v>
      </c>
      <c r="CH10" s="39" t="s">
        <v>641</v>
      </c>
      <c r="CJ10" s="67">
        <f t="shared" si="9"/>
        <v>0</v>
      </c>
      <c r="CK10" s="48" t="s">
        <v>573</v>
      </c>
      <c r="CO10" s="49" t="s">
        <v>573</v>
      </c>
      <c r="CS10" s="39">
        <v>67.569999999999993</v>
      </c>
      <c r="CT10" s="39" t="s">
        <v>641</v>
      </c>
      <c r="CV10" s="42">
        <v>4</v>
      </c>
      <c r="CW10" s="39">
        <v>244.38</v>
      </c>
      <c r="DA10" s="49">
        <v>244.38</v>
      </c>
      <c r="DB10" s="49" t="s">
        <v>643</v>
      </c>
      <c r="DD10" s="42">
        <v>1</v>
      </c>
      <c r="DE10" s="69">
        <f t="shared" ref="DE10:DE18" si="14">DM10/DI10</f>
        <v>3.9473429171377807</v>
      </c>
      <c r="DI10" s="39">
        <v>61.91</v>
      </c>
      <c r="DJ10" s="39" t="s">
        <v>641</v>
      </c>
      <c r="DM10" s="49">
        <v>244.38</v>
      </c>
      <c r="DN10" s="49" t="s">
        <v>643</v>
      </c>
      <c r="DP10" s="39">
        <v>6</v>
      </c>
      <c r="DQ10" s="39" t="s">
        <v>644</v>
      </c>
      <c r="DU10" s="40">
        <v>0.1099</v>
      </c>
      <c r="DV10" s="49" t="s">
        <v>643</v>
      </c>
      <c r="DY10" s="40">
        <v>0.25009999999999999</v>
      </c>
      <c r="DZ10" s="39" t="s">
        <v>645</v>
      </c>
      <c r="EC10" s="40">
        <v>0.54</v>
      </c>
      <c r="ED10" s="39" t="s">
        <v>645</v>
      </c>
      <c r="EG10" s="40">
        <v>0.10009999999999999</v>
      </c>
      <c r="EH10" s="39" t="s">
        <v>645</v>
      </c>
      <c r="EJ10" s="42">
        <v>3</v>
      </c>
      <c r="EK10" s="39">
        <v>46.9</v>
      </c>
      <c r="EO10" s="39">
        <v>46.9</v>
      </c>
      <c r="EP10" s="39" t="s">
        <v>641</v>
      </c>
      <c r="ER10" s="42">
        <v>3</v>
      </c>
      <c r="ES10" s="39">
        <v>37.799999999999997</v>
      </c>
      <c r="EW10" s="39">
        <v>37.799999999999997</v>
      </c>
      <c r="EX10" s="39" t="s">
        <v>641</v>
      </c>
      <c r="EZ10" s="42">
        <v>1</v>
      </c>
      <c r="FA10" s="39">
        <v>445.93</v>
      </c>
      <c r="FE10" s="39">
        <v>445.93</v>
      </c>
      <c r="FF10" s="39" t="s">
        <v>641</v>
      </c>
      <c r="FH10" s="39">
        <v>4</v>
      </c>
      <c r="FI10" s="39" t="s">
        <v>646</v>
      </c>
      <c r="FM10" s="40">
        <v>0.13369211795044286</v>
      </c>
      <c r="FN10" s="39" t="s">
        <v>641</v>
      </c>
      <c r="FQ10" s="40">
        <v>0.20186119520125573</v>
      </c>
      <c r="FR10" s="39" t="s">
        <v>641</v>
      </c>
      <c r="FU10" s="40">
        <v>0.48832828792465521</v>
      </c>
      <c r="FV10" s="39" t="s">
        <v>641</v>
      </c>
      <c r="FY10" s="40">
        <v>0.17611839892364614</v>
      </c>
      <c r="FZ10" s="39" t="s">
        <v>641</v>
      </c>
      <c r="GB10" s="39">
        <v>2</v>
      </c>
      <c r="GC10" s="39" t="s">
        <v>647</v>
      </c>
      <c r="GG10" s="39" t="s">
        <v>647</v>
      </c>
      <c r="GH10" s="39" t="s">
        <v>641</v>
      </c>
      <c r="GJ10" s="42">
        <v>4</v>
      </c>
      <c r="GK10" s="40">
        <f t="shared" si="13"/>
        <v>1.8337408312958436E-2</v>
      </c>
      <c r="GN10" s="39">
        <v>0.9</v>
      </c>
      <c r="GO10" s="39" t="s">
        <v>648</v>
      </c>
      <c r="GP10" s="39" t="s">
        <v>645</v>
      </c>
      <c r="GS10" s="39">
        <v>49.08</v>
      </c>
      <c r="GT10" s="39" t="s">
        <v>645</v>
      </c>
      <c r="GV10" s="42">
        <v>2</v>
      </c>
      <c r="GW10" s="40">
        <f>HA10/HE10</f>
        <v>0.24294130482216889</v>
      </c>
      <c r="HA10" s="39">
        <v>55.67</v>
      </c>
      <c r="HB10" s="39" t="s">
        <v>649</v>
      </c>
      <c r="HE10" s="39">
        <v>229.15</v>
      </c>
      <c r="HF10" s="39" t="s">
        <v>649</v>
      </c>
      <c r="HH10" s="42">
        <v>1</v>
      </c>
      <c r="HI10" s="43">
        <f>HM10/HQ10</f>
        <v>4.8657718120805368E-2</v>
      </c>
      <c r="HM10" s="48">
        <v>1.1599999999999999</v>
      </c>
      <c r="HN10" s="39" t="s">
        <v>649</v>
      </c>
      <c r="HQ10" s="39">
        <v>23.84</v>
      </c>
      <c r="HR10" s="39" t="s">
        <v>649</v>
      </c>
      <c r="HT10" s="3">
        <v>4</v>
      </c>
      <c r="HU10" s="3">
        <f>HY10/IC10</f>
        <v>0</v>
      </c>
      <c r="HV10" s="36"/>
      <c r="HW10" s="36"/>
      <c r="HX10" s="36"/>
      <c r="HY10" s="36">
        <v>0</v>
      </c>
      <c r="HZ10" s="39" t="s">
        <v>649</v>
      </c>
      <c r="IC10" s="39">
        <v>39.53</v>
      </c>
      <c r="ID10" s="39" t="s">
        <v>649</v>
      </c>
      <c r="IF10" s="39">
        <v>0</v>
      </c>
      <c r="IG10" s="39" t="s">
        <v>650</v>
      </c>
      <c r="IJ10" s="39" t="s">
        <v>632</v>
      </c>
      <c r="IK10" s="39" t="s">
        <v>632</v>
      </c>
      <c r="IL10" s="39" t="s">
        <v>597</v>
      </c>
      <c r="IN10" s="39" t="s">
        <v>598</v>
      </c>
      <c r="IO10" s="39" t="s">
        <v>573</v>
      </c>
      <c r="IP10" s="39" t="s">
        <v>597</v>
      </c>
      <c r="IR10" s="42">
        <v>3</v>
      </c>
      <c r="IS10" s="43">
        <f t="shared" si="2"/>
        <v>1.2174995553974746</v>
      </c>
      <c r="IW10" s="39">
        <v>68.459999999999994</v>
      </c>
      <c r="IX10" s="39" t="s">
        <v>597</v>
      </c>
      <c r="JA10" s="39">
        <v>56.23</v>
      </c>
      <c r="JB10" s="39" t="s">
        <v>649</v>
      </c>
      <c r="JD10" s="39">
        <v>4</v>
      </c>
      <c r="JE10" s="43">
        <f t="shared" si="10"/>
        <v>9.447314995204617E-2</v>
      </c>
      <c r="JI10" s="39">
        <v>13.83</v>
      </c>
      <c r="JJ10" s="39" t="s">
        <v>649</v>
      </c>
      <c r="JM10" s="39">
        <v>2.36</v>
      </c>
      <c r="JN10" s="39" t="s">
        <v>649</v>
      </c>
      <c r="JQ10" s="39">
        <v>69.64</v>
      </c>
      <c r="JR10" s="39" t="s">
        <v>649</v>
      </c>
      <c r="JU10" s="51">
        <v>54.42</v>
      </c>
      <c r="JV10" s="39" t="s">
        <v>649</v>
      </c>
      <c r="JX10" s="39">
        <v>2</v>
      </c>
      <c r="JY10" s="39" t="s">
        <v>651</v>
      </c>
      <c r="KB10" s="39">
        <v>10</v>
      </c>
      <c r="KC10" s="39" t="s">
        <v>651</v>
      </c>
      <c r="KD10" s="39" t="s">
        <v>649</v>
      </c>
      <c r="KF10" s="67">
        <f t="shared" si="11"/>
        <v>1</v>
      </c>
      <c r="KG10" s="43">
        <f t="shared" si="12"/>
        <v>2.0629557175884758E-2</v>
      </c>
      <c r="KK10" s="39">
        <v>1.1599999999999999</v>
      </c>
      <c r="KL10" s="39" t="s">
        <v>649</v>
      </c>
      <c r="KO10" s="39">
        <v>56.23</v>
      </c>
      <c r="KP10" s="39" t="s">
        <v>649</v>
      </c>
    </row>
    <row r="11" spans="1:303" s="39" customFormat="1" ht="16.5" hidden="1" customHeight="1" x14ac:dyDescent="0.35">
      <c r="B11" s="39" t="s">
        <v>652</v>
      </c>
      <c r="C11" s="36" t="s">
        <v>543</v>
      </c>
      <c r="D11" s="39" t="s">
        <v>544</v>
      </c>
      <c r="E11" s="39" t="s">
        <v>545</v>
      </c>
      <c r="F11" s="36" t="s">
        <v>653</v>
      </c>
      <c r="G11" s="3" t="s">
        <v>199</v>
      </c>
      <c r="H11" s="40">
        <v>0.99419999999999997</v>
      </c>
      <c r="L11" s="3">
        <v>3</v>
      </c>
      <c r="M11" s="36" t="s">
        <v>654</v>
      </c>
      <c r="N11" s="36"/>
      <c r="O11" s="36"/>
      <c r="P11" s="39" t="s">
        <v>603</v>
      </c>
      <c r="Q11" s="36" t="s">
        <v>604</v>
      </c>
      <c r="R11" s="36" t="s">
        <v>655</v>
      </c>
      <c r="T11" s="39" t="s">
        <v>656</v>
      </c>
      <c r="U11" s="44">
        <v>0.62960000000000005</v>
      </c>
      <c r="X11" s="8">
        <f t="shared" si="3"/>
        <v>4</v>
      </c>
      <c r="Y11" s="41">
        <f t="shared" si="0"/>
        <v>-4.8631616044003873E-2</v>
      </c>
      <c r="Z11" s="36"/>
      <c r="AA11" s="36"/>
      <c r="AB11" s="36"/>
      <c r="AC11" s="6">
        <v>10.77</v>
      </c>
      <c r="AD11" s="182" t="s">
        <v>2844</v>
      </c>
      <c r="AE11" s="6"/>
      <c r="AF11" s="6"/>
      <c r="AG11" s="6">
        <v>12.11</v>
      </c>
      <c r="AH11" s="182" t="s">
        <v>2845</v>
      </c>
      <c r="AI11" s="6"/>
      <c r="AJ11" s="6"/>
      <c r="AK11" s="6">
        <v>11.95</v>
      </c>
      <c r="AL11" s="182" t="s">
        <v>2844</v>
      </c>
      <c r="AN11" s="3" t="str">
        <f>IF(AO11&gt;=30%,"1",IF(AO11&gt;=10%,"2",IF(AO11&gt;=0%,"3",IF(AO11&gt;=-10%,"4",IF(AO11&gt;=-30%,"5",IF(AO11&lt;-30%,"6",IF(AO11=数据缺失,"0")))))))</f>
        <v>5</v>
      </c>
      <c r="AO11" s="43">
        <f t="shared" si="4"/>
        <v>-0.10824968204327562</v>
      </c>
      <c r="AP11" s="36"/>
      <c r="AQ11" s="36"/>
      <c r="AR11" s="36"/>
      <c r="AS11" s="27">
        <v>6.2091000000000003</v>
      </c>
      <c r="AT11" s="182" t="s">
        <v>2846</v>
      </c>
      <c r="AU11" s="6"/>
      <c r="AV11" s="6"/>
      <c r="AW11" s="27">
        <v>5.8335999999999997</v>
      </c>
      <c r="AX11" s="182" t="s">
        <v>2846</v>
      </c>
      <c r="AY11" s="6"/>
      <c r="AZ11" s="6"/>
      <c r="BA11" s="27">
        <v>8.1120000000000001</v>
      </c>
      <c r="BB11" s="182" t="s">
        <v>2845</v>
      </c>
      <c r="BD11" s="2">
        <f t="shared" si="5"/>
        <v>5</v>
      </c>
      <c r="BE11" s="8">
        <f t="shared" si="6"/>
        <v>10.77</v>
      </c>
      <c r="BF11" s="36"/>
      <c r="BG11" s="36"/>
      <c r="BH11" s="36"/>
      <c r="BI11" s="36">
        <f>AC11</f>
        <v>10.77</v>
      </c>
      <c r="BJ11" s="36" t="str">
        <f>AD11</f>
        <v>募集20160219</v>
      </c>
      <c r="BL11" s="2">
        <f t="shared" si="7"/>
        <v>5</v>
      </c>
      <c r="BM11" s="37">
        <f>BQ11</f>
        <v>6.2091000000000003</v>
      </c>
      <c r="BN11" s="36"/>
      <c r="BO11" s="36"/>
      <c r="BP11" s="36"/>
      <c r="BQ11" s="37">
        <f>AS11</f>
        <v>6.2091000000000003</v>
      </c>
      <c r="BR11" s="36" t="str">
        <f>AT11</f>
        <v>募集20160219</v>
      </c>
      <c r="BT11" s="8">
        <f t="shared" si="8"/>
        <v>4</v>
      </c>
      <c r="BU11" s="36">
        <v>371</v>
      </c>
      <c r="BV11" s="36"/>
      <c r="BW11" s="36"/>
      <c r="BX11" s="36"/>
      <c r="BY11" s="36">
        <v>371</v>
      </c>
      <c r="BZ11" s="36" t="s">
        <v>657</v>
      </c>
      <c r="CA11" s="36"/>
      <c r="CB11" s="36">
        <v>2</v>
      </c>
      <c r="CC11" s="36" t="s">
        <v>584</v>
      </c>
      <c r="CD11" s="36"/>
      <c r="CE11" s="36"/>
      <c r="CF11" s="36" t="s">
        <v>584</v>
      </c>
      <c r="CG11" s="36" t="s">
        <v>658</v>
      </c>
      <c r="CH11" s="36" t="s">
        <v>655</v>
      </c>
      <c r="CJ11" s="67">
        <f t="shared" si="9"/>
        <v>0</v>
      </c>
      <c r="CK11" s="53" t="s">
        <v>573</v>
      </c>
      <c r="CL11" s="36"/>
      <c r="CM11" s="36"/>
      <c r="CN11" s="36"/>
      <c r="CO11" s="36" t="s">
        <v>573</v>
      </c>
      <c r="CP11" s="36"/>
      <c r="CQ11" s="36"/>
      <c r="CR11" s="36"/>
      <c r="CS11" s="37">
        <f>BI11</f>
        <v>10.77</v>
      </c>
      <c r="CT11" s="36" t="s">
        <v>659</v>
      </c>
      <c r="CV11" s="42">
        <v>5</v>
      </c>
      <c r="CW11" s="39">
        <v>36.33</v>
      </c>
      <c r="DA11" s="39">
        <v>36.33</v>
      </c>
      <c r="DB11" s="39" t="s">
        <v>655</v>
      </c>
      <c r="DC11" s="39" t="s">
        <v>660</v>
      </c>
      <c r="DD11" s="3" t="str">
        <f>IF(DE11&gt;5,"2",IF(DE11&gt;=2,"1",IF(DE11&gt;=0,"3",IF(DE11=数据缺失,"0"))))</f>
        <v>2</v>
      </c>
      <c r="DE11" s="38">
        <f t="shared" si="14"/>
        <v>5.8510895298835575</v>
      </c>
      <c r="DF11" s="36"/>
      <c r="DG11" s="36"/>
      <c r="DH11" s="36"/>
      <c r="DI11" s="37">
        <f>BQ11</f>
        <v>6.2091000000000003</v>
      </c>
      <c r="DJ11" s="36" t="s">
        <v>659</v>
      </c>
      <c r="DK11" s="36"/>
      <c r="DL11" s="36"/>
      <c r="DM11" s="54">
        <f>DA11</f>
        <v>36.33</v>
      </c>
      <c r="DN11" s="55" t="str">
        <f>DB11</f>
        <v>评级20160219</v>
      </c>
      <c r="DP11" s="39">
        <v>6</v>
      </c>
      <c r="DQ11" s="39" t="s">
        <v>661</v>
      </c>
      <c r="DU11" s="40">
        <v>0.43640000000000001</v>
      </c>
      <c r="DV11" s="39" t="s">
        <v>655</v>
      </c>
      <c r="DY11" s="40">
        <v>0</v>
      </c>
      <c r="DZ11" s="39" t="s">
        <v>655</v>
      </c>
      <c r="EC11" s="40">
        <v>0</v>
      </c>
      <c r="ED11" s="39" t="s">
        <v>655</v>
      </c>
      <c r="EG11" s="40">
        <v>0.56359999999999999</v>
      </c>
      <c r="EH11" s="39" t="s">
        <v>655</v>
      </c>
      <c r="EJ11" s="42">
        <v>3</v>
      </c>
      <c r="EK11" s="39">
        <v>30.22</v>
      </c>
      <c r="EO11" s="39">
        <v>30.22</v>
      </c>
      <c r="EP11" s="39" t="s">
        <v>655</v>
      </c>
      <c r="ER11" s="42">
        <v>5</v>
      </c>
      <c r="ES11" s="39">
        <v>4.16</v>
      </c>
      <c r="EW11" s="39">
        <v>4.16</v>
      </c>
      <c r="EX11" s="39" t="s">
        <v>655</v>
      </c>
      <c r="EZ11" s="39">
        <v>0</v>
      </c>
      <c r="FA11" s="39" t="s">
        <v>573</v>
      </c>
      <c r="FE11" s="39" t="s">
        <v>573</v>
      </c>
      <c r="FH11" s="39">
        <v>1</v>
      </c>
      <c r="FI11" s="39" t="s">
        <v>2879</v>
      </c>
      <c r="FJ11" s="39" t="s">
        <v>2880</v>
      </c>
      <c r="FM11" s="39" t="s">
        <v>573</v>
      </c>
      <c r="FQ11" s="39" t="s">
        <v>573</v>
      </c>
      <c r="FU11" s="39" t="s">
        <v>573</v>
      </c>
      <c r="FY11" s="39" t="s">
        <v>573</v>
      </c>
      <c r="GB11" s="39">
        <v>2</v>
      </c>
      <c r="GC11" s="56" t="s">
        <v>662</v>
      </c>
      <c r="GG11" s="56" t="s">
        <v>662</v>
      </c>
      <c r="GH11" s="36" t="s">
        <v>655</v>
      </c>
      <c r="GJ11" s="3" t="str">
        <f>IF(GK11&gt;=20%,"1",IF(GK11&gt;=10%,"2",IF(GK11&gt;=5%,"3",IF(GK11&gt;=0%,"4",IF(GK11=数据缺失,"0")))))</f>
        <v>1</v>
      </c>
      <c r="GK11" s="5">
        <f t="shared" si="13"/>
        <v>0.21562952243125905</v>
      </c>
      <c r="GL11" s="36"/>
      <c r="GM11" s="36"/>
      <c r="GN11" s="36">
        <v>2.98</v>
      </c>
      <c r="GO11" s="36" t="s">
        <v>663</v>
      </c>
      <c r="GP11" s="36" t="s">
        <v>655</v>
      </c>
      <c r="GQ11" s="36"/>
      <c r="GR11" s="36"/>
      <c r="GS11" s="36">
        <v>13.82</v>
      </c>
      <c r="GT11" s="36" t="s">
        <v>655</v>
      </c>
      <c r="GV11" s="42">
        <v>1</v>
      </c>
      <c r="GW11" s="43">
        <f>HA11/HE11</f>
        <v>1.1824715974959425E-2</v>
      </c>
      <c r="HA11" s="39">
        <v>0.51</v>
      </c>
      <c r="HB11" s="39" t="s">
        <v>615</v>
      </c>
      <c r="HE11" s="39">
        <v>43.13</v>
      </c>
      <c r="HF11" s="39" t="s">
        <v>615</v>
      </c>
      <c r="HH11" s="42">
        <v>1</v>
      </c>
      <c r="HI11" s="40">
        <f>HM11/HQ11</f>
        <v>2.4131274131274132E-2</v>
      </c>
      <c r="HM11" s="39">
        <v>0.5</v>
      </c>
      <c r="HN11" s="39" t="s">
        <v>615</v>
      </c>
      <c r="HQ11" s="36">
        <v>20.72</v>
      </c>
      <c r="HR11" s="39" t="s">
        <v>615</v>
      </c>
      <c r="HT11" s="3">
        <v>4</v>
      </c>
      <c r="HU11" s="36">
        <v>0</v>
      </c>
      <c r="HV11" s="36"/>
      <c r="HW11" s="36"/>
      <c r="HX11" s="36"/>
      <c r="HY11" s="36">
        <v>0</v>
      </c>
      <c r="HZ11" s="39" t="s">
        <v>615</v>
      </c>
      <c r="IC11" s="39">
        <v>0</v>
      </c>
      <c r="ID11" s="39" t="s">
        <v>615</v>
      </c>
      <c r="IF11" s="39">
        <v>0</v>
      </c>
      <c r="IG11" s="39" t="str">
        <f>IK11&amp;","&amp;IO11</f>
        <v>上市,数据缺失</v>
      </c>
      <c r="IJ11" s="39" t="s">
        <v>151</v>
      </c>
      <c r="IK11" s="39" t="s">
        <v>151</v>
      </c>
      <c r="IL11" s="39" t="s">
        <v>597</v>
      </c>
      <c r="IN11" s="39" t="s">
        <v>598</v>
      </c>
      <c r="IO11" s="39" t="s">
        <v>573</v>
      </c>
      <c r="IP11" s="39" t="s">
        <v>597</v>
      </c>
      <c r="IR11" s="3">
        <v>0</v>
      </c>
      <c r="IS11" s="242" t="s">
        <v>2855</v>
      </c>
      <c r="IT11" s="6"/>
      <c r="IU11" s="6"/>
      <c r="IV11" s="6"/>
      <c r="IW11" s="242" t="s">
        <v>2855</v>
      </c>
      <c r="JA11" s="39">
        <v>30.23</v>
      </c>
      <c r="JB11" s="39" t="s">
        <v>615</v>
      </c>
      <c r="JD11" s="39">
        <v>4</v>
      </c>
      <c r="JE11" s="43">
        <f t="shared" si="10"/>
        <v>0.17341743088288922</v>
      </c>
      <c r="JI11" s="39">
        <v>6.42</v>
      </c>
      <c r="JJ11" s="39" t="s">
        <v>655</v>
      </c>
      <c r="JM11" s="39">
        <v>58.3</v>
      </c>
      <c r="JN11" s="39" t="s">
        <v>655</v>
      </c>
      <c r="JQ11" s="39">
        <v>1.27</v>
      </c>
      <c r="JR11" s="39" t="s">
        <v>655</v>
      </c>
      <c r="JU11" s="58">
        <v>0</v>
      </c>
      <c r="JV11" s="39" t="s">
        <v>655</v>
      </c>
      <c r="JX11" s="39">
        <v>2</v>
      </c>
      <c r="JY11" s="58" t="s">
        <v>664</v>
      </c>
      <c r="KB11" s="39">
        <v>17</v>
      </c>
      <c r="KC11" s="58" t="s">
        <v>664</v>
      </c>
      <c r="KD11" s="39" t="s">
        <v>615</v>
      </c>
      <c r="KF11" s="67">
        <f t="shared" si="11"/>
        <v>1</v>
      </c>
      <c r="KG11" s="40">
        <f>KK11/KO10</f>
        <v>9.4255735372576928E-3</v>
      </c>
      <c r="KK11" s="39">
        <v>0.53</v>
      </c>
      <c r="KL11" s="39" t="s">
        <v>615</v>
      </c>
      <c r="KO11" s="39">
        <v>30.23</v>
      </c>
      <c r="KP11" s="36" t="s">
        <v>615</v>
      </c>
    </row>
    <row r="12" spans="1:303" s="39" customFormat="1" ht="16.5" hidden="1" customHeight="1" x14ac:dyDescent="0.35">
      <c r="B12" s="39" t="s">
        <v>665</v>
      </c>
      <c r="C12" s="39" t="s">
        <v>666</v>
      </c>
      <c r="D12" s="39" t="s">
        <v>637</v>
      </c>
      <c r="E12" s="39" t="s">
        <v>545</v>
      </c>
      <c r="F12" s="113" t="s">
        <v>667</v>
      </c>
      <c r="G12" s="3" t="s">
        <v>668</v>
      </c>
      <c r="H12" s="40">
        <f>232.71/262.92</f>
        <v>0.88509812870835236</v>
      </c>
      <c r="I12" s="75"/>
      <c r="L12" s="42">
        <v>3</v>
      </c>
      <c r="M12" s="39" t="s">
        <v>669</v>
      </c>
      <c r="P12" s="39" t="s">
        <v>670</v>
      </c>
      <c r="Q12" s="39" t="s">
        <v>671</v>
      </c>
      <c r="R12" s="39" t="s">
        <v>672</v>
      </c>
      <c r="T12" s="39" t="s">
        <v>673</v>
      </c>
      <c r="U12" s="46">
        <v>1</v>
      </c>
      <c r="X12" s="8">
        <f t="shared" si="3"/>
        <v>1</v>
      </c>
      <c r="Y12" s="43">
        <f t="shared" si="0"/>
        <v>0.33724202626641647</v>
      </c>
      <c r="AC12" s="39">
        <v>225</v>
      </c>
      <c r="AD12" s="39" t="s">
        <v>674</v>
      </c>
      <c r="AG12" s="39">
        <v>205</v>
      </c>
      <c r="AH12" s="39" t="s">
        <v>674</v>
      </c>
      <c r="AK12" s="39">
        <v>130</v>
      </c>
      <c r="AL12" s="39" t="s">
        <v>675</v>
      </c>
      <c r="AN12" s="39">
        <f>IF(AO12="数据缺失",0,IF(AO12&lt;-30%,6,IF(AO12&lt;-10%,5,IF(AO12&lt;0%,4,IF(AO12&lt;10%,3,IF(AO12&lt;30%,2,1))))))</f>
        <v>2</v>
      </c>
      <c r="AO12" s="43">
        <f t="shared" si="4"/>
        <v>0.17662337662337663</v>
      </c>
      <c r="AS12" s="39">
        <v>86</v>
      </c>
      <c r="AT12" s="39" t="s">
        <v>674</v>
      </c>
      <c r="AW12" s="39">
        <v>110</v>
      </c>
      <c r="AX12" s="39" t="s">
        <v>674</v>
      </c>
      <c r="BA12" s="39">
        <v>70</v>
      </c>
      <c r="BB12" s="39" t="s">
        <v>675</v>
      </c>
      <c r="BD12" s="2">
        <f t="shared" si="5"/>
        <v>3</v>
      </c>
      <c r="BE12" s="8">
        <f t="shared" si="6"/>
        <v>225</v>
      </c>
      <c r="BI12" s="39">
        <v>225</v>
      </c>
      <c r="BJ12" s="39" t="s">
        <v>674</v>
      </c>
      <c r="BL12" s="2">
        <f t="shared" si="7"/>
        <v>4</v>
      </c>
      <c r="BM12" s="39">
        <v>86</v>
      </c>
      <c r="BQ12" s="39">
        <v>86</v>
      </c>
      <c r="BR12" s="39" t="s">
        <v>674</v>
      </c>
      <c r="BT12" s="8">
        <f t="shared" si="8"/>
        <v>2</v>
      </c>
      <c r="BU12" s="182">
        <v>24</v>
      </c>
      <c r="BV12" s="182"/>
      <c r="BW12" s="182"/>
      <c r="BX12" s="182"/>
      <c r="BY12" s="182">
        <v>24</v>
      </c>
      <c r="BZ12" s="188" t="s">
        <v>258</v>
      </c>
      <c r="CA12" s="182" t="s">
        <v>2850</v>
      </c>
      <c r="CB12" s="36">
        <v>1</v>
      </c>
      <c r="CC12" s="36" t="s">
        <v>133</v>
      </c>
      <c r="CD12" s="36"/>
      <c r="CE12" s="36"/>
      <c r="CF12" s="36" t="s">
        <v>133</v>
      </c>
      <c r="CG12" s="36" t="s">
        <v>698</v>
      </c>
      <c r="CH12" s="36" t="s">
        <v>1241</v>
      </c>
      <c r="CI12" s="36" t="s">
        <v>1242</v>
      </c>
      <c r="CJ12" s="67">
        <f t="shared" si="9"/>
        <v>0</v>
      </c>
      <c r="CK12" s="48" t="s">
        <v>573</v>
      </c>
      <c r="CO12" s="49" t="s">
        <v>573</v>
      </c>
      <c r="CS12" s="39">
        <f>BI12</f>
        <v>225</v>
      </c>
      <c r="CT12" s="39" t="str">
        <f>BJ12</f>
        <v>评级20140704</v>
      </c>
      <c r="CV12" s="42">
        <f>IF(CW12="数据缺失",0,IF(CW12&lt;0,0,IF(CW12&lt;100,5,IF(CW12&lt;500,4,IF(CW12&lt;1000,3,IF(CW12&lt;2000,2,1))))))</f>
        <v>3</v>
      </c>
      <c r="CW12" s="39">
        <f>DA12</f>
        <v>732.58</v>
      </c>
      <c r="DA12" s="49">
        <v>732.58</v>
      </c>
      <c r="DB12" s="49" t="s">
        <v>677</v>
      </c>
      <c r="DD12" s="39">
        <f>IF(DE12="数据缺失",0,IF(DE12&lt;0,0,IF(DE12&lt;2,3,IF(DE12&lt;=5,1,2))))</f>
        <v>2</v>
      </c>
      <c r="DE12" s="69">
        <f t="shared" si="14"/>
        <v>8.518372093023256</v>
      </c>
      <c r="DI12" s="39">
        <v>86</v>
      </c>
      <c r="DJ12" s="39" t="s">
        <v>674</v>
      </c>
      <c r="DM12" s="49">
        <v>732.58</v>
      </c>
      <c r="DN12" s="49" t="s">
        <v>677</v>
      </c>
      <c r="DP12" s="39">
        <v>2</v>
      </c>
      <c r="DQ12" s="39" t="s">
        <v>678</v>
      </c>
      <c r="DU12" s="40">
        <v>0.34238796598370169</v>
      </c>
      <c r="DV12" s="39" t="s">
        <v>674</v>
      </c>
      <c r="DY12" s="40">
        <v>0.39797158028365121</v>
      </c>
      <c r="DZ12" s="39" t="s">
        <v>674</v>
      </c>
      <c r="EC12" s="40">
        <v>0.25964045373264721</v>
      </c>
      <c r="ED12" s="39" t="s">
        <v>674</v>
      </c>
      <c r="EG12" s="40">
        <v>0</v>
      </c>
      <c r="EH12" s="39" t="s">
        <v>674</v>
      </c>
      <c r="EJ12" s="39">
        <f>IF(EK12="数据缺失",0,IF(EK12&lt;0%,0,IF(EK12&lt;=5%,5,IF(EK12&lt;=20%,4,IF(EK12&lt;=50%,3,IF(EK12&lt;=100,2,1))))))</f>
        <v>2</v>
      </c>
      <c r="EK12" s="39">
        <f>EO12</f>
        <v>83</v>
      </c>
      <c r="EO12" s="39">
        <v>83</v>
      </c>
      <c r="EP12" s="39" t="s">
        <v>674</v>
      </c>
      <c r="ER12" s="42">
        <f>IF(ES12="数据缺失",0,IF(ES12&lt;0%,0,IF(ES12&lt;=5%,5,IF(ES12&lt;=20%,4,IF(ES12&lt;=50%,3,IF(ES12&lt;=100,2,1))))))</f>
        <v>1</v>
      </c>
      <c r="ES12" s="39">
        <f>EW12</f>
        <v>206</v>
      </c>
      <c r="EW12" s="39">
        <v>206</v>
      </c>
      <c r="EX12" s="39" t="s">
        <v>674</v>
      </c>
      <c r="EZ12" s="39">
        <v>0</v>
      </c>
      <c r="FA12" s="39" t="s">
        <v>573</v>
      </c>
      <c r="FE12" s="39" t="s">
        <v>573</v>
      </c>
      <c r="FH12" s="39">
        <v>5</v>
      </c>
      <c r="FI12" s="39" t="s">
        <v>573</v>
      </c>
      <c r="FM12" s="39" t="s">
        <v>573</v>
      </c>
      <c r="FQ12" s="39" t="s">
        <v>573</v>
      </c>
      <c r="FU12" s="39" t="s">
        <v>573</v>
      </c>
      <c r="FY12" s="39" t="s">
        <v>573</v>
      </c>
      <c r="GB12" s="39">
        <v>3</v>
      </c>
      <c r="GC12" s="40" t="s">
        <v>679</v>
      </c>
      <c r="GG12" s="40" t="s">
        <v>679</v>
      </c>
      <c r="GH12" s="39" t="s">
        <v>674</v>
      </c>
      <c r="GJ12" s="39">
        <f>IF(GK12="数据缺失",0,IF(GK12&lt;0%,0,IF(GK12&lt;=5%,4,IF(GK12&lt;10%,3,IF(GK12&lt;20%,2,1)))))</f>
        <v>2</v>
      </c>
      <c r="GK12" s="43">
        <f t="shared" si="13"/>
        <v>0.1326263965158114</v>
      </c>
      <c r="GN12" s="39">
        <v>35.020000000000003</v>
      </c>
      <c r="GO12" s="39" t="s">
        <v>680</v>
      </c>
      <c r="GP12" s="39" t="s">
        <v>674</v>
      </c>
      <c r="GS12" s="39">
        <v>264.05</v>
      </c>
      <c r="GT12" s="39" t="s">
        <v>674</v>
      </c>
      <c r="GV12" s="39">
        <v>1</v>
      </c>
      <c r="GW12" s="43">
        <f>HA12/HE12*100%</f>
        <v>0.19986746189529489</v>
      </c>
      <c r="HA12" s="48">
        <v>256.36</v>
      </c>
      <c r="HB12" s="39" t="s">
        <v>674</v>
      </c>
      <c r="HE12" s="39">
        <v>1282.6500000000001</v>
      </c>
      <c r="HF12" s="39" t="s">
        <v>672</v>
      </c>
      <c r="HH12" s="6">
        <f>IF(HI12="数据缺失",0,IF(HI12&lt;20%,1,IF(HI12&lt;40%,2,IF(HI12&lt;60%,3,IF(HI12&lt;80%,4,IF(HI12&lt;=100%,5,0))))))</f>
        <v>1</v>
      </c>
      <c r="HI12" s="41">
        <f>HM12/HQ12</f>
        <v>0</v>
      </c>
      <c r="HJ12" s="36"/>
      <c r="HK12" s="36"/>
      <c r="HL12" s="36"/>
      <c r="HM12" s="53">
        <v>0</v>
      </c>
      <c r="HN12" s="36" t="s">
        <v>366</v>
      </c>
      <c r="HQ12" s="39">
        <v>217.89</v>
      </c>
      <c r="HR12" s="39" t="s">
        <v>681</v>
      </c>
      <c r="HT12" s="6">
        <f>IF(HU12="数据缺失",0,IF(HU12&lt;5%,4,IF(HU12&lt;=10%,3,IF(HU12&lt;30%,2,IF(HU12&lt;=100%,1,0)))))</f>
        <v>0</v>
      </c>
      <c r="HU12" s="171" t="s">
        <v>2855</v>
      </c>
      <c r="HV12" s="6"/>
      <c r="HW12" s="6"/>
      <c r="HX12" s="6"/>
      <c r="HY12" s="6" t="s">
        <v>2855</v>
      </c>
      <c r="IC12" s="39">
        <v>304.94</v>
      </c>
      <c r="ID12" s="39" t="s">
        <v>681</v>
      </c>
      <c r="IF12" s="39">
        <v>3</v>
      </c>
      <c r="IG12" s="39" t="s">
        <v>682</v>
      </c>
      <c r="IJ12" s="39" t="s">
        <v>632</v>
      </c>
      <c r="IK12" s="39" t="s">
        <v>632</v>
      </c>
      <c r="IL12" s="39" t="s">
        <v>597</v>
      </c>
      <c r="IN12" s="39" t="s">
        <v>683</v>
      </c>
      <c r="IO12" s="39" t="s">
        <v>684</v>
      </c>
      <c r="IP12" s="39" t="s">
        <v>597</v>
      </c>
      <c r="IR12" s="42">
        <f>IF(IS12="数据缺失",0,IF(IS12&lt;0%,0,IF(IS12&lt;=100%,4,IF(IS12&lt;200%,3,IF(IS12&lt;300%,2,1)))))</f>
        <v>3</v>
      </c>
      <c r="IS12" s="43">
        <f>IW12/JA12</f>
        <v>1.3446023818670765</v>
      </c>
      <c r="IW12" s="39">
        <v>560</v>
      </c>
      <c r="IX12" s="39" t="s">
        <v>674</v>
      </c>
      <c r="JA12" s="39">
        <v>416.48</v>
      </c>
      <c r="JB12" s="39" t="s">
        <v>674</v>
      </c>
      <c r="JD12" s="39">
        <f>IF(JE12="数据缺失",0,IF(JE12&lt;0%,0,IF(JE12&lt;4%,1,IF(JE12&lt;6%,2,IF(JE12&lt;8%,3,4)))))</f>
        <v>3</v>
      </c>
      <c r="JE12" s="43">
        <f t="shared" si="10"/>
        <v>7.2163494602468098E-2</v>
      </c>
      <c r="JI12" s="39">
        <v>74.709999999999994</v>
      </c>
      <c r="JJ12" s="39" t="s">
        <v>674</v>
      </c>
      <c r="JM12" s="39">
        <v>2.4</v>
      </c>
      <c r="JN12" s="39" t="s">
        <v>674</v>
      </c>
      <c r="JQ12" s="39">
        <v>450.17</v>
      </c>
      <c r="JR12" s="39" t="s">
        <v>674</v>
      </c>
      <c r="JU12" s="39">
        <v>412.57</v>
      </c>
      <c r="JV12" s="39" t="s">
        <v>672</v>
      </c>
      <c r="JX12" s="39">
        <v>1</v>
      </c>
      <c r="JY12" s="39" t="s">
        <v>685</v>
      </c>
      <c r="KB12" s="39">
        <v>3</v>
      </c>
      <c r="KC12" s="39" t="s">
        <v>685</v>
      </c>
      <c r="KD12" s="39" t="s">
        <v>672</v>
      </c>
      <c r="KF12" s="67">
        <f t="shared" si="11"/>
        <v>1</v>
      </c>
      <c r="KG12" s="77">
        <v>0</v>
      </c>
      <c r="KK12" s="39">
        <v>0</v>
      </c>
      <c r="KL12" s="39" t="s">
        <v>674</v>
      </c>
      <c r="KO12" s="39">
        <v>416.48</v>
      </c>
      <c r="KP12" s="39" t="s">
        <v>674</v>
      </c>
    </row>
    <row r="13" spans="1:303" s="39" customFormat="1" ht="16.5" hidden="1" customHeight="1" x14ac:dyDescent="0.35">
      <c r="B13" s="39" t="s">
        <v>686</v>
      </c>
      <c r="C13" s="39" t="s">
        <v>637</v>
      </c>
      <c r="D13" s="39" t="s">
        <v>666</v>
      </c>
      <c r="E13" s="39" t="s">
        <v>545</v>
      </c>
      <c r="F13" s="113" t="s">
        <v>687</v>
      </c>
      <c r="G13" s="3" t="s">
        <v>547</v>
      </c>
      <c r="H13" s="40">
        <v>7.0000000000000007E-2</v>
      </c>
      <c r="I13" s="40" t="s">
        <v>688</v>
      </c>
      <c r="J13" s="39" t="s">
        <v>689</v>
      </c>
      <c r="L13" s="42"/>
      <c r="U13" s="46"/>
      <c r="X13" s="8">
        <f t="shared" si="3"/>
        <v>3</v>
      </c>
      <c r="Y13" s="43"/>
      <c r="AC13" s="66"/>
      <c r="AD13" s="66"/>
      <c r="AE13" s="66"/>
      <c r="AO13" s="43"/>
      <c r="BD13" s="2">
        <f t="shared" si="5"/>
        <v>5</v>
      </c>
      <c r="BE13" s="8">
        <f t="shared" si="6"/>
        <v>0</v>
      </c>
      <c r="BL13" s="2">
        <f t="shared" si="7"/>
        <v>5</v>
      </c>
      <c r="BT13" s="8">
        <f t="shared" si="8"/>
        <v>1</v>
      </c>
      <c r="BU13" s="36"/>
      <c r="BV13" s="36"/>
      <c r="BW13" s="36"/>
      <c r="BX13" s="36"/>
      <c r="BY13" s="36"/>
      <c r="BZ13" s="47"/>
      <c r="CA13" s="36"/>
      <c r="CJ13" s="67"/>
      <c r="CK13" s="48"/>
      <c r="CO13" s="49"/>
      <c r="CV13" s="42"/>
      <c r="DA13" s="49"/>
      <c r="DB13" s="49"/>
      <c r="DD13" s="39" t="e">
        <f>IF(DE13="数据缺失",0,IF(DE13&lt;0,0,IF(DE13&lt;2,3,IF(DE13&lt;=5,1,2))))</f>
        <v>#DIV/0!</v>
      </c>
      <c r="DE13" s="69" t="e">
        <f t="shared" si="14"/>
        <v>#DIV/0!</v>
      </c>
      <c r="DM13" s="49"/>
      <c r="DN13" s="49"/>
      <c r="DU13" s="40"/>
      <c r="DY13" s="40"/>
      <c r="EC13" s="40"/>
      <c r="EG13" s="40"/>
      <c r="EK13" s="78"/>
      <c r="EO13" s="79"/>
      <c r="ER13" s="42"/>
      <c r="ES13" s="78"/>
      <c r="EW13" s="78"/>
      <c r="FM13" s="40"/>
      <c r="FP13" s="39">
        <f>44856.53+45253.33+85335.43+93556+80859.56+55893.26+114527+82003</f>
        <v>602284.11</v>
      </c>
      <c r="FQ13" s="40"/>
      <c r="FU13" s="40"/>
      <c r="FY13" s="40"/>
      <c r="GK13" s="43"/>
      <c r="GW13" s="43"/>
      <c r="HA13" s="48"/>
      <c r="HI13" s="43"/>
      <c r="HM13" s="48"/>
      <c r="HT13" s="36"/>
      <c r="HU13" s="36"/>
      <c r="HV13" s="36"/>
      <c r="HW13" s="36"/>
      <c r="HX13" s="36"/>
      <c r="HY13" s="36"/>
      <c r="IR13" s="42"/>
      <c r="IS13" s="43"/>
      <c r="JE13" s="43"/>
      <c r="KG13" s="43"/>
    </row>
    <row r="14" spans="1:303" s="39" customFormat="1" ht="16.5" hidden="1" customHeight="1" x14ac:dyDescent="0.35">
      <c r="B14" s="39" t="s">
        <v>686</v>
      </c>
      <c r="C14" s="39" t="s">
        <v>637</v>
      </c>
      <c r="D14" s="39" t="s">
        <v>666</v>
      </c>
      <c r="E14" s="39" t="s">
        <v>545</v>
      </c>
      <c r="F14" s="113" t="s">
        <v>687</v>
      </c>
      <c r="G14" s="3" t="s">
        <v>690</v>
      </c>
      <c r="H14" s="40">
        <v>5.8999999999999997E-2</v>
      </c>
      <c r="I14" s="40" t="s">
        <v>688</v>
      </c>
      <c r="J14" s="39" t="s">
        <v>689</v>
      </c>
      <c r="L14" s="42"/>
      <c r="U14" s="46"/>
      <c r="X14" s="8">
        <f t="shared" si="3"/>
        <v>3</v>
      </c>
      <c r="Y14" s="43"/>
      <c r="AO14" s="43"/>
      <c r="BD14" s="2">
        <f t="shared" si="5"/>
        <v>5</v>
      </c>
      <c r="BE14" s="8">
        <f t="shared" si="6"/>
        <v>0</v>
      </c>
      <c r="BL14" s="2">
        <f t="shared" si="7"/>
        <v>5</v>
      </c>
      <c r="BT14" s="8">
        <f t="shared" si="8"/>
        <v>1</v>
      </c>
      <c r="BU14" s="36"/>
      <c r="BV14" s="36"/>
      <c r="BW14" s="36"/>
      <c r="BX14" s="36"/>
      <c r="BY14" s="36"/>
      <c r="BZ14" s="47"/>
      <c r="CA14" s="36"/>
      <c r="CJ14" s="67"/>
      <c r="CK14" s="48"/>
      <c r="CO14" s="49"/>
      <c r="CV14" s="42"/>
      <c r="DA14" s="49"/>
      <c r="DB14" s="49"/>
      <c r="DD14" s="39" t="e">
        <f>IF(DE14="数据缺失",0,IF(DE14&lt;0,0,IF(DE14&lt;2,3,IF(DE14&lt;=5,1,2))))</f>
        <v>#DIV/0!</v>
      </c>
      <c r="DE14" s="69" t="e">
        <f t="shared" si="14"/>
        <v>#DIV/0!</v>
      </c>
      <c r="DM14" s="49"/>
      <c r="DN14" s="49"/>
      <c r="DU14" s="40"/>
      <c r="DY14" s="40"/>
      <c r="EC14" s="40"/>
      <c r="EG14" s="40"/>
      <c r="EK14" s="78"/>
      <c r="EO14" s="79"/>
      <c r="ER14" s="42"/>
      <c r="ES14" s="78"/>
      <c r="EW14" s="78"/>
      <c r="FJ14" s="59"/>
      <c r="FM14" s="40"/>
      <c r="FQ14" s="40"/>
      <c r="FU14" s="40"/>
      <c r="FY14" s="40"/>
      <c r="GK14" s="43"/>
      <c r="GW14" s="43"/>
      <c r="HA14" s="48"/>
      <c r="HI14" s="43"/>
      <c r="HM14" s="48"/>
      <c r="HT14" s="36"/>
      <c r="HU14" s="36"/>
      <c r="HV14" s="36"/>
      <c r="HW14" s="36"/>
      <c r="HX14" s="36"/>
      <c r="HY14" s="36"/>
      <c r="IR14" s="42"/>
      <c r="IS14" s="43"/>
      <c r="JE14" s="43"/>
      <c r="KG14" s="43"/>
    </row>
    <row r="15" spans="1:303" s="39" customFormat="1" ht="16.5" hidden="1" customHeight="1" x14ac:dyDescent="0.35">
      <c r="B15" s="39" t="s">
        <v>691</v>
      </c>
      <c r="C15" s="39" t="s">
        <v>637</v>
      </c>
      <c r="D15" s="39" t="s">
        <v>666</v>
      </c>
      <c r="E15" s="39" t="s">
        <v>545</v>
      </c>
      <c r="F15" s="113" t="s">
        <v>692</v>
      </c>
      <c r="G15" s="3" t="s">
        <v>690</v>
      </c>
      <c r="H15" s="40">
        <f>(220.82+3.44+8.06)/234.24</f>
        <v>0.99180327868852447</v>
      </c>
      <c r="I15" s="40"/>
      <c r="L15" s="42">
        <v>3</v>
      </c>
      <c r="M15" s="39" t="s">
        <v>693</v>
      </c>
      <c r="P15" s="39" t="s">
        <v>603</v>
      </c>
      <c r="Q15" s="39" t="s">
        <v>694</v>
      </c>
      <c r="R15" s="39" t="s">
        <v>695</v>
      </c>
      <c r="T15" s="39" t="s">
        <v>673</v>
      </c>
      <c r="U15" s="46">
        <v>1</v>
      </c>
      <c r="X15" s="8">
        <f t="shared" si="3"/>
        <v>4</v>
      </c>
      <c r="Y15" s="43">
        <f>((AC15-AG15)/AG15+(AG15-AK15)/AK15)/2*100%</f>
        <v>-3.114428447801117E-2</v>
      </c>
      <c r="AC15" s="39">
        <v>214</v>
      </c>
      <c r="AD15" s="39" t="s">
        <v>696</v>
      </c>
      <c r="AG15" s="39">
        <v>223</v>
      </c>
      <c r="AH15" s="39" t="s">
        <v>695</v>
      </c>
      <c r="AK15" s="39">
        <v>228</v>
      </c>
      <c r="AL15" s="39" t="s">
        <v>695</v>
      </c>
      <c r="AN15" s="39">
        <f>IF(AO15="数据缺失",0,IF(AO15&lt;-30%,6,IF(AO15&lt;-10%,5,IF(AO15&lt;0%,4,IF(AO15&lt;10%,3,IF(AO15&lt;30%,2,1))))))</f>
        <v>4</v>
      </c>
      <c r="AO15" s="43">
        <f>((AS15-AW15)/AW15+(AW15-BA15)/BA15)/2*100%</f>
        <v>-9.3020177657509265E-2</v>
      </c>
      <c r="AS15" s="39">
        <v>157</v>
      </c>
      <c r="AT15" s="39" t="s">
        <v>695</v>
      </c>
      <c r="AW15" s="39">
        <v>178</v>
      </c>
      <c r="AX15" s="39" t="s">
        <v>696</v>
      </c>
      <c r="BA15" s="39">
        <v>191</v>
      </c>
      <c r="BB15" s="39" t="s">
        <v>695</v>
      </c>
      <c r="BD15" s="2">
        <f t="shared" si="5"/>
        <v>3</v>
      </c>
      <c r="BE15" s="8">
        <f t="shared" si="6"/>
        <v>214</v>
      </c>
      <c r="BI15" s="39">
        <v>214</v>
      </c>
      <c r="BJ15" s="39" t="s">
        <v>695</v>
      </c>
      <c r="BL15" s="2">
        <f t="shared" si="7"/>
        <v>3</v>
      </c>
      <c r="BM15" s="39">
        <v>157</v>
      </c>
      <c r="BQ15" s="39">
        <v>157</v>
      </c>
      <c r="BR15" s="39" t="s">
        <v>695</v>
      </c>
      <c r="BT15" s="8">
        <f t="shared" si="8"/>
        <v>1</v>
      </c>
      <c r="BU15" s="36">
        <v>18</v>
      </c>
      <c r="BV15" s="36"/>
      <c r="BW15" s="36"/>
      <c r="BX15" s="36"/>
      <c r="BY15" s="36">
        <v>18</v>
      </c>
      <c r="BZ15" s="47" t="s">
        <v>697</v>
      </c>
      <c r="CA15" s="36"/>
      <c r="CB15" s="39">
        <v>1</v>
      </c>
      <c r="CC15" s="39" t="s">
        <v>553</v>
      </c>
      <c r="CF15" s="39" t="s">
        <v>553</v>
      </c>
      <c r="CG15" s="39" t="s">
        <v>698</v>
      </c>
      <c r="CH15" s="39" t="s">
        <v>699</v>
      </c>
      <c r="CJ15" s="67">
        <f t="shared" si="9"/>
        <v>2</v>
      </c>
      <c r="CK15" s="48">
        <f>CO15/CS15</f>
        <v>0.34616822429906541</v>
      </c>
      <c r="CO15" s="55">
        <v>74.08</v>
      </c>
      <c r="CP15" s="36" t="s">
        <v>696</v>
      </c>
      <c r="CQ15" s="36"/>
      <c r="CS15" s="39">
        <v>214</v>
      </c>
      <c r="CT15" s="39" t="s">
        <v>695</v>
      </c>
      <c r="CV15" s="42">
        <f t="shared" ref="CV15:CV29" si="15">IF(CW15="数据缺失",0,IF(CW15&lt;0,0,IF(CW15&lt;100,5,IF(CW15&lt;500,4,IF(CW15&lt;1000,3,IF(CW15&lt;2000,2,1))))))</f>
        <v>4</v>
      </c>
      <c r="CW15" s="182">
        <v>186.84</v>
      </c>
      <c r="CX15" s="160"/>
      <c r="CY15" s="160"/>
      <c r="CZ15" s="160"/>
      <c r="DA15" s="182">
        <v>186.84</v>
      </c>
      <c r="DB15" s="182" t="s">
        <v>2881</v>
      </c>
      <c r="DC15" s="198" t="s">
        <v>2882</v>
      </c>
      <c r="DD15" s="39">
        <f>IF(DE15="数据缺失",0,IF(DE15&lt;0,0,IF(DE15&lt;2,3,IF(DE15&lt;=5,1,2))))</f>
        <v>3</v>
      </c>
      <c r="DE15" s="69">
        <f t="shared" si="14"/>
        <v>1.190063694267516</v>
      </c>
      <c r="DI15" s="39">
        <v>157</v>
      </c>
      <c r="DJ15" s="39" t="s">
        <v>695</v>
      </c>
      <c r="DM15" s="182">
        <v>186.84</v>
      </c>
      <c r="DN15" s="182" t="s">
        <v>2881</v>
      </c>
      <c r="DO15" s="198" t="s">
        <v>2882</v>
      </c>
      <c r="DP15" s="39">
        <v>1</v>
      </c>
      <c r="DQ15" s="14" t="s">
        <v>700</v>
      </c>
      <c r="DR15" s="6" t="s">
        <v>2881</v>
      </c>
      <c r="DU15" s="40" t="s">
        <v>573</v>
      </c>
      <c r="DY15" s="40" t="s">
        <v>573</v>
      </c>
      <c r="EC15" s="40" t="s">
        <v>573</v>
      </c>
      <c r="EG15" s="40" t="s">
        <v>573</v>
      </c>
      <c r="EJ15" s="42">
        <f>IF(EK15="数据缺失",0,IF(EK15&lt;0%,0,IF(EK15&lt;=5%,5,IF(EK15&lt;=20%,4,IF(EK15&lt;=50%,3,IF(EK15&lt;=100,2,1))))))</f>
        <v>1</v>
      </c>
      <c r="EK15" s="39">
        <f>266+46</f>
        <v>312</v>
      </c>
      <c r="EO15" s="39">
        <f>266+46</f>
        <v>312</v>
      </c>
      <c r="EP15" s="39" t="s">
        <v>695</v>
      </c>
      <c r="ER15" s="42">
        <f>IF(ES15="数据缺失",0,IF(ES15&lt;0%,0,IF(ES15&lt;=5%,5,IF(ES15&lt;=20%,4,IF(ES15&lt;=50%,3,IF(ES15&lt;=100,2,1))))))</f>
        <v>1</v>
      </c>
      <c r="ES15" s="39">
        <f>183+17</f>
        <v>200</v>
      </c>
      <c r="EW15" s="39">
        <f>183+17</f>
        <v>200</v>
      </c>
      <c r="EX15" s="39" t="s">
        <v>695</v>
      </c>
      <c r="EZ15" s="182">
        <f>IF(FA15="数据缺失",0,IF(FA15&lt;0%,0,IF(FA15&lt;=50,4,IF(FA15&lt;100,3,IF(FA15&lt;200,2,1)))))</f>
        <v>1</v>
      </c>
      <c r="FA15" s="182">
        <f>FE15</f>
        <v>781.99</v>
      </c>
      <c r="FB15" s="182"/>
      <c r="FC15" s="182"/>
      <c r="FD15" s="182"/>
      <c r="FE15" s="182">
        <v>781.99</v>
      </c>
      <c r="FF15" s="182" t="s">
        <v>1239</v>
      </c>
      <c r="FG15" s="182" t="s">
        <v>2883</v>
      </c>
      <c r="FH15" s="182">
        <v>3</v>
      </c>
      <c r="FI15" s="182" t="s">
        <v>2884</v>
      </c>
      <c r="FJ15" s="182" t="s">
        <v>1239</v>
      </c>
      <c r="FK15" s="182" t="s">
        <v>2883</v>
      </c>
      <c r="FL15" s="182"/>
      <c r="FM15" s="199">
        <v>0.24299999999999999</v>
      </c>
      <c r="FN15" s="182" t="s">
        <v>2885</v>
      </c>
      <c r="FO15" s="182"/>
      <c r="FP15" s="182"/>
      <c r="FQ15" s="199">
        <v>0.36680000000000001</v>
      </c>
      <c r="FR15" s="182" t="s">
        <v>1239</v>
      </c>
      <c r="FS15" s="182"/>
      <c r="FT15" s="182"/>
      <c r="FU15" s="199">
        <v>0.39019999999999999</v>
      </c>
      <c r="FV15" s="182" t="s">
        <v>1239</v>
      </c>
      <c r="FW15" s="182"/>
      <c r="FX15" s="182"/>
      <c r="FY15" s="200">
        <v>0</v>
      </c>
      <c r="FZ15" s="182" t="s">
        <v>1239</v>
      </c>
      <c r="GA15" s="243"/>
      <c r="GB15" s="39">
        <v>2</v>
      </c>
      <c r="GC15" s="39" t="s">
        <v>701</v>
      </c>
      <c r="GG15" s="39" t="s">
        <v>701</v>
      </c>
      <c r="GH15" s="39" t="s">
        <v>695</v>
      </c>
      <c r="GJ15" s="39">
        <v>4</v>
      </c>
      <c r="GK15" s="43">
        <f>GN15/GS15</f>
        <v>4.9094945355191252E-2</v>
      </c>
      <c r="GN15" s="39">
        <v>11.5</v>
      </c>
      <c r="GO15" s="39" t="s">
        <v>702</v>
      </c>
      <c r="GP15" s="39" t="s">
        <v>695</v>
      </c>
      <c r="GS15" s="51">
        <v>234.24</v>
      </c>
      <c r="GT15" s="39" t="s">
        <v>695</v>
      </c>
      <c r="GV15" s="39">
        <f>IF(GW15="数据缺失",0,IF(GW15&lt;20%,1,IF(GW15&lt;40%,2,IF(GW15&lt;60%,3,IF(GW15&lt;80%,4,IF(GW15&lt;=100%,5,0))))))</f>
        <v>1</v>
      </c>
      <c r="GW15" s="43">
        <f>HA15/HE15*100%</f>
        <v>8.8718342287029933E-2</v>
      </c>
      <c r="HA15" s="48">
        <v>104.04</v>
      </c>
      <c r="HB15" s="39" t="s">
        <v>615</v>
      </c>
      <c r="HE15" s="39">
        <v>1172.7</v>
      </c>
      <c r="HF15" s="39" t="s">
        <v>615</v>
      </c>
      <c r="HH15" s="39">
        <v>1</v>
      </c>
      <c r="HI15" s="43">
        <f t="shared" ref="HI15:HI21" si="16">HM15/HQ15</f>
        <v>4.7273649505452701E-2</v>
      </c>
      <c r="HM15" s="48">
        <v>9.32</v>
      </c>
      <c r="HN15" s="39" t="s">
        <v>615</v>
      </c>
      <c r="HQ15" s="39">
        <v>197.15</v>
      </c>
      <c r="HR15" s="39" t="s">
        <v>615</v>
      </c>
      <c r="HT15" s="6">
        <f>IF(HU15="数据缺失",0,IF(HU15&lt;5%,4,IF(HU15&lt;=10%,3,IF(HU15&lt;30%,2,IF(HU15&lt;=100%,1,0)))))</f>
        <v>0</v>
      </c>
      <c r="HU15" s="171" t="s">
        <v>2855</v>
      </c>
      <c r="HV15" s="6"/>
      <c r="HW15" s="6"/>
      <c r="HX15" s="6"/>
      <c r="HY15" s="6" t="s">
        <v>2855</v>
      </c>
      <c r="IC15" s="69">
        <v>205.72729300770001</v>
      </c>
      <c r="ID15" s="39" t="s">
        <v>615</v>
      </c>
      <c r="IF15" s="39">
        <v>3</v>
      </c>
      <c r="IG15" s="39" t="s">
        <v>703</v>
      </c>
      <c r="IJ15" s="39" t="s">
        <v>632</v>
      </c>
      <c r="IK15" s="39" t="s">
        <v>632</v>
      </c>
      <c r="IL15" s="39" t="s">
        <v>597</v>
      </c>
      <c r="IN15" s="39" t="s">
        <v>617</v>
      </c>
      <c r="IO15" s="39" t="s">
        <v>704</v>
      </c>
      <c r="IP15" s="39" t="s">
        <v>597</v>
      </c>
      <c r="IR15" s="42">
        <v>0</v>
      </c>
      <c r="IS15" s="43" t="s">
        <v>573</v>
      </c>
      <c r="IW15" s="39" t="s">
        <v>573</v>
      </c>
      <c r="JA15" s="39">
        <v>192.53</v>
      </c>
      <c r="JB15" s="39" t="s">
        <v>615</v>
      </c>
      <c r="JD15" s="160">
        <f>IF(JE15="数据缺失",0,IF(JE15&lt;0%,0,IF(JE15&lt;4%,1,IF(JE15&lt;6%,2,IF(JE15&lt;8%,3,4)))))</f>
        <v>4</v>
      </c>
      <c r="JE15" s="161">
        <f>JI15/JM15/(JQ15+JU15)*2</f>
        <v>8.1966265627446522E-2</v>
      </c>
      <c r="JF15" s="160"/>
      <c r="JG15" s="160"/>
      <c r="JH15" s="160"/>
      <c r="JI15" s="160">
        <v>50.7</v>
      </c>
      <c r="JJ15" s="160" t="s">
        <v>2829</v>
      </c>
      <c r="JK15" s="160"/>
      <c r="JL15" s="160"/>
      <c r="JM15" s="160">
        <v>1.27</v>
      </c>
      <c r="JN15" s="160" t="s">
        <v>2829</v>
      </c>
      <c r="JO15" s="160"/>
      <c r="JP15" s="160"/>
      <c r="JQ15" s="160">
        <v>502.82</v>
      </c>
      <c r="JR15" s="160" t="s">
        <v>2829</v>
      </c>
      <c r="JU15" s="39">
        <v>471.27</v>
      </c>
      <c r="JV15" s="39" t="s">
        <v>695</v>
      </c>
      <c r="JX15" s="39">
        <v>2</v>
      </c>
      <c r="JY15" s="39" t="s">
        <v>705</v>
      </c>
      <c r="KB15" s="39">
        <v>10</v>
      </c>
      <c r="KC15" s="39" t="s">
        <v>705</v>
      </c>
      <c r="KD15" s="39" t="s">
        <v>695</v>
      </c>
      <c r="KF15" s="39">
        <f>IF(KG15="数据缺失",0,IF(KG15&lt;0%,0,IF(KG15&lt;20%,1,IF(KG15&lt;50%,2,IF(KG15&lt;100%,3,4)))))</f>
        <v>2</v>
      </c>
      <c r="KG15" s="43">
        <f t="shared" ref="KG15:KG21" si="17">KK15/KO15</f>
        <v>0.35672362748662551</v>
      </c>
      <c r="KK15" s="39">
        <v>68.680000000000007</v>
      </c>
      <c r="KL15" s="39" t="s">
        <v>615</v>
      </c>
      <c r="KO15" s="39">
        <v>192.53</v>
      </c>
      <c r="KP15" s="39" t="s">
        <v>615</v>
      </c>
    </row>
    <row r="16" spans="1:303" s="39" customFormat="1" ht="16.5" hidden="1" customHeight="1" x14ac:dyDescent="0.35">
      <c r="B16" s="39" t="s">
        <v>691</v>
      </c>
      <c r="C16" s="39" t="s">
        <v>637</v>
      </c>
      <c r="D16" s="39" t="s">
        <v>666</v>
      </c>
      <c r="E16" s="39" t="s">
        <v>545</v>
      </c>
      <c r="F16" s="113" t="s">
        <v>706</v>
      </c>
      <c r="G16" s="3" t="s">
        <v>707</v>
      </c>
      <c r="H16" s="40">
        <v>0.98599999999999999</v>
      </c>
      <c r="L16" s="42">
        <v>3</v>
      </c>
      <c r="M16" s="39" t="s">
        <v>693</v>
      </c>
      <c r="P16" s="39" t="s">
        <v>603</v>
      </c>
      <c r="Q16" s="39" t="s">
        <v>694</v>
      </c>
      <c r="R16" s="39" t="s">
        <v>708</v>
      </c>
      <c r="T16" s="39" t="s">
        <v>709</v>
      </c>
      <c r="U16" s="44">
        <v>1</v>
      </c>
      <c r="X16" s="8">
        <f t="shared" si="3"/>
        <v>1</v>
      </c>
      <c r="Y16" s="43">
        <f>((AC16-AG16)/AG16+(AG16-AK16)/AK16)/2*100%</f>
        <v>0.48903508771929827</v>
      </c>
      <c r="AC16" s="39">
        <v>223</v>
      </c>
      <c r="AD16" s="39" t="s">
        <v>708</v>
      </c>
      <c r="AG16" s="39">
        <f>211+17</f>
        <v>228</v>
      </c>
      <c r="AH16" s="39" t="s">
        <v>708</v>
      </c>
      <c r="AK16" s="39">
        <f>102+12</f>
        <v>114</v>
      </c>
      <c r="AL16" s="39" t="s">
        <v>708</v>
      </c>
      <c r="AN16" s="39">
        <f>IF(AO16="数据缺失",0,IF(AO16&lt;-30%,6,IF(AO16&lt;-10%,5,IF(AO16&lt;0%,4,IF(AO16&lt;10%,3,IF(AO16&lt;30%,2,1))))))</f>
        <v>1</v>
      </c>
      <c r="AO16" s="43">
        <f>((AS16-AW16)/AW16+(AW16-BA16)/BA16)/2*100%</f>
        <v>0.59002155836156456</v>
      </c>
      <c r="AS16" s="39">
        <f>136.3+41.9</f>
        <v>178.20000000000002</v>
      </c>
      <c r="AT16" s="39" t="s">
        <v>708</v>
      </c>
      <c r="AW16" s="39">
        <f>170+21</f>
        <v>191</v>
      </c>
      <c r="AX16" s="39" t="s">
        <v>708</v>
      </c>
      <c r="BA16" s="39">
        <f>67+18</f>
        <v>85</v>
      </c>
      <c r="BB16" s="39" t="s">
        <v>708</v>
      </c>
      <c r="BD16" s="2">
        <f t="shared" si="5"/>
        <v>3</v>
      </c>
      <c r="BE16" s="8">
        <f t="shared" si="6"/>
        <v>223</v>
      </c>
      <c r="BI16" s="39">
        <f>AC16</f>
        <v>223</v>
      </c>
      <c r="BJ16" s="39" t="s">
        <v>708</v>
      </c>
      <c r="BL16" s="2">
        <f t="shared" si="7"/>
        <v>3</v>
      </c>
      <c r="BM16" s="39">
        <v>178.2</v>
      </c>
      <c r="BQ16" s="39">
        <f>AS16</f>
        <v>178.20000000000002</v>
      </c>
      <c r="BR16" s="39" t="s">
        <v>708</v>
      </c>
      <c r="BT16" s="8">
        <f t="shared" si="8"/>
        <v>2</v>
      </c>
      <c r="BU16" s="36">
        <v>23</v>
      </c>
      <c r="BV16" s="36"/>
      <c r="BW16" s="36"/>
      <c r="BX16" s="36"/>
      <c r="BY16" s="36">
        <v>23</v>
      </c>
      <c r="BZ16" s="47" t="s">
        <v>710</v>
      </c>
      <c r="CA16" s="36"/>
      <c r="CB16" s="39">
        <v>1</v>
      </c>
      <c r="CC16" s="39" t="s">
        <v>553</v>
      </c>
      <c r="CF16" s="39" t="s">
        <v>711</v>
      </c>
      <c r="CG16" s="39" t="s">
        <v>698</v>
      </c>
      <c r="CH16" s="39" t="s">
        <v>699</v>
      </c>
      <c r="CJ16" s="67">
        <f t="shared" si="9"/>
        <v>2</v>
      </c>
      <c r="CK16" s="69">
        <f>CO16/CS16</f>
        <v>1.1470852017937221</v>
      </c>
      <c r="CO16" s="36">
        <v>255.8</v>
      </c>
      <c r="CP16" s="36" t="s">
        <v>712</v>
      </c>
      <c r="CQ16" s="36"/>
      <c r="CS16" s="39">
        <f>AC16</f>
        <v>223</v>
      </c>
      <c r="CT16" s="39" t="s">
        <v>708</v>
      </c>
      <c r="CV16" s="42">
        <f t="shared" si="15"/>
        <v>2</v>
      </c>
      <c r="CW16" s="36">
        <f>DA16</f>
        <v>1321.23</v>
      </c>
      <c r="CX16" s="36" t="s">
        <v>712</v>
      </c>
      <c r="CY16" s="36"/>
      <c r="CZ16" s="36"/>
      <c r="DA16" s="36">
        <v>1321.23</v>
      </c>
      <c r="DB16" s="36" t="s">
        <v>713</v>
      </c>
      <c r="DD16" s="39">
        <f>IF(DE16="数据缺失",0,IF(DE16&lt;0,0,IF(DE16&lt;2,3,IF(DE16&lt;=5,1,2))))</f>
        <v>2</v>
      </c>
      <c r="DE16" s="69">
        <f t="shared" si="14"/>
        <v>7.4143097643097633</v>
      </c>
      <c r="DI16" s="39">
        <f>AS16</f>
        <v>178.20000000000002</v>
      </c>
      <c r="DJ16" s="39" t="s">
        <v>708</v>
      </c>
      <c r="DM16" s="36">
        <v>1321.23</v>
      </c>
      <c r="DN16" s="36" t="s">
        <v>712</v>
      </c>
      <c r="DP16" s="39">
        <v>5</v>
      </c>
      <c r="DQ16" s="14" t="s">
        <v>714</v>
      </c>
      <c r="DR16" s="36" t="s">
        <v>713</v>
      </c>
      <c r="DU16" s="40" t="s">
        <v>573</v>
      </c>
      <c r="DY16" s="40" t="s">
        <v>573</v>
      </c>
      <c r="EC16" s="40" t="s">
        <v>573</v>
      </c>
      <c r="EG16" s="40" t="s">
        <v>573</v>
      </c>
      <c r="EJ16" s="42">
        <f>IF(EK16="数据缺失",0,IF(EK16&lt;0%,0,IF(EK16&lt;=5%,5,IF(EK16&lt;=20%,4,IF(EK16&lt;=50%,3,IF(EK16&lt;=100,2,1))))))</f>
        <v>1</v>
      </c>
      <c r="EK16" s="39">
        <f>EO16</f>
        <v>226.3</v>
      </c>
      <c r="EO16" s="39">
        <f>171.1+55.2</f>
        <v>226.3</v>
      </c>
      <c r="EP16" s="39" t="s">
        <v>708</v>
      </c>
      <c r="ER16" s="42">
        <f>IF(ES16="数据缺失",0,IF(ES16&lt;0%,0,IF(ES16&lt;=5%,5,IF(ES16&lt;=20%,4,IF(ES16&lt;=50%,3,IF(ES16&lt;=100,2,1))))))</f>
        <v>1</v>
      </c>
      <c r="ES16" s="39">
        <f>EW16</f>
        <v>230.39999999999998</v>
      </c>
      <c r="EW16" s="39">
        <f>188.6+41.8</f>
        <v>230.39999999999998</v>
      </c>
      <c r="EX16" s="39" t="s">
        <v>708</v>
      </c>
      <c r="EZ16" s="39">
        <v>0</v>
      </c>
      <c r="FA16" s="39" t="s">
        <v>573</v>
      </c>
      <c r="FE16" s="39" t="s">
        <v>573</v>
      </c>
      <c r="FH16" s="67">
        <v>2</v>
      </c>
      <c r="FI16" s="67" t="s">
        <v>715</v>
      </c>
      <c r="FJ16" s="39" t="s">
        <v>708</v>
      </c>
      <c r="FM16" s="39" t="s">
        <v>37</v>
      </c>
      <c r="FQ16" s="39" t="s">
        <v>37</v>
      </c>
      <c r="FU16" s="39" t="s">
        <v>37</v>
      </c>
      <c r="FY16" s="39" t="s">
        <v>37</v>
      </c>
      <c r="GB16" s="39">
        <v>2</v>
      </c>
      <c r="GC16" s="39" t="s">
        <v>716</v>
      </c>
      <c r="GG16" s="39" t="s">
        <v>716</v>
      </c>
      <c r="GH16" s="39" t="s">
        <v>708</v>
      </c>
      <c r="GJ16" s="39">
        <v>4</v>
      </c>
      <c r="GK16" s="40">
        <f>GN16/GS16</f>
        <v>4.9378200438917337E-2</v>
      </c>
      <c r="GN16" s="39">
        <v>9.4499999999999993</v>
      </c>
      <c r="GO16" s="39" t="s">
        <v>717</v>
      </c>
      <c r="GP16" s="39" t="s">
        <v>708</v>
      </c>
      <c r="GS16" s="39">
        <v>191.38</v>
      </c>
      <c r="GT16" s="39" t="s">
        <v>681</v>
      </c>
      <c r="GV16" s="39">
        <f>IF(GW16="数据缺失",0,IF(GW16&lt;20%,1,IF(GW16&lt;40%,2,IF(GW16&lt;60%,3,IF(GW16&lt;80%,4,IF(GW16&lt;=100%,5,0))))))</f>
        <v>1</v>
      </c>
      <c r="GW16" s="43">
        <f>HA16/HE16</f>
        <v>0.10982920279568531</v>
      </c>
      <c r="HA16" s="48">
        <v>121.47</v>
      </c>
      <c r="HB16" s="39" t="s">
        <v>708</v>
      </c>
      <c r="HE16" s="39">
        <v>1105.99</v>
      </c>
      <c r="HF16" s="39" t="s">
        <v>708</v>
      </c>
      <c r="HH16" s="39">
        <f t="shared" ref="HH16:HH21" si="18">IF(HI16="数据缺失",0,IF(HI16&lt;20%,1,IF(HI16&lt;40%,2,IF(HI16&lt;60%,3,IF(HI16&lt;80%,4,IF(HI16&lt;=100%,5,0))))))</f>
        <v>1</v>
      </c>
      <c r="HI16" s="43">
        <f t="shared" si="16"/>
        <v>4.4095358876752838E-2</v>
      </c>
      <c r="HM16" s="48">
        <v>9.2450329420999999</v>
      </c>
      <c r="HN16" s="39" t="s">
        <v>681</v>
      </c>
      <c r="HQ16" s="39">
        <v>209.66</v>
      </c>
      <c r="HR16" s="39" t="s">
        <v>681</v>
      </c>
      <c r="HT16" s="39">
        <v>1</v>
      </c>
      <c r="HU16" s="40">
        <f>HY16/IC16</f>
        <v>0.29372173730150386</v>
      </c>
      <c r="HY16" s="39">
        <v>83.79</v>
      </c>
      <c r="HZ16" s="39" t="s">
        <v>681</v>
      </c>
      <c r="IC16" s="39">
        <v>285.27</v>
      </c>
      <c r="ID16" s="39" t="s">
        <v>681</v>
      </c>
      <c r="IR16" s="42">
        <v>1</v>
      </c>
      <c r="IS16" s="40">
        <f>IW16/JA16</f>
        <v>3.7244955472889187</v>
      </c>
      <c r="IW16" s="71">
        <v>660.8</v>
      </c>
      <c r="IX16" s="39" t="s">
        <v>597</v>
      </c>
      <c r="IY16" s="39" t="s">
        <v>718</v>
      </c>
      <c r="JA16" s="39">
        <v>177.42</v>
      </c>
      <c r="JB16" s="39" t="s">
        <v>681</v>
      </c>
      <c r="JD16" s="39">
        <f>IF(JE16="数据缺失",0,IF(JE16&lt;0%,0,IF(JE16&lt;4%,1,IF(JE16&lt;6%,2,IF(JE16&lt;8%,3,4)))))</f>
        <v>4</v>
      </c>
      <c r="JE16" s="43">
        <f>JI16/JM16/(JQ16+JU16)*2</f>
        <v>8.2581397325820038E-2</v>
      </c>
      <c r="JI16" s="39">
        <v>40.46</v>
      </c>
      <c r="JJ16" s="39" t="s">
        <v>708</v>
      </c>
      <c r="JM16" s="39">
        <v>1.19</v>
      </c>
      <c r="JN16" s="39" t="s">
        <v>708</v>
      </c>
      <c r="JQ16" s="39">
        <v>471.27</v>
      </c>
      <c r="JR16" s="39" t="s">
        <v>708</v>
      </c>
      <c r="JU16" s="39">
        <v>352.16</v>
      </c>
      <c r="JV16" s="39" t="s">
        <v>708</v>
      </c>
      <c r="JX16" s="39">
        <v>2</v>
      </c>
      <c r="JY16" s="39" t="s">
        <v>719</v>
      </c>
      <c r="KB16" s="39">
        <v>12</v>
      </c>
      <c r="KC16" s="39" t="s">
        <v>719</v>
      </c>
      <c r="KD16" s="39" t="s">
        <v>708</v>
      </c>
      <c r="KF16" s="39">
        <f>IF(KG16="数据缺失",0,IF(KG16&lt;0%,0,IF(KG16&lt;20%,1,IF(KG16&lt;50%,2,IF(KG16&lt;100%,3,4)))))</f>
        <v>2</v>
      </c>
      <c r="KG16" s="40">
        <f t="shared" si="17"/>
        <v>0.44531908465787395</v>
      </c>
      <c r="KK16" s="69">
        <v>79.008511999999996</v>
      </c>
      <c r="KL16" s="39" t="s">
        <v>681</v>
      </c>
      <c r="KO16" s="39">
        <v>177.42</v>
      </c>
      <c r="KP16" s="39" t="s">
        <v>681</v>
      </c>
    </row>
    <row r="17" spans="2:302" s="39" customFormat="1" ht="16.5" customHeight="1" x14ac:dyDescent="0.35">
      <c r="B17" s="39" t="s">
        <v>720</v>
      </c>
      <c r="C17" s="39" t="s">
        <v>637</v>
      </c>
      <c r="D17" s="39" t="s">
        <v>666</v>
      </c>
      <c r="E17" s="39" t="s">
        <v>545</v>
      </c>
      <c r="F17" s="36" t="s">
        <v>721</v>
      </c>
      <c r="G17" s="3" t="s">
        <v>690</v>
      </c>
      <c r="H17" s="40">
        <f>18.75/19.12</f>
        <v>0.98064853556485354</v>
      </c>
      <c r="L17" s="42">
        <v>4</v>
      </c>
      <c r="M17" s="36" t="s">
        <v>1236</v>
      </c>
      <c r="P17" s="39" t="s">
        <v>722</v>
      </c>
      <c r="Q17" s="39" t="s">
        <v>723</v>
      </c>
      <c r="R17" s="39" t="s">
        <v>724</v>
      </c>
      <c r="T17" s="116" t="s">
        <v>129</v>
      </c>
      <c r="U17" s="117">
        <v>0.2571</v>
      </c>
      <c r="X17" s="8">
        <f t="shared" si="3"/>
        <v>6</v>
      </c>
      <c r="Y17" s="43">
        <f>((AC17-AG17)/AG17+(AG17-AK17)/AK17)/2*100%</f>
        <v>-0.39183753599162374</v>
      </c>
      <c r="AC17" s="39">
        <v>11.18</v>
      </c>
      <c r="AD17" s="39" t="s">
        <v>724</v>
      </c>
      <c r="AG17" s="78">
        <v>31.4</v>
      </c>
      <c r="AH17" s="39" t="s">
        <v>724</v>
      </c>
      <c r="AK17" s="78">
        <v>36.5</v>
      </c>
      <c r="AL17" s="39" t="s">
        <v>724</v>
      </c>
      <c r="AN17" s="39">
        <f>IF(AO17="数据缺失",0,IF(AO17&lt;-30%,6,IF(AO17&lt;-10%,5,IF(AO17&lt;0%,4,IF(AO17&lt;10%,3,IF(AO17&lt;30%,2,1))))))</f>
        <v>6</v>
      </c>
      <c r="AO17" s="43">
        <f>((AS17-AW17)/AW17+(AW17-BA17)/BA17)/2*100%</f>
        <v>-0.44870793566852052</v>
      </c>
      <c r="AS17" s="39">
        <v>7.26</v>
      </c>
      <c r="AT17" s="39" t="s">
        <v>724</v>
      </c>
      <c r="AW17" s="39">
        <v>20.95</v>
      </c>
      <c r="AX17" s="39" t="s">
        <v>724</v>
      </c>
      <c r="BA17" s="39">
        <v>27.71</v>
      </c>
      <c r="BB17" s="39" t="s">
        <v>724</v>
      </c>
      <c r="BD17" s="2">
        <f t="shared" si="5"/>
        <v>5</v>
      </c>
      <c r="BE17" s="8">
        <f t="shared" si="6"/>
        <v>11.18</v>
      </c>
      <c r="BI17" s="39">
        <v>11.18</v>
      </c>
      <c r="BJ17" s="39" t="s">
        <v>724</v>
      </c>
      <c r="BL17" s="2">
        <f t="shared" si="7"/>
        <v>5</v>
      </c>
      <c r="BM17" s="39">
        <v>7.26</v>
      </c>
      <c r="BQ17" s="39">
        <v>7.26</v>
      </c>
      <c r="BR17" s="39" t="s">
        <v>724</v>
      </c>
      <c r="BT17" s="8">
        <f t="shared" si="8"/>
        <v>3</v>
      </c>
      <c r="BU17" s="36">
        <v>249</v>
      </c>
      <c r="BV17" s="36"/>
      <c r="BW17" s="36"/>
      <c r="BX17" s="36"/>
      <c r="BY17" s="36">
        <v>249</v>
      </c>
      <c r="BZ17" s="47" t="s">
        <v>398</v>
      </c>
      <c r="CA17" s="36"/>
      <c r="CB17" s="39">
        <v>1</v>
      </c>
      <c r="CC17" s="39" t="s">
        <v>553</v>
      </c>
      <c r="CF17" s="39" t="s">
        <v>553</v>
      </c>
      <c r="CG17" s="39" t="s">
        <v>698</v>
      </c>
      <c r="CH17" s="39" t="s">
        <v>360</v>
      </c>
      <c r="CJ17" s="67">
        <f t="shared" si="9"/>
        <v>2</v>
      </c>
      <c r="CK17" s="53">
        <f>CO17/CS17</f>
        <v>0.55277280858676203</v>
      </c>
      <c r="CL17" s="36"/>
      <c r="CM17" s="36"/>
      <c r="CN17" s="36"/>
      <c r="CO17" s="55">
        <v>6.18</v>
      </c>
      <c r="CP17" s="36" t="s">
        <v>724</v>
      </c>
      <c r="CS17" s="39">
        <v>11.18</v>
      </c>
      <c r="CT17" s="39" t="s">
        <v>724</v>
      </c>
      <c r="CV17" s="42">
        <f t="shared" si="15"/>
        <v>4</v>
      </c>
      <c r="CW17" s="36">
        <v>135.41</v>
      </c>
      <c r="CX17" s="36"/>
      <c r="CY17" s="36"/>
      <c r="CZ17" s="36"/>
      <c r="DA17" s="36">
        <v>135.41</v>
      </c>
      <c r="DB17" s="36" t="s">
        <v>615</v>
      </c>
      <c r="DC17" s="36" t="s">
        <v>726</v>
      </c>
      <c r="DD17" s="36">
        <v>2</v>
      </c>
      <c r="DE17" s="38">
        <f t="shared" si="14"/>
        <v>18.651515151515152</v>
      </c>
      <c r="DF17" s="36"/>
      <c r="DI17" s="39">
        <v>7.26</v>
      </c>
      <c r="DJ17" s="39" t="s">
        <v>724</v>
      </c>
      <c r="DM17" s="36">
        <v>135.41</v>
      </c>
      <c r="DN17" s="36" t="s">
        <v>615</v>
      </c>
      <c r="DO17" s="36" t="s">
        <v>726</v>
      </c>
      <c r="DP17" s="36">
        <v>4</v>
      </c>
      <c r="DQ17" s="39" t="s">
        <v>727</v>
      </c>
      <c r="DU17" s="40">
        <v>0.14219999999999999</v>
      </c>
      <c r="DV17" s="36" t="s">
        <v>615</v>
      </c>
      <c r="DY17" s="40">
        <v>0.34839999999999999</v>
      </c>
      <c r="DZ17" s="36" t="s">
        <v>615</v>
      </c>
      <c r="EC17" s="40">
        <v>0.50939999999999996</v>
      </c>
      <c r="ED17" s="36" t="s">
        <v>615</v>
      </c>
      <c r="EG17" s="44">
        <v>0</v>
      </c>
      <c r="EH17" s="36" t="s">
        <v>615</v>
      </c>
      <c r="EJ17" s="39">
        <f>IF(EK17="数据缺失",0,IF(EK17&lt;0%,0,IF(EK17&lt;=5%,5,IF(EK17&lt;=20%,4,IF(EK17&lt;=50%,3,IF(EK17&lt;=100,2,1))))))</f>
        <v>2</v>
      </c>
      <c r="EK17" s="39">
        <f>EO17</f>
        <v>21.01</v>
      </c>
      <c r="EO17" s="39">
        <v>21.01</v>
      </c>
      <c r="EP17" s="39" t="s">
        <v>724</v>
      </c>
      <c r="ER17" s="42">
        <f>IF(ES17="数据缺失",0,IF(ES17&lt;0%,0,IF(ES17&lt;=5%,5,IF(ES17&lt;=20%,4,IF(ES17&lt;=50%,3,IF(ES17&lt;=100,2,1))))))</f>
        <v>2</v>
      </c>
      <c r="ES17" s="39">
        <f>EW17</f>
        <v>29.06</v>
      </c>
      <c r="EW17" s="39">
        <v>29.06</v>
      </c>
      <c r="EX17" s="39" t="s">
        <v>724</v>
      </c>
      <c r="EZ17" s="36">
        <v>3</v>
      </c>
      <c r="FA17" s="36">
        <v>52.03</v>
      </c>
      <c r="FB17" s="36"/>
      <c r="FC17" s="36"/>
      <c r="FD17" s="36"/>
      <c r="FE17" s="36">
        <v>52.03</v>
      </c>
      <c r="FF17" s="36" t="s">
        <v>615</v>
      </c>
      <c r="FH17" s="39">
        <v>2</v>
      </c>
      <c r="FI17" s="39" t="s">
        <v>728</v>
      </c>
      <c r="FJ17" s="36" t="s">
        <v>615</v>
      </c>
      <c r="FM17" s="39" t="s">
        <v>573</v>
      </c>
      <c r="FQ17" s="39" t="s">
        <v>573</v>
      </c>
      <c r="FU17" s="39" t="s">
        <v>573</v>
      </c>
      <c r="FY17" s="39" t="s">
        <v>573</v>
      </c>
      <c r="GB17" s="39">
        <v>2</v>
      </c>
      <c r="GC17" s="39" t="s">
        <v>729</v>
      </c>
      <c r="GG17" s="39" t="s">
        <v>729</v>
      </c>
      <c r="GH17" s="39" t="s">
        <v>724</v>
      </c>
      <c r="GJ17" s="39">
        <v>3</v>
      </c>
      <c r="GK17" s="40">
        <f>GN17/GS17</f>
        <v>9.3096234309623424E-2</v>
      </c>
      <c r="GN17" s="39">
        <v>1.78</v>
      </c>
      <c r="GO17" s="39" t="s">
        <v>730</v>
      </c>
      <c r="GP17" s="39" t="s">
        <v>724</v>
      </c>
      <c r="GS17" s="39">
        <v>19.12</v>
      </c>
      <c r="GT17" s="39" t="s">
        <v>615</v>
      </c>
      <c r="GV17" s="39">
        <v>0</v>
      </c>
      <c r="GW17" s="43" t="s">
        <v>573</v>
      </c>
      <c r="HA17" s="48" t="s">
        <v>573</v>
      </c>
      <c r="HE17" s="39">
        <v>142.31</v>
      </c>
      <c r="HF17" s="39" t="s">
        <v>615</v>
      </c>
      <c r="HH17" s="39">
        <f t="shared" si="18"/>
        <v>1</v>
      </c>
      <c r="HI17" s="43">
        <f t="shared" si="16"/>
        <v>6.5594855305466229E-2</v>
      </c>
      <c r="HM17" s="39">
        <v>1.02</v>
      </c>
      <c r="HN17" s="39" t="s">
        <v>615</v>
      </c>
      <c r="HQ17" s="39">
        <v>15.55</v>
      </c>
      <c r="HR17" s="39" t="s">
        <v>615</v>
      </c>
      <c r="HT17" s="39">
        <v>4</v>
      </c>
      <c r="HU17" s="39">
        <v>0</v>
      </c>
      <c r="HY17" s="39">
        <v>0</v>
      </c>
      <c r="HZ17" s="36" t="s">
        <v>615</v>
      </c>
      <c r="IC17" s="39">
        <v>28.6</v>
      </c>
      <c r="ID17" s="39" t="s">
        <v>615</v>
      </c>
      <c r="IR17" s="42">
        <f>IF(IS17="数据缺失",0,IF(IS17&lt;0%,0,IF(IS17&lt;=100%,4,IF(IS17&lt;200%,3,IF(IS17&lt;300%,2,1)))))</f>
        <v>2</v>
      </c>
      <c r="IS17" s="43">
        <f>IW17/JA17</f>
        <v>2.3347324239244491</v>
      </c>
      <c r="IW17" s="71">
        <v>89</v>
      </c>
      <c r="IX17" s="39" t="s">
        <v>597</v>
      </c>
      <c r="IY17" s="39" t="s">
        <v>731</v>
      </c>
      <c r="JA17" s="39">
        <v>38.119999999999997</v>
      </c>
      <c r="JB17" s="39" t="s">
        <v>615</v>
      </c>
      <c r="JD17" s="39">
        <f t="shared" ref="JD17:JD29" si="19">IF(JE17="数据缺失",0,IF(JE17&lt;0%,0,IF(JE17&lt;4%,1,IF(JE17&lt;6%,2,IF(JE17&lt;8%,3,4)))))</f>
        <v>4</v>
      </c>
      <c r="JE17" s="40">
        <f>JI17/JM17/(JQ17+JU17)*2</f>
        <v>9.8532556936329521E-2</v>
      </c>
      <c r="JI17" s="39">
        <v>2.99</v>
      </c>
      <c r="JJ17" s="39" t="s">
        <v>724</v>
      </c>
      <c r="JM17" s="39">
        <v>0.54</v>
      </c>
      <c r="JN17" s="39" t="s">
        <v>724</v>
      </c>
      <c r="JQ17" s="39">
        <v>69.92</v>
      </c>
      <c r="JR17" s="39" t="s">
        <v>724</v>
      </c>
      <c r="JU17" s="39">
        <v>42.47</v>
      </c>
      <c r="JV17" s="39" t="s">
        <v>724</v>
      </c>
      <c r="JX17" s="39">
        <v>1</v>
      </c>
      <c r="JY17" s="39" t="s">
        <v>732</v>
      </c>
      <c r="KB17" s="39">
        <v>1</v>
      </c>
      <c r="KC17" s="39" t="s">
        <v>732</v>
      </c>
      <c r="KD17" s="39" t="s">
        <v>724</v>
      </c>
      <c r="KF17" s="39">
        <v>2</v>
      </c>
      <c r="KG17" s="40">
        <f t="shared" si="17"/>
        <v>0.21589716684155302</v>
      </c>
      <c r="KK17" s="39">
        <v>8.23</v>
      </c>
      <c r="KL17" s="39" t="s">
        <v>615</v>
      </c>
      <c r="KM17" s="39" t="s">
        <v>2858</v>
      </c>
      <c r="KO17" s="39">
        <v>38.119999999999997</v>
      </c>
      <c r="KP17" s="39" t="s">
        <v>615</v>
      </c>
    </row>
    <row r="18" spans="2:302" s="39" customFormat="1" ht="16.5" hidden="1" customHeight="1" x14ac:dyDescent="0.35">
      <c r="B18" s="39" t="s">
        <v>720</v>
      </c>
      <c r="C18" s="39" t="s">
        <v>637</v>
      </c>
      <c r="D18" s="39" t="s">
        <v>666</v>
      </c>
      <c r="E18" s="39" t="s">
        <v>545</v>
      </c>
      <c r="F18" s="36" t="s">
        <v>733</v>
      </c>
      <c r="G18" s="3" t="s">
        <v>249</v>
      </c>
      <c r="H18" s="40">
        <f>32.6/32.99</f>
        <v>0.98817823582903908</v>
      </c>
      <c r="L18" s="42">
        <v>4</v>
      </c>
      <c r="M18" s="36" t="s">
        <v>1236</v>
      </c>
      <c r="P18" s="39" t="s">
        <v>722</v>
      </c>
      <c r="Q18" s="39" t="s">
        <v>723</v>
      </c>
      <c r="R18" s="39" t="s">
        <v>734</v>
      </c>
      <c r="T18" s="116" t="s">
        <v>129</v>
      </c>
      <c r="U18" s="117">
        <v>0.2571</v>
      </c>
      <c r="X18" s="8">
        <f t="shared" si="3"/>
        <v>4</v>
      </c>
      <c r="Y18" s="43">
        <f>((AC18-AG18)/AG18+(AG18-AK18)/AK18)/2*100%</f>
        <v>-5.6934402119091065E-2</v>
      </c>
      <c r="AC18" s="78">
        <v>31.4</v>
      </c>
      <c r="AD18" s="39" t="s">
        <v>724</v>
      </c>
      <c r="AG18" s="186">
        <v>36.5</v>
      </c>
      <c r="AH18" s="107" t="s">
        <v>724</v>
      </c>
      <c r="AK18" s="39">
        <v>35.58</v>
      </c>
      <c r="AL18" s="39" t="s">
        <v>735</v>
      </c>
      <c r="AN18" s="39">
        <f>IF(AO18="数据缺失",0,IF(AO18&lt;-30%,6,IF(AO18&lt;-10%,5,IF(AO18&lt;0%,4,IF(AO18&lt;10%,3,IF(AO18&lt;30%,2,1))))))</f>
        <v>4</v>
      </c>
      <c r="AO18" s="43">
        <f>((AS18-AW18)/AW18+(AW18-BA18)/BA18)/2*100%</f>
        <v>-7.6505184461108697E-2</v>
      </c>
      <c r="AS18" s="39">
        <v>20.95</v>
      </c>
      <c r="AT18" s="39" t="s">
        <v>724</v>
      </c>
      <c r="AW18" s="107">
        <v>27.71</v>
      </c>
      <c r="AX18" s="107" t="s">
        <v>724</v>
      </c>
      <c r="BA18" s="39">
        <v>25.4</v>
      </c>
      <c r="BB18" s="39" t="s">
        <v>735</v>
      </c>
      <c r="BD18" s="2">
        <f t="shared" si="5"/>
        <v>5</v>
      </c>
      <c r="BE18" s="8">
        <f t="shared" si="6"/>
        <v>31.4</v>
      </c>
      <c r="BI18" s="14">
        <f>AC18</f>
        <v>31.4</v>
      </c>
      <c r="BJ18" s="6" t="s">
        <v>2847</v>
      </c>
      <c r="BK18" s="14"/>
      <c r="BL18" s="2">
        <f t="shared" si="7"/>
        <v>5</v>
      </c>
      <c r="BM18" s="14">
        <v>23.27</v>
      </c>
      <c r="BN18" s="14"/>
      <c r="BO18" s="14"/>
      <c r="BP18" s="14"/>
      <c r="BQ18" s="14">
        <v>20.95</v>
      </c>
      <c r="BR18" s="6" t="s">
        <v>2848</v>
      </c>
      <c r="BT18" s="8">
        <f t="shared" si="8"/>
        <v>3</v>
      </c>
      <c r="BU18" s="36">
        <v>149</v>
      </c>
      <c r="BV18" s="36"/>
      <c r="BW18" s="36"/>
      <c r="BX18" s="36"/>
      <c r="BY18" s="36">
        <v>149</v>
      </c>
      <c r="BZ18" s="47" t="s">
        <v>258</v>
      </c>
      <c r="CA18" s="36"/>
      <c r="CB18" s="39">
        <v>1</v>
      </c>
      <c r="CC18" s="39" t="s">
        <v>553</v>
      </c>
      <c r="CF18" s="39" t="s">
        <v>553</v>
      </c>
      <c r="CG18" s="39" t="s">
        <v>698</v>
      </c>
      <c r="CH18" s="39" t="s">
        <v>360</v>
      </c>
      <c r="CJ18" s="67">
        <f t="shared" si="9"/>
        <v>2</v>
      </c>
      <c r="CK18" s="69">
        <f>CO18/CS18</f>
        <v>0.75828025477707006</v>
      </c>
      <c r="CO18" s="39">
        <v>23.81</v>
      </c>
      <c r="CP18" s="39" t="s">
        <v>734</v>
      </c>
      <c r="CS18" s="39">
        <f>AC18</f>
        <v>31.4</v>
      </c>
      <c r="CT18" s="39" t="s">
        <v>734</v>
      </c>
      <c r="CV18" s="158">
        <f t="shared" si="15"/>
        <v>5</v>
      </c>
      <c r="CW18" s="158">
        <v>24.11</v>
      </c>
      <c r="CX18" s="107"/>
      <c r="CY18" s="107"/>
      <c r="CZ18" s="107"/>
      <c r="DA18" s="158">
        <v>24.11</v>
      </c>
      <c r="DB18" s="107" t="s">
        <v>734</v>
      </c>
      <c r="DD18" s="36">
        <v>2</v>
      </c>
      <c r="DE18" s="38">
        <f t="shared" si="14"/>
        <v>1.1508353221957042</v>
      </c>
      <c r="DI18" s="39">
        <f>AS18</f>
        <v>20.95</v>
      </c>
      <c r="DJ18" s="39" t="s">
        <v>734</v>
      </c>
      <c r="DM18" s="158">
        <v>24.11</v>
      </c>
      <c r="DN18" s="107" t="s">
        <v>734</v>
      </c>
      <c r="DP18" s="182">
        <v>1</v>
      </c>
      <c r="DQ18" s="182" t="s">
        <v>2888</v>
      </c>
      <c r="DR18" s="182"/>
      <c r="DS18" s="182"/>
      <c r="DT18" s="182"/>
      <c r="DU18" s="199">
        <v>0.51890000000000003</v>
      </c>
      <c r="DV18" s="182" t="s">
        <v>2889</v>
      </c>
      <c r="DW18" s="182" t="s">
        <v>2890</v>
      </c>
      <c r="DX18" s="182"/>
      <c r="DY18" s="199">
        <v>0.48110000000000003</v>
      </c>
      <c r="DZ18" s="182" t="s">
        <v>2889</v>
      </c>
      <c r="EA18" s="182" t="s">
        <v>2891</v>
      </c>
      <c r="EB18" s="182"/>
      <c r="EC18" s="199">
        <v>0</v>
      </c>
      <c r="ED18" s="182" t="s">
        <v>734</v>
      </c>
      <c r="EE18" s="182" t="s">
        <v>2891</v>
      </c>
      <c r="EF18" s="182"/>
      <c r="EG18" s="199">
        <v>0</v>
      </c>
      <c r="EH18" s="182" t="s">
        <v>2889</v>
      </c>
      <c r="EJ18" s="39">
        <f>IF(EK18="数据缺失",0,IF(EK18&lt;0%,0,IF(EK18&lt;=5%,5,IF(EK18&lt;=20%,4,IF(EK18&lt;=50%,3,IF(EK18&lt;=100,2,1))))))</f>
        <v>2</v>
      </c>
      <c r="EK18" s="39">
        <v>19.149999999999999</v>
      </c>
      <c r="EO18" s="39">
        <v>19.149999999999999</v>
      </c>
      <c r="EP18" s="39" t="s">
        <v>734</v>
      </c>
      <c r="ER18" s="42">
        <f>IF(ES18="数据缺失",0,IF(ES18&lt;0%,0,IF(ES18&lt;=5%,5,IF(ES18&lt;=20%,4,IF(ES18&lt;=50%,3,IF(ES18&lt;=100,2,1))))))</f>
        <v>2</v>
      </c>
      <c r="ES18" s="39">
        <v>35.799999999999997</v>
      </c>
      <c r="EW18" s="39">
        <v>35.799999999999997</v>
      </c>
      <c r="EX18" s="39" t="s">
        <v>734</v>
      </c>
      <c r="EZ18" s="160">
        <v>3</v>
      </c>
      <c r="FA18" s="160">
        <v>10.3</v>
      </c>
      <c r="FB18" s="160"/>
      <c r="FC18" s="160"/>
      <c r="FD18" s="160"/>
      <c r="FE18" s="160">
        <v>10.3</v>
      </c>
      <c r="FF18" s="160" t="s">
        <v>734</v>
      </c>
      <c r="FG18" s="160"/>
      <c r="FH18" s="182">
        <v>3</v>
      </c>
      <c r="FI18" s="182" t="s">
        <v>2886</v>
      </c>
      <c r="FJ18" s="182"/>
      <c r="FK18" s="182"/>
      <c r="FL18" s="182"/>
      <c r="FM18" s="182">
        <v>0</v>
      </c>
      <c r="FN18" s="182" t="s">
        <v>2887</v>
      </c>
      <c r="FO18" s="182"/>
      <c r="FP18" s="182"/>
      <c r="FQ18" s="200">
        <v>1</v>
      </c>
      <c r="FR18" s="182" t="s">
        <v>2887</v>
      </c>
      <c r="FS18" s="182"/>
      <c r="FT18" s="182"/>
      <c r="FU18" s="182">
        <v>0</v>
      </c>
      <c r="FV18" s="182" t="s">
        <v>2887</v>
      </c>
      <c r="FW18" s="182"/>
      <c r="FX18" s="182"/>
      <c r="FY18" s="182">
        <v>0</v>
      </c>
      <c r="FZ18" s="182" t="s">
        <v>2887</v>
      </c>
      <c r="GB18" s="39">
        <v>2</v>
      </c>
      <c r="GC18" s="39" t="s">
        <v>737</v>
      </c>
      <c r="GG18" s="39" t="s">
        <v>737</v>
      </c>
      <c r="GH18" s="39" t="s">
        <v>734</v>
      </c>
      <c r="GJ18" s="39">
        <v>4</v>
      </c>
      <c r="GK18" s="40">
        <f>GN18/GS18</f>
        <v>4.9105789633222187E-2</v>
      </c>
      <c r="GN18" s="39">
        <v>1.62</v>
      </c>
      <c r="GO18" s="39" t="s">
        <v>738</v>
      </c>
      <c r="GP18" s="39" t="s">
        <v>734</v>
      </c>
      <c r="GS18" s="39">
        <v>32.99</v>
      </c>
      <c r="GT18" s="39" t="s">
        <v>734</v>
      </c>
      <c r="GV18" s="39">
        <v>0</v>
      </c>
      <c r="GW18" s="48" t="s">
        <v>573</v>
      </c>
      <c r="HA18" s="48" t="s">
        <v>573</v>
      </c>
      <c r="HE18" s="39">
        <v>119.26</v>
      </c>
      <c r="HF18" s="39" t="s">
        <v>681</v>
      </c>
      <c r="HH18" s="39">
        <f t="shared" si="18"/>
        <v>1</v>
      </c>
      <c r="HI18" s="43">
        <f t="shared" si="16"/>
        <v>8.5271317829457363E-2</v>
      </c>
      <c r="HM18" s="39">
        <v>1.98</v>
      </c>
      <c r="HN18" s="39" t="s">
        <v>681</v>
      </c>
      <c r="HQ18" s="39">
        <v>23.22</v>
      </c>
      <c r="HR18" s="39" t="s">
        <v>681</v>
      </c>
      <c r="HT18" s="39">
        <f t="shared" ref="HT18:HT24" si="20">IF(HU18="数据缺失",0,IF(HU18&lt;5%,4,IF(HU18&lt;=10%,3,IF(HU18&lt;30%,2,IF(HU18&lt;=100%,1,0)))))</f>
        <v>4</v>
      </c>
      <c r="HU18" s="39">
        <f>HY18/IC18</f>
        <v>0</v>
      </c>
      <c r="HY18" s="39">
        <v>0</v>
      </c>
      <c r="HZ18" s="39" t="s">
        <v>681</v>
      </c>
      <c r="IC18" s="39">
        <v>12.48</v>
      </c>
      <c r="ID18" s="39" t="s">
        <v>681</v>
      </c>
      <c r="IR18" s="42">
        <v>0</v>
      </c>
      <c r="IS18" s="42" t="s">
        <v>573</v>
      </c>
      <c r="IW18" s="42" t="s">
        <v>573</v>
      </c>
      <c r="JA18" s="39">
        <v>42.06</v>
      </c>
      <c r="JB18" s="39" t="s">
        <v>681</v>
      </c>
      <c r="JD18" s="39">
        <f t="shared" si="19"/>
        <v>4</v>
      </c>
      <c r="JE18" s="43">
        <f t="shared" ref="JE18:JE26" si="21">JI18/JM18/(JQ18+JU18)*2</f>
        <v>0.10854826611274594</v>
      </c>
      <c r="JI18" s="39">
        <v>9.0299999999999994</v>
      </c>
      <c r="JJ18" s="39" t="s">
        <v>734</v>
      </c>
      <c r="JM18" s="39">
        <v>2.1800000000000002</v>
      </c>
      <c r="JN18" s="39" t="s">
        <v>734</v>
      </c>
      <c r="JQ18" s="39">
        <v>42.47</v>
      </c>
      <c r="JR18" s="39" t="s">
        <v>724</v>
      </c>
      <c r="JU18" s="39">
        <v>33.85</v>
      </c>
      <c r="JV18" s="39" t="s">
        <v>724</v>
      </c>
      <c r="JX18" s="39">
        <v>1</v>
      </c>
      <c r="JY18" s="39" t="s">
        <v>732</v>
      </c>
      <c r="KB18" s="39">
        <v>1</v>
      </c>
      <c r="KC18" s="39" t="s">
        <v>732</v>
      </c>
      <c r="KD18" s="39" t="s">
        <v>734</v>
      </c>
      <c r="KF18" s="39">
        <f>IF(KG18="数据缺失",0,IF(KG18&lt;0%,0,IF(KG18&lt;20%,1,IF(KG18&lt;50%,2,IF(KG18&lt;100%,3,4)))))</f>
        <v>1</v>
      </c>
      <c r="KG18" s="43">
        <f t="shared" si="17"/>
        <v>0.16690442225392293</v>
      </c>
      <c r="KK18" s="39">
        <f>5.42+1.6</f>
        <v>7.02</v>
      </c>
      <c r="KL18" s="39" t="s">
        <v>681</v>
      </c>
      <c r="KM18" s="39" t="s">
        <v>2858</v>
      </c>
      <c r="KO18" s="39">
        <v>42.06</v>
      </c>
      <c r="KP18" s="39" t="s">
        <v>681</v>
      </c>
    </row>
    <row r="19" spans="2:302" s="39" customFormat="1" ht="16.5" hidden="1" customHeight="1" x14ac:dyDescent="0.35">
      <c r="B19" s="39" t="s">
        <v>739</v>
      </c>
      <c r="C19" s="39" t="s">
        <v>637</v>
      </c>
      <c r="D19" s="39" t="s">
        <v>666</v>
      </c>
      <c r="E19" s="39" t="s">
        <v>545</v>
      </c>
      <c r="F19" s="112" t="s">
        <v>740</v>
      </c>
      <c r="G19" s="3" t="s">
        <v>249</v>
      </c>
      <c r="H19" s="40">
        <v>0.95404933339951148</v>
      </c>
      <c r="I19" s="40"/>
      <c r="L19" s="42">
        <v>4</v>
      </c>
      <c r="M19" s="36" t="s">
        <v>1237</v>
      </c>
      <c r="P19" s="39" t="s">
        <v>126</v>
      </c>
      <c r="Q19" s="39" t="s">
        <v>741</v>
      </c>
      <c r="R19" s="39" t="s">
        <v>742</v>
      </c>
      <c r="T19" s="116" t="s">
        <v>203</v>
      </c>
      <c r="U19" s="82">
        <v>0.58930000000000005</v>
      </c>
      <c r="X19" s="8">
        <f t="shared" si="3"/>
        <v>1</v>
      </c>
      <c r="Y19" s="43">
        <f t="shared" ref="Y19:Y24" si="22">((AC19-AG19)/AG19+(AG19-AK19)/AK19)/2*100%</f>
        <v>2.1086746853062035</v>
      </c>
      <c r="AC19" s="39">
        <v>58.44</v>
      </c>
      <c r="AD19" s="39" t="s">
        <v>743</v>
      </c>
      <c r="AG19" s="39">
        <v>51.09</v>
      </c>
      <c r="AH19" s="39" t="s">
        <v>743</v>
      </c>
      <c r="AK19" s="39">
        <v>10.07</v>
      </c>
      <c r="AL19" s="39" t="s">
        <v>744</v>
      </c>
      <c r="AN19" s="39">
        <v>1</v>
      </c>
      <c r="AO19" s="43">
        <v>2.1008776329760961</v>
      </c>
      <c r="AS19" s="39">
        <v>31.85</v>
      </c>
      <c r="AT19" s="39" t="s">
        <v>743</v>
      </c>
      <c r="AW19" s="39">
        <v>25.31</v>
      </c>
      <c r="AX19" s="39" t="s">
        <v>743</v>
      </c>
      <c r="BA19" s="39">
        <v>5.12</v>
      </c>
      <c r="BB19" s="39" t="s">
        <v>744</v>
      </c>
      <c r="BD19" s="2">
        <f t="shared" si="5"/>
        <v>4</v>
      </c>
      <c r="BE19" s="8">
        <f t="shared" si="6"/>
        <v>58.44</v>
      </c>
      <c r="BI19" s="39">
        <v>58.44</v>
      </c>
      <c r="BJ19" s="39" t="s">
        <v>743</v>
      </c>
      <c r="BL19" s="2">
        <f t="shared" si="7"/>
        <v>5</v>
      </c>
      <c r="BM19" s="39">
        <v>31.85</v>
      </c>
      <c r="BQ19" s="39">
        <v>31.85</v>
      </c>
      <c r="BR19" s="39" t="s">
        <v>743</v>
      </c>
      <c r="BT19" s="8">
        <f t="shared" si="8"/>
        <v>3</v>
      </c>
      <c r="BU19" s="36">
        <v>239</v>
      </c>
      <c r="BV19" s="36"/>
      <c r="BW19" s="36"/>
      <c r="BX19" s="36"/>
      <c r="BY19" s="36">
        <v>239</v>
      </c>
      <c r="BZ19" s="36" t="s">
        <v>746</v>
      </c>
      <c r="CA19" s="6" t="s">
        <v>2849</v>
      </c>
      <c r="CB19" s="39">
        <v>1</v>
      </c>
      <c r="CC19" s="39" t="s">
        <v>553</v>
      </c>
      <c r="CF19" s="39" t="s">
        <v>553</v>
      </c>
      <c r="CG19" s="39" t="s">
        <v>698</v>
      </c>
      <c r="CH19" s="39" t="s">
        <v>360</v>
      </c>
      <c r="CJ19" s="67">
        <f t="shared" si="9"/>
        <v>0</v>
      </c>
      <c r="CK19" s="48" t="s">
        <v>36</v>
      </c>
      <c r="CO19" s="49" t="s">
        <v>36</v>
      </c>
      <c r="CS19" s="39">
        <v>58.44</v>
      </c>
      <c r="CT19" s="39" t="s">
        <v>743</v>
      </c>
      <c r="CV19" s="42">
        <f t="shared" si="15"/>
        <v>3</v>
      </c>
      <c r="CW19" s="39">
        <v>820.11</v>
      </c>
      <c r="DA19" s="61">
        <v>820.11</v>
      </c>
      <c r="DB19" s="39" t="s">
        <v>743</v>
      </c>
      <c r="DC19" s="39" t="s">
        <v>747</v>
      </c>
      <c r="DD19" s="39">
        <v>2</v>
      </c>
      <c r="DE19" s="69">
        <v>25.749136577708004</v>
      </c>
      <c r="DI19" s="39">
        <v>31.85</v>
      </c>
      <c r="DJ19" s="39" t="s">
        <v>743</v>
      </c>
      <c r="DM19" s="61">
        <f>820.11</f>
        <v>820.11</v>
      </c>
      <c r="DN19" s="39" t="s">
        <v>743</v>
      </c>
      <c r="DP19" s="39">
        <v>2</v>
      </c>
      <c r="DQ19" s="39" t="s">
        <v>748</v>
      </c>
      <c r="DR19" s="39" t="s">
        <v>743</v>
      </c>
      <c r="DS19" s="39" t="s">
        <v>749</v>
      </c>
      <c r="DU19" s="40">
        <v>0.31914011535037984</v>
      </c>
      <c r="DV19" s="39" t="s">
        <v>743</v>
      </c>
      <c r="DY19" s="40">
        <v>0.65363182987647994</v>
      </c>
      <c r="DZ19" s="39" t="s">
        <v>743</v>
      </c>
      <c r="EC19" s="40">
        <v>0</v>
      </c>
      <c r="ED19" s="39" t="s">
        <v>743</v>
      </c>
      <c r="EG19" s="40">
        <v>0</v>
      </c>
      <c r="EH19" s="39" t="s">
        <v>743</v>
      </c>
      <c r="EJ19" s="39">
        <v>1</v>
      </c>
      <c r="EK19" s="39">
        <v>168.44</v>
      </c>
      <c r="EO19" s="39">
        <v>168.44</v>
      </c>
      <c r="EP19" s="39" t="s">
        <v>743</v>
      </c>
      <c r="ER19" s="42">
        <v>2</v>
      </c>
      <c r="ES19" s="39">
        <v>57.64</v>
      </c>
      <c r="EW19" s="39">
        <v>57.64</v>
      </c>
      <c r="EX19" s="39" t="s">
        <v>743</v>
      </c>
      <c r="EZ19" s="39">
        <v>1</v>
      </c>
      <c r="FA19" s="39">
        <v>425.97</v>
      </c>
      <c r="FE19" s="39">
        <v>425.97</v>
      </c>
      <c r="FF19" s="39" t="s">
        <v>743</v>
      </c>
      <c r="FH19" s="39">
        <v>2</v>
      </c>
      <c r="FI19" s="39" t="s">
        <v>750</v>
      </c>
      <c r="FM19" s="40">
        <v>0.49578608822217524</v>
      </c>
      <c r="FN19" s="39" t="s">
        <v>743</v>
      </c>
      <c r="FQ19" s="40">
        <v>0.50421391177782482</v>
      </c>
      <c r="FR19" s="39" t="s">
        <v>743</v>
      </c>
      <c r="FU19" s="40">
        <v>0</v>
      </c>
      <c r="FV19" s="39" t="s">
        <v>743</v>
      </c>
      <c r="FY19" s="40">
        <v>0</v>
      </c>
      <c r="FZ19" s="39" t="s">
        <v>743</v>
      </c>
      <c r="GB19" s="39">
        <v>2</v>
      </c>
      <c r="GC19" s="39" t="s">
        <v>751</v>
      </c>
      <c r="GG19" s="39" t="s">
        <v>751</v>
      </c>
      <c r="GH19" s="39" t="s">
        <v>743</v>
      </c>
      <c r="GJ19" s="39">
        <f>IF(GK19="数据缺失",0,IF(GK19&lt;0%,0,IF(GK19&lt;=5%,4,IF(GK19&lt;10%,3,IF(GK19&lt;20%,2,1)))))</f>
        <v>4</v>
      </c>
      <c r="GK19" s="43">
        <v>3.2808046084123285E-2</v>
      </c>
      <c r="GN19" s="39">
        <v>1.95</v>
      </c>
      <c r="GO19" s="39" t="s">
        <v>752</v>
      </c>
      <c r="GP19" s="39" t="s">
        <v>743</v>
      </c>
      <c r="GS19" s="39">
        <v>59.38</v>
      </c>
      <c r="GT19" s="39" t="s">
        <v>743</v>
      </c>
      <c r="GV19" s="39">
        <v>0</v>
      </c>
      <c r="GW19" s="43" t="s">
        <v>573</v>
      </c>
      <c r="HA19" s="48" t="s">
        <v>573</v>
      </c>
      <c r="HE19" s="39">
        <v>407.38</v>
      </c>
      <c r="HF19" s="39" t="s">
        <v>681</v>
      </c>
      <c r="HH19" s="39">
        <f t="shared" si="18"/>
        <v>2</v>
      </c>
      <c r="HI19" s="43">
        <f t="shared" si="16"/>
        <v>0.2161342498989082</v>
      </c>
      <c r="HM19" s="39">
        <v>10.69</v>
      </c>
      <c r="HN19" s="39" t="s">
        <v>681</v>
      </c>
      <c r="HQ19" s="39">
        <v>49.46</v>
      </c>
      <c r="HR19" s="39" t="s">
        <v>681</v>
      </c>
      <c r="HT19" s="39">
        <f t="shared" si="20"/>
        <v>4</v>
      </c>
      <c r="HU19" s="39">
        <v>0</v>
      </c>
      <c r="HY19" s="39">
        <v>0</v>
      </c>
      <c r="HZ19" s="39" t="s">
        <v>681</v>
      </c>
      <c r="IC19" s="39">
        <v>189.25</v>
      </c>
      <c r="ID19" s="39" t="s">
        <v>681</v>
      </c>
      <c r="IR19" s="42">
        <v>0</v>
      </c>
      <c r="IS19" s="43" t="s">
        <v>36</v>
      </c>
      <c r="IW19" s="39" t="s">
        <v>36</v>
      </c>
      <c r="JA19" s="39">
        <v>96.51</v>
      </c>
      <c r="JB19" s="39" t="s">
        <v>681</v>
      </c>
      <c r="JD19" s="39">
        <f t="shared" si="19"/>
        <v>4</v>
      </c>
      <c r="JE19" s="43">
        <f t="shared" si="21"/>
        <v>0.11611558397045349</v>
      </c>
      <c r="JI19" s="78">
        <v>16.600000000000001</v>
      </c>
      <c r="JJ19" s="39" t="s">
        <v>753</v>
      </c>
      <c r="JM19" s="39">
        <v>0.65</v>
      </c>
      <c r="JN19" s="39" t="s">
        <v>753</v>
      </c>
      <c r="JQ19" s="39">
        <v>259.95</v>
      </c>
      <c r="JR19" s="39" t="s">
        <v>753</v>
      </c>
      <c r="JU19" s="39">
        <v>179.93</v>
      </c>
      <c r="JV19" s="39" t="s">
        <v>753</v>
      </c>
      <c r="JX19" s="39">
        <v>2</v>
      </c>
      <c r="JY19" s="39" t="s">
        <v>754</v>
      </c>
      <c r="KB19" s="39">
        <v>4</v>
      </c>
      <c r="KC19" s="39" t="s">
        <v>754</v>
      </c>
      <c r="KD19" s="39" t="s">
        <v>743</v>
      </c>
      <c r="KF19" s="39">
        <f>IF(KG19="数据缺失",0,IF(KG19&lt;0%,0,IF(KG19&lt;20%,1,IF(KG19&lt;50%,2,IF(KG19&lt;100%,3,4)))))</f>
        <v>1</v>
      </c>
      <c r="KG19" s="43">
        <f t="shared" si="17"/>
        <v>0.16516423168583566</v>
      </c>
      <c r="KK19" s="6">
        <v>15.94</v>
      </c>
      <c r="KL19" s="39" t="s">
        <v>681</v>
      </c>
      <c r="KO19" s="39">
        <v>96.51</v>
      </c>
      <c r="KP19" s="39" t="s">
        <v>681</v>
      </c>
    </row>
    <row r="20" spans="2:302" s="39" customFormat="1" ht="16.5" hidden="1" customHeight="1" x14ac:dyDescent="0.35">
      <c r="B20" s="39" t="s">
        <v>755</v>
      </c>
      <c r="C20" s="39" t="s">
        <v>637</v>
      </c>
      <c r="D20" s="39" t="s">
        <v>666</v>
      </c>
      <c r="E20" s="39" t="s">
        <v>545</v>
      </c>
      <c r="F20" s="112" t="s">
        <v>756</v>
      </c>
      <c r="G20" s="3" t="s">
        <v>174</v>
      </c>
      <c r="H20" s="40">
        <f>(143676+2723 +4152)/171954</f>
        <v>0.87553066517789646</v>
      </c>
      <c r="I20" s="40"/>
      <c r="L20" s="42">
        <v>4</v>
      </c>
      <c r="M20" s="39" t="s">
        <v>757</v>
      </c>
      <c r="P20" s="39" t="s">
        <v>126</v>
      </c>
      <c r="Q20" s="39" t="s">
        <v>758</v>
      </c>
      <c r="R20" s="39" t="s">
        <v>759</v>
      </c>
      <c r="T20" s="60" t="s">
        <v>725</v>
      </c>
      <c r="U20" s="44">
        <v>0.13</v>
      </c>
      <c r="X20" s="8">
        <f t="shared" si="3"/>
        <v>1</v>
      </c>
      <c r="Y20" s="43">
        <f t="shared" si="22"/>
        <v>0.44879012386312855</v>
      </c>
      <c r="AC20" s="39">
        <v>34.950000000000003</v>
      </c>
      <c r="AD20" s="39" t="s">
        <v>760</v>
      </c>
      <c r="AG20" s="39">
        <v>18.79</v>
      </c>
      <c r="AH20" s="39" t="s">
        <v>760</v>
      </c>
      <c r="AK20" s="39">
        <v>18.11</v>
      </c>
      <c r="AL20" s="39" t="s">
        <v>760</v>
      </c>
      <c r="AN20" s="39">
        <f>IF(AO20="数据缺失",0,IF(AO20&lt;-30%,6,IF(AO20&lt;-10%,5,IF(AO20&lt;0%,4,IF(AO20&lt;10%,3,IF(AO20&lt;30%,2,1))))))</f>
        <v>3</v>
      </c>
      <c r="AO20" s="43">
        <f>((AS20-AW20)/AW20+(AW20-BA20)/BA20)/2*100%</f>
        <v>9.8414956630029027E-2</v>
      </c>
      <c r="AS20" s="39">
        <v>18.899999999999999</v>
      </c>
      <c r="AT20" s="39" t="s">
        <v>760</v>
      </c>
      <c r="AW20" s="39">
        <v>13.41</v>
      </c>
      <c r="AX20" s="39" t="s">
        <v>760</v>
      </c>
      <c r="BA20" s="39">
        <v>17.03</v>
      </c>
      <c r="BB20" s="39" t="s">
        <v>760</v>
      </c>
      <c r="BD20" s="2">
        <f t="shared" si="5"/>
        <v>5</v>
      </c>
      <c r="BE20" s="8">
        <f t="shared" si="6"/>
        <v>34.950000000000003</v>
      </c>
      <c r="BI20" s="39">
        <v>34.950000000000003</v>
      </c>
      <c r="BJ20" s="39" t="s">
        <v>760</v>
      </c>
      <c r="BL20" s="2">
        <f t="shared" si="7"/>
        <v>5</v>
      </c>
      <c r="BM20" s="39">
        <f>BQ20</f>
        <v>18.899999999999999</v>
      </c>
      <c r="BQ20" s="39">
        <v>18.899999999999999</v>
      </c>
      <c r="BR20" s="39" t="s">
        <v>760</v>
      </c>
      <c r="BT20" s="8">
        <f t="shared" si="8"/>
        <v>3</v>
      </c>
      <c r="BU20" s="36">
        <f>BY20</f>
        <v>241</v>
      </c>
      <c r="BV20" s="36"/>
      <c r="BW20" s="36"/>
      <c r="BX20" s="36"/>
      <c r="BY20" s="36">
        <v>241</v>
      </c>
      <c r="BZ20" s="36" t="s">
        <v>234</v>
      </c>
      <c r="CA20" s="36"/>
      <c r="CB20" s="39">
        <v>1</v>
      </c>
      <c r="CC20" s="39" t="s">
        <v>553</v>
      </c>
      <c r="CF20" s="39" t="s">
        <v>553</v>
      </c>
      <c r="CG20" s="39" t="s">
        <v>761</v>
      </c>
      <c r="CH20" s="39" t="s">
        <v>760</v>
      </c>
      <c r="CJ20" s="67">
        <f t="shared" si="9"/>
        <v>0</v>
      </c>
      <c r="CK20" s="48" t="s">
        <v>36</v>
      </c>
      <c r="CO20" s="39" t="s">
        <v>36</v>
      </c>
      <c r="CS20" s="39">
        <v>34.950000000000003</v>
      </c>
      <c r="CT20" s="39" t="s">
        <v>759</v>
      </c>
      <c r="CV20" s="42">
        <f t="shared" si="15"/>
        <v>5</v>
      </c>
      <c r="CW20" s="39">
        <v>70</v>
      </c>
      <c r="DA20" s="39">
        <v>70</v>
      </c>
      <c r="DB20" s="61" t="s">
        <v>2892</v>
      </c>
      <c r="DD20" s="39">
        <v>2</v>
      </c>
      <c r="DE20" s="69">
        <v>25.749136577708004</v>
      </c>
      <c r="DI20" s="39">
        <v>18.899999999999999</v>
      </c>
      <c r="DJ20" s="39" t="s">
        <v>759</v>
      </c>
      <c r="DM20" s="39">
        <v>70</v>
      </c>
      <c r="DN20" s="61" t="s">
        <v>2892</v>
      </c>
      <c r="DP20" s="39">
        <v>6</v>
      </c>
      <c r="DQ20" s="39" t="s">
        <v>762</v>
      </c>
      <c r="DR20" s="39" t="s">
        <v>759</v>
      </c>
      <c r="DU20" s="40" t="s">
        <v>36</v>
      </c>
      <c r="DY20" s="40" t="s">
        <v>36</v>
      </c>
      <c r="EC20" s="40" t="s">
        <v>36</v>
      </c>
      <c r="EG20" s="40" t="s">
        <v>36</v>
      </c>
      <c r="EJ20" s="39">
        <v>2</v>
      </c>
      <c r="EK20" s="39">
        <v>3.77</v>
      </c>
      <c r="EO20" s="39">
        <v>3.77</v>
      </c>
      <c r="EP20" s="39" t="s">
        <v>759</v>
      </c>
      <c r="ER20" s="42">
        <v>2</v>
      </c>
      <c r="ES20" s="39">
        <v>24.98</v>
      </c>
      <c r="EW20" s="39">
        <v>24.98</v>
      </c>
      <c r="EX20" s="39" t="s">
        <v>759</v>
      </c>
      <c r="EZ20" s="39">
        <f>IF(FA20="数据缺失",0,IF(FA20&lt;0%,0,IF(FA20&lt;=50,4,IF(FA20&lt;100,3,IF(FA20&lt;200,2,1)))))</f>
        <v>3</v>
      </c>
      <c r="FA20" s="39">
        <f>FE20</f>
        <v>55.76</v>
      </c>
      <c r="FE20" s="39">
        <v>55.76</v>
      </c>
      <c r="FF20" s="39" t="s">
        <v>763</v>
      </c>
      <c r="FH20" s="39">
        <v>6</v>
      </c>
      <c r="FI20" s="39" t="s">
        <v>2893</v>
      </c>
      <c r="FJ20" s="39" t="s">
        <v>763</v>
      </c>
      <c r="FM20" s="39" t="s">
        <v>36</v>
      </c>
      <c r="FQ20" s="40" t="s">
        <v>36</v>
      </c>
      <c r="FU20" s="40" t="s">
        <v>36</v>
      </c>
      <c r="FY20" s="40" t="s">
        <v>36</v>
      </c>
      <c r="GB20" s="39">
        <v>2</v>
      </c>
      <c r="GC20" s="39" t="s">
        <v>764</v>
      </c>
      <c r="GG20" s="39" t="s">
        <v>764</v>
      </c>
      <c r="GH20" s="39" t="s">
        <v>763</v>
      </c>
      <c r="GJ20" s="39">
        <f>IF(GK20="数据缺失",0,IF(GK20&lt;0%,0,IF(GK20&lt;=5%,4,IF(GK20&lt;10%,3,IF(GK20&lt;20%,2,1)))))</f>
        <v>4</v>
      </c>
      <c r="GK20" s="43">
        <f>GN20/GS20</f>
        <v>4.011627906976744E-2</v>
      </c>
      <c r="GN20" s="39">
        <v>0.69</v>
      </c>
      <c r="GO20" s="39" t="s">
        <v>765</v>
      </c>
      <c r="GP20" s="39" t="s">
        <v>763</v>
      </c>
      <c r="GS20" s="78">
        <v>17.2</v>
      </c>
      <c r="GT20" s="39" t="s">
        <v>763</v>
      </c>
      <c r="GV20" s="39">
        <f>IF(GW20="数据缺失",0,IF(GW20&lt;20%,1,IF(GW20&lt;40%,2,IF(GW20&lt;60%,3,IF(GW20&lt;80%,4,IF(GW20&lt;=100%,5,0))))))</f>
        <v>2</v>
      </c>
      <c r="GW20" s="43">
        <f>HA20/HE20*100%</f>
        <v>0.24842587292501431</v>
      </c>
      <c r="HA20" s="78">
        <v>21.7</v>
      </c>
      <c r="HB20" s="39" t="s">
        <v>557</v>
      </c>
      <c r="HE20" s="39">
        <v>87.35</v>
      </c>
      <c r="HF20" s="39" t="s">
        <v>557</v>
      </c>
      <c r="HH20" s="39">
        <f t="shared" si="18"/>
        <v>1</v>
      </c>
      <c r="HI20" s="43">
        <f t="shared" si="16"/>
        <v>0.15809893307468476</v>
      </c>
      <c r="HM20" s="39">
        <v>1.63</v>
      </c>
      <c r="HN20" s="39" t="s">
        <v>557</v>
      </c>
      <c r="HQ20" s="39">
        <v>10.31</v>
      </c>
      <c r="HR20" s="39" t="s">
        <v>146</v>
      </c>
      <c r="HT20" s="39">
        <f t="shared" si="20"/>
        <v>4</v>
      </c>
      <c r="HU20" s="39">
        <f>HY20/IC20</f>
        <v>0</v>
      </c>
      <c r="HY20" s="39">
        <v>0</v>
      </c>
      <c r="HZ20" s="39" t="s">
        <v>146</v>
      </c>
      <c r="IC20" s="39">
        <v>8.16</v>
      </c>
      <c r="ID20" s="39" t="s">
        <v>146</v>
      </c>
      <c r="IR20" s="42">
        <v>0</v>
      </c>
      <c r="IS20" s="43" t="s">
        <v>36</v>
      </c>
      <c r="IW20" s="39" t="s">
        <v>36</v>
      </c>
      <c r="JA20" s="39">
        <v>31.95</v>
      </c>
      <c r="JB20" s="39" t="s">
        <v>557</v>
      </c>
      <c r="JD20" s="39">
        <f t="shared" si="19"/>
        <v>2</v>
      </c>
      <c r="JE20" s="43">
        <f t="shared" si="21"/>
        <v>4.558924093913836E-2</v>
      </c>
      <c r="JI20" s="39">
        <v>0.01</v>
      </c>
      <c r="JJ20" s="39" t="s">
        <v>763</v>
      </c>
      <c r="JM20" s="39">
        <v>0.01</v>
      </c>
      <c r="JN20" s="39" t="s">
        <v>763</v>
      </c>
      <c r="JQ20" s="39">
        <v>14.91</v>
      </c>
      <c r="JR20" s="39" t="s">
        <v>763</v>
      </c>
      <c r="JU20" s="39">
        <v>28.96</v>
      </c>
      <c r="JV20" s="39" t="s">
        <v>763</v>
      </c>
      <c r="JX20" s="39">
        <v>2</v>
      </c>
      <c r="JY20" s="39" t="s">
        <v>754</v>
      </c>
      <c r="KB20" s="39">
        <v>4</v>
      </c>
      <c r="KC20" s="39" t="s">
        <v>754</v>
      </c>
      <c r="KD20" s="39" t="s">
        <v>763</v>
      </c>
      <c r="KF20" s="39">
        <f>IF(KG20="数据缺失",0,IF(KG20&lt;0%,0,IF(KG20&lt;20%,1,IF(KG20&lt;50%,2,IF(KG20&lt;100%,3,4)))))</f>
        <v>1</v>
      </c>
      <c r="KG20" s="43">
        <f t="shared" si="17"/>
        <v>0</v>
      </c>
      <c r="KK20" s="39">
        <v>0</v>
      </c>
      <c r="KL20" s="39" t="s">
        <v>146</v>
      </c>
      <c r="KO20" s="39">
        <v>31.95</v>
      </c>
      <c r="KP20" s="39" t="s">
        <v>146</v>
      </c>
    </row>
    <row r="21" spans="2:302" s="39" customFormat="1" ht="16.5" hidden="1" customHeight="1" x14ac:dyDescent="0.35">
      <c r="B21" s="39" t="s">
        <v>766</v>
      </c>
      <c r="C21" s="39" t="s">
        <v>346</v>
      </c>
      <c r="D21" s="39" t="s">
        <v>767</v>
      </c>
      <c r="E21" s="39" t="s">
        <v>545</v>
      </c>
      <c r="F21" s="112" t="s">
        <v>768</v>
      </c>
      <c r="G21" s="3" t="s">
        <v>174</v>
      </c>
      <c r="H21" s="40">
        <f>(110.56-0.68-12.04-0.03)/110.56</f>
        <v>0.88467800289435605</v>
      </c>
      <c r="L21" s="42">
        <v>4</v>
      </c>
      <c r="M21" s="39" t="s">
        <v>769</v>
      </c>
      <c r="P21" s="39" t="s">
        <v>603</v>
      </c>
      <c r="Q21" s="39" t="s">
        <v>770</v>
      </c>
      <c r="R21" s="39" t="s">
        <v>771</v>
      </c>
      <c r="T21" s="60" t="s">
        <v>113</v>
      </c>
      <c r="U21" s="44">
        <f>((100%*45%*6%*38.22%)+(100%*45%*6%*100%*16.07%)+(6%*38.22%)+(6%*100%*16.07%)+(100%*49%*38.22%)+(100%*49%*100%*16.07%))</f>
        <v>0.31325330000000001</v>
      </c>
      <c r="X21" s="8">
        <f t="shared" si="3"/>
        <v>1</v>
      </c>
      <c r="Y21" s="43">
        <f t="shared" si="22"/>
        <v>0.6857353549989651</v>
      </c>
      <c r="AC21" s="39">
        <v>149.16</v>
      </c>
      <c r="AD21" s="39" t="s">
        <v>772</v>
      </c>
      <c r="AG21" s="78">
        <v>52.8</v>
      </c>
      <c r="AH21" s="39" t="s">
        <v>772</v>
      </c>
      <c r="AK21" s="39">
        <v>96.62</v>
      </c>
      <c r="AL21" s="39" t="s">
        <v>772</v>
      </c>
      <c r="AN21" s="39">
        <v>2</v>
      </c>
      <c r="AO21" s="43">
        <v>0.24841888842546553</v>
      </c>
      <c r="AS21" s="39">
        <v>129.43</v>
      </c>
      <c r="AT21" s="39" t="s">
        <v>771</v>
      </c>
      <c r="AW21" s="39">
        <v>71</v>
      </c>
      <c r="AX21" s="39" t="s">
        <v>771</v>
      </c>
      <c r="BA21" s="39">
        <v>105.36</v>
      </c>
      <c r="BB21" s="39" t="s">
        <v>771</v>
      </c>
      <c r="BD21" s="2">
        <f t="shared" si="5"/>
        <v>3</v>
      </c>
      <c r="BE21" s="8">
        <f t="shared" si="6"/>
        <v>149.16</v>
      </c>
      <c r="BI21" s="39">
        <v>149.16</v>
      </c>
      <c r="BJ21" s="39" t="s">
        <v>773</v>
      </c>
      <c r="BL21" s="2">
        <f t="shared" si="7"/>
        <v>3</v>
      </c>
      <c r="BM21" s="39">
        <f>BQ21</f>
        <v>129.43</v>
      </c>
      <c r="BQ21" s="39">
        <v>129.43</v>
      </c>
      <c r="BR21" s="39" t="s">
        <v>773</v>
      </c>
      <c r="BT21" s="8">
        <f t="shared" si="8"/>
        <v>2</v>
      </c>
      <c r="BU21" s="160">
        <v>45</v>
      </c>
      <c r="BV21" s="160"/>
      <c r="BW21" s="160"/>
      <c r="BX21" s="160"/>
      <c r="BY21" s="160">
        <v>45</v>
      </c>
      <c r="BZ21" s="181" t="s">
        <v>234</v>
      </c>
      <c r="CA21" s="36"/>
      <c r="CB21" s="39">
        <v>1</v>
      </c>
      <c r="CC21" s="39" t="s">
        <v>132</v>
      </c>
      <c r="CF21" s="39" t="s">
        <v>132</v>
      </c>
      <c r="CG21" s="39" t="s">
        <v>774</v>
      </c>
      <c r="CH21" s="39" t="s">
        <v>771</v>
      </c>
      <c r="CJ21" s="67">
        <f t="shared" si="9"/>
        <v>2</v>
      </c>
      <c r="CK21" s="48">
        <f>CO21/CS21</f>
        <v>0</v>
      </c>
      <c r="CO21" s="39">
        <v>0</v>
      </c>
      <c r="CP21" s="39" t="s">
        <v>771</v>
      </c>
      <c r="CS21" s="39">
        <v>149.16</v>
      </c>
      <c r="CT21" s="39" t="s">
        <v>771</v>
      </c>
      <c r="CV21" s="42">
        <f t="shared" si="15"/>
        <v>4</v>
      </c>
      <c r="CW21" s="39">
        <f>DA21</f>
        <v>249.98</v>
      </c>
      <c r="DA21" s="39">
        <v>249.98</v>
      </c>
      <c r="DB21" s="39" t="s">
        <v>773</v>
      </c>
      <c r="DC21" s="39" t="s">
        <v>775</v>
      </c>
      <c r="DD21" s="39">
        <f>IF(DE21="数据缺失",0,IF(DE21&lt;0,0,IF(DE21&lt;2,3,IF(DE21&lt;=5,1,2))))</f>
        <v>3</v>
      </c>
      <c r="DE21" s="69">
        <f>DM21/DI21</f>
        <v>1.9313914857451904</v>
      </c>
      <c r="DI21" s="39">
        <v>129.43</v>
      </c>
      <c r="DJ21" s="39" t="s">
        <v>773</v>
      </c>
      <c r="DM21" s="39">
        <v>249.98</v>
      </c>
      <c r="DN21" s="39" t="s">
        <v>773</v>
      </c>
      <c r="DP21" s="39">
        <v>4</v>
      </c>
      <c r="DQ21" s="39" t="s">
        <v>776</v>
      </c>
      <c r="DU21" s="40">
        <v>0</v>
      </c>
      <c r="DV21" s="39" t="s">
        <v>773</v>
      </c>
      <c r="DY21" s="40">
        <v>0.49230000000000002</v>
      </c>
      <c r="DZ21" s="39" t="s">
        <v>773</v>
      </c>
      <c r="EC21" s="40">
        <v>0.2177</v>
      </c>
      <c r="ED21" s="39" t="s">
        <v>773</v>
      </c>
      <c r="EG21" s="40">
        <v>0.28999999999999998</v>
      </c>
      <c r="EH21" s="39" t="s">
        <v>773</v>
      </c>
      <c r="EJ21" s="39">
        <v>1</v>
      </c>
      <c r="EK21" s="39">
        <v>135.6</v>
      </c>
      <c r="EO21" s="39">
        <v>135.6</v>
      </c>
      <c r="EP21" s="39" t="s">
        <v>777</v>
      </c>
      <c r="ER21" s="42">
        <v>1</v>
      </c>
      <c r="ES21" s="39">
        <v>196.1</v>
      </c>
      <c r="EW21" s="39">
        <v>196.1</v>
      </c>
      <c r="EX21" s="39" t="s">
        <v>777</v>
      </c>
      <c r="EZ21" s="39">
        <v>1</v>
      </c>
      <c r="FA21" s="39">
        <v>611.72</v>
      </c>
      <c r="FE21" s="39">
        <v>611.72</v>
      </c>
      <c r="FF21" s="39" t="s">
        <v>773</v>
      </c>
      <c r="FH21" s="39">
        <v>4</v>
      </c>
      <c r="FI21" s="39" t="s">
        <v>778</v>
      </c>
      <c r="FM21" s="40">
        <v>0.2044</v>
      </c>
      <c r="FN21" s="39" t="s">
        <v>773</v>
      </c>
      <c r="FQ21" s="40">
        <v>0.37840000000000001</v>
      </c>
      <c r="FR21" s="39" t="s">
        <v>773</v>
      </c>
      <c r="FU21" s="40">
        <v>0.30520000000000003</v>
      </c>
      <c r="FV21" s="39" t="s">
        <v>773</v>
      </c>
      <c r="FY21" s="40">
        <v>0.112</v>
      </c>
      <c r="FZ21" s="39" t="s">
        <v>773</v>
      </c>
      <c r="GB21" s="39">
        <v>3</v>
      </c>
      <c r="GC21" s="39" t="s">
        <v>779</v>
      </c>
      <c r="GG21" s="39" t="s">
        <v>779</v>
      </c>
      <c r="GH21" s="39" t="s">
        <v>773</v>
      </c>
      <c r="GJ21" s="39">
        <f>IF(GK21="数据缺失",0,IF(GK21&lt;0%,0,IF(GK21&lt;=5%,4,IF(GK21&lt;10%,3,IF(GK21&lt;20%,2,1)))))</f>
        <v>4</v>
      </c>
      <c r="GK21" s="43">
        <f>GN21/GS21</f>
        <v>1.5828509406657018E-2</v>
      </c>
      <c r="GN21" s="39">
        <v>1.75</v>
      </c>
      <c r="GO21" s="39" t="s">
        <v>780</v>
      </c>
      <c r="GP21" s="39" t="s">
        <v>773</v>
      </c>
      <c r="GS21" s="39">
        <v>110.56</v>
      </c>
      <c r="GT21" s="39" t="s">
        <v>773</v>
      </c>
      <c r="GV21" s="39">
        <f>IF(GW21="数据缺失",0,IF(GW21&lt;20%,1,IF(GW21&lt;40%,2,IF(GW21&lt;60%,3,IF(GW21&lt;80%,4,IF(GW21&lt;=100%,5,0))))))</f>
        <v>2</v>
      </c>
      <c r="GW21" s="43">
        <f>HA21/HE21*100%</f>
        <v>0.31326990485728595</v>
      </c>
      <c r="HA21" s="39">
        <v>156.4</v>
      </c>
      <c r="HB21" s="39" t="s">
        <v>557</v>
      </c>
      <c r="HE21" s="39">
        <v>499.25</v>
      </c>
      <c r="HF21" s="39" t="s">
        <v>557</v>
      </c>
      <c r="HH21" s="39">
        <f t="shared" si="18"/>
        <v>1</v>
      </c>
      <c r="HI21" s="43">
        <f t="shared" si="16"/>
        <v>0.12687288545190914</v>
      </c>
      <c r="HM21" s="48">
        <v>5.25</v>
      </c>
      <c r="HN21" s="39" t="s">
        <v>557</v>
      </c>
      <c r="HQ21" s="39">
        <v>41.38</v>
      </c>
      <c r="HR21" s="39" t="s">
        <v>557</v>
      </c>
      <c r="HT21" s="39">
        <f t="shared" si="20"/>
        <v>4</v>
      </c>
      <c r="HU21" s="40">
        <v>2.7199999999999998E-2</v>
      </c>
      <c r="HY21" s="39">
        <v>2.67</v>
      </c>
      <c r="HZ21" s="39" t="s">
        <v>557</v>
      </c>
      <c r="IC21" s="78">
        <v>98.3</v>
      </c>
      <c r="ID21" s="39" t="s">
        <v>557</v>
      </c>
      <c r="IR21" s="42">
        <f>IF(IS21="数据缺失",0,IF(IS21&lt;0%,0,IF(IS21&lt;=100%,4,IF(IS21&lt;200%,3,IF(IS21&lt;300%,2,1)))))</f>
        <v>1</v>
      </c>
      <c r="IS21" s="43">
        <f>IW21/JA21</f>
        <v>3.218404470336464</v>
      </c>
      <c r="IW21" s="6">
        <v>270.7</v>
      </c>
      <c r="IX21" s="6" t="s">
        <v>2857</v>
      </c>
      <c r="JA21" s="39">
        <v>84.11</v>
      </c>
      <c r="JB21" s="39" t="s">
        <v>557</v>
      </c>
      <c r="JD21" s="39">
        <f t="shared" si="19"/>
        <v>4</v>
      </c>
      <c r="JE21" s="43">
        <f t="shared" si="21"/>
        <v>8.84139528269305E-2</v>
      </c>
      <c r="JI21" s="39">
        <v>10.88</v>
      </c>
      <c r="JJ21" s="39" t="s">
        <v>773</v>
      </c>
      <c r="JM21" s="39">
        <v>0.5</v>
      </c>
      <c r="JN21" s="39" t="s">
        <v>773</v>
      </c>
      <c r="JQ21" s="39">
        <v>266.47000000000003</v>
      </c>
      <c r="JR21" s="39" t="s">
        <v>773</v>
      </c>
      <c r="JU21" s="39">
        <v>225.76</v>
      </c>
      <c r="JV21" s="39" t="s">
        <v>773</v>
      </c>
      <c r="JX21" s="39">
        <v>2</v>
      </c>
      <c r="JY21" s="39" t="s">
        <v>754</v>
      </c>
      <c r="KB21" s="39">
        <v>4</v>
      </c>
      <c r="KC21" s="39" t="s">
        <v>754</v>
      </c>
      <c r="KD21" s="39" t="s">
        <v>773</v>
      </c>
      <c r="KF21" s="39">
        <f>IF(KG21="数据缺失",0,IF(KG21&lt;0%,0,IF(KG21&lt;20%,1,IF(KG21&lt;50%,2,IF(KG21&lt;100%,3,4)))))</f>
        <v>2</v>
      </c>
      <c r="KG21" s="43">
        <f t="shared" si="17"/>
        <v>0.36773273094756864</v>
      </c>
      <c r="KK21" s="14">
        <v>30.93</v>
      </c>
      <c r="KL21" s="39" t="s">
        <v>557</v>
      </c>
      <c r="KM21" s="39" t="s">
        <v>2858</v>
      </c>
      <c r="KO21" s="39">
        <v>84.11</v>
      </c>
      <c r="KP21" s="39" t="s">
        <v>557</v>
      </c>
    </row>
    <row r="22" spans="2:302" s="39" customFormat="1" ht="16.5" hidden="1" customHeight="1" x14ac:dyDescent="0.35">
      <c r="B22" s="39" t="s">
        <v>781</v>
      </c>
      <c r="C22" s="39" t="s">
        <v>637</v>
      </c>
      <c r="D22" s="39" t="s">
        <v>666</v>
      </c>
      <c r="E22" s="39" t="s">
        <v>545</v>
      </c>
      <c r="F22" s="112" t="s">
        <v>782</v>
      </c>
      <c r="G22" s="3" t="s">
        <v>199</v>
      </c>
      <c r="H22" s="40">
        <v>0.98970000000000002</v>
      </c>
      <c r="L22" s="42">
        <v>4</v>
      </c>
      <c r="M22" s="39" t="s">
        <v>783</v>
      </c>
      <c r="P22" s="60" t="s">
        <v>784</v>
      </c>
      <c r="Q22" s="39" t="s">
        <v>785</v>
      </c>
      <c r="R22" s="39" t="s">
        <v>786</v>
      </c>
      <c r="T22" s="60" t="s">
        <v>551</v>
      </c>
      <c r="U22" s="44">
        <v>0.26019999999999999</v>
      </c>
      <c r="X22" s="8">
        <f t="shared" si="3"/>
        <v>4</v>
      </c>
      <c r="Y22" s="43">
        <f t="shared" si="22"/>
        <v>-5.1444100928113579E-3</v>
      </c>
      <c r="AC22" s="39">
        <v>61.19</v>
      </c>
      <c r="AD22" s="39" t="s">
        <v>786</v>
      </c>
      <c r="AG22" s="78">
        <v>48.3</v>
      </c>
      <c r="AH22" s="39" t="s">
        <v>786</v>
      </c>
      <c r="AK22" s="39">
        <v>66.819999999999993</v>
      </c>
      <c r="AL22" s="39" t="s">
        <v>786</v>
      </c>
      <c r="AN22" s="39">
        <f>IF(AO22="数据缺失",0,IF(AO22&lt;-30%,6,IF(AO22&lt;-10%,5,IF(AO22&lt;0%,4,IF(AO22&lt;10%,3,IF(AO22&lt;30%,2,1))))))</f>
        <v>4</v>
      </c>
      <c r="AO22" s="43">
        <f>((AS22-AW22)/AW22+(AW22-BA22)/BA22)/2*100%</f>
        <v>-7.1111276391264966E-2</v>
      </c>
      <c r="AS22" s="39">
        <v>56.91</v>
      </c>
      <c r="AT22" s="39" t="s">
        <v>786</v>
      </c>
      <c r="AW22" s="78">
        <v>46.51</v>
      </c>
      <c r="AX22" s="39" t="s">
        <v>786</v>
      </c>
      <c r="BA22" s="39">
        <v>73.34</v>
      </c>
      <c r="BB22" s="39" t="s">
        <v>786</v>
      </c>
      <c r="BD22" s="2">
        <f t="shared" si="5"/>
        <v>4</v>
      </c>
      <c r="BE22" s="8">
        <f t="shared" si="6"/>
        <v>61.19</v>
      </c>
      <c r="BI22" s="39">
        <v>61.19</v>
      </c>
      <c r="BJ22" s="39" t="s">
        <v>786</v>
      </c>
      <c r="BL22" s="2">
        <f t="shared" si="7"/>
        <v>4</v>
      </c>
      <c r="BM22" s="39">
        <f>BQ22</f>
        <v>56.91</v>
      </c>
      <c r="BQ22" s="39">
        <v>56.91</v>
      </c>
      <c r="BR22" s="39" t="s">
        <v>786</v>
      </c>
      <c r="BT22" s="8">
        <f t="shared" si="8"/>
        <v>3</v>
      </c>
      <c r="BU22" s="39">
        <v>154</v>
      </c>
      <c r="BY22" s="14">
        <v>154</v>
      </c>
      <c r="BZ22" s="80" t="s">
        <v>787</v>
      </c>
      <c r="CB22" s="39">
        <v>1</v>
      </c>
      <c r="CC22" s="39" t="s">
        <v>553</v>
      </c>
      <c r="CF22" s="39" t="s">
        <v>553</v>
      </c>
      <c r="CG22" s="39" t="s">
        <v>698</v>
      </c>
      <c r="CH22" s="39" t="s">
        <v>786</v>
      </c>
      <c r="CJ22" s="67">
        <f t="shared" si="9"/>
        <v>0</v>
      </c>
      <c r="CK22" s="39" t="s">
        <v>573</v>
      </c>
      <c r="CO22" s="39" t="s">
        <v>573</v>
      </c>
      <c r="CS22" s="39">
        <v>61.19</v>
      </c>
      <c r="CT22" s="39" t="s">
        <v>786</v>
      </c>
      <c r="CV22" s="42">
        <f t="shared" si="15"/>
        <v>0</v>
      </c>
      <c r="CW22" s="42" t="s">
        <v>37</v>
      </c>
      <c r="DA22" s="42" t="s">
        <v>573</v>
      </c>
      <c r="DD22" s="39">
        <v>0</v>
      </c>
      <c r="DE22" s="151" t="s">
        <v>573</v>
      </c>
      <c r="DI22" s="39">
        <v>56.91</v>
      </c>
      <c r="DJ22" s="39" t="s">
        <v>788</v>
      </c>
      <c r="DM22" s="42" t="s">
        <v>573</v>
      </c>
      <c r="DP22" s="39">
        <v>3</v>
      </c>
      <c r="DQ22" s="14" t="s">
        <v>789</v>
      </c>
      <c r="DR22" s="39" t="s">
        <v>788</v>
      </c>
      <c r="DU22" s="44" t="s">
        <v>37</v>
      </c>
      <c r="DY22" s="44" t="s">
        <v>37</v>
      </c>
      <c r="EC22" s="44" t="s">
        <v>37</v>
      </c>
      <c r="EG22" s="44" t="s">
        <v>37</v>
      </c>
      <c r="EJ22" s="39">
        <f>IF(EK22="数据缺失",0,IF(EK22&lt;0%,0,IF(EK22&lt;=5%,5,IF(EK22&lt;=20%,4,IF(EK22&lt;=50%,3,IF(EK22&lt;=100,2,1))))))</f>
        <v>1</v>
      </c>
      <c r="EK22" s="39">
        <f>EO22</f>
        <v>120</v>
      </c>
      <c r="EO22" s="39">
        <v>120</v>
      </c>
      <c r="EP22" s="39" t="s">
        <v>786</v>
      </c>
      <c r="ER22" s="42">
        <f>IF(ES22="数据缺失",0,IF(ES22&lt;0%,0,IF(ES22&lt;=5%,5,IF(ES22&lt;=20%,4,IF(ES22&lt;=50%,3,IF(ES22&lt;=100,2,1))))))</f>
        <v>2</v>
      </c>
      <c r="ES22" s="39">
        <f>EW22</f>
        <v>56</v>
      </c>
      <c r="EW22" s="39">
        <v>56</v>
      </c>
      <c r="EX22" s="39" t="s">
        <v>786</v>
      </c>
      <c r="EZ22" s="39">
        <f>IF(FA22="数据缺失",0,IF(FA22&lt;0%,0,IF(FA22&lt;=50,4,IF(FA22&lt;100,3,IF(FA22&lt;200,2,1)))))</f>
        <v>1</v>
      </c>
      <c r="FA22" s="39">
        <f>FE22</f>
        <v>368</v>
      </c>
      <c r="FE22" s="39">
        <v>368</v>
      </c>
      <c r="FF22" s="39" t="s">
        <v>786</v>
      </c>
      <c r="FH22" s="39">
        <v>3</v>
      </c>
      <c r="FI22" s="14" t="s">
        <v>789</v>
      </c>
      <c r="FJ22" s="39" t="s">
        <v>786</v>
      </c>
      <c r="FM22" s="39" t="s">
        <v>573</v>
      </c>
      <c r="FQ22" s="42" t="s">
        <v>573</v>
      </c>
      <c r="FU22" s="39" t="s">
        <v>573</v>
      </c>
      <c r="FY22" s="39" t="s">
        <v>573</v>
      </c>
      <c r="FZ22" s="39" t="s">
        <v>786</v>
      </c>
      <c r="GB22" s="39">
        <v>2</v>
      </c>
      <c r="GC22" s="39" t="s">
        <v>790</v>
      </c>
      <c r="GG22" s="39" t="s">
        <v>790</v>
      </c>
      <c r="GH22" s="39" t="s">
        <v>786</v>
      </c>
      <c r="GJ22" s="39">
        <v>0</v>
      </c>
      <c r="GK22" s="39" t="s">
        <v>573</v>
      </c>
      <c r="GN22" s="39" t="s">
        <v>573</v>
      </c>
      <c r="GO22" s="39" t="s">
        <v>573</v>
      </c>
      <c r="GS22" s="39">
        <v>53.44</v>
      </c>
      <c r="GT22" s="39" t="s">
        <v>786</v>
      </c>
      <c r="GV22" s="39">
        <v>0</v>
      </c>
      <c r="GW22" s="39" t="s">
        <v>573</v>
      </c>
      <c r="HA22" s="39" t="s">
        <v>573</v>
      </c>
      <c r="HE22" s="39">
        <v>256.72000000000003</v>
      </c>
      <c r="HF22" s="39" t="s">
        <v>786</v>
      </c>
      <c r="HH22" s="39">
        <v>0</v>
      </c>
      <c r="HI22" s="42" t="s">
        <v>573</v>
      </c>
      <c r="HM22" s="42" t="s">
        <v>573</v>
      </c>
      <c r="HQ22" s="39">
        <v>8.91</v>
      </c>
      <c r="HR22" s="39" t="s">
        <v>786</v>
      </c>
      <c r="HT22" s="39">
        <f t="shared" si="20"/>
        <v>0</v>
      </c>
      <c r="HU22" s="42" t="s">
        <v>573</v>
      </c>
      <c r="HY22" s="42" t="s">
        <v>573</v>
      </c>
      <c r="IC22" s="39">
        <v>32.659999999999997</v>
      </c>
      <c r="ID22" s="39" t="s">
        <v>786</v>
      </c>
      <c r="IR22" s="3">
        <f>IF(IS22="数据缺失",0,IF(IS22&lt;0%,0,IF(IS22&lt;=100%,4,IF(IS22&lt;200%,3,IF(IS22&lt;300%,2,1)))))</f>
        <v>3</v>
      </c>
      <c r="IS22" s="5">
        <f>IW22/JA22</f>
        <v>1.0457785087719298</v>
      </c>
      <c r="IT22" s="36"/>
      <c r="IU22" s="36"/>
      <c r="IV22" s="36"/>
      <c r="IW22" s="36">
        <v>76.3</v>
      </c>
      <c r="IX22" s="36" t="s">
        <v>1240</v>
      </c>
      <c r="IY22" s="36" t="s">
        <v>401</v>
      </c>
      <c r="JA22" s="39">
        <v>72.959999999999994</v>
      </c>
      <c r="JB22" s="39" t="s">
        <v>786</v>
      </c>
      <c r="JD22" s="39">
        <f t="shared" si="19"/>
        <v>4</v>
      </c>
      <c r="JE22" s="43">
        <f t="shared" si="21"/>
        <v>9.655767694725724E-2</v>
      </c>
      <c r="JI22" s="39">
        <v>14.99</v>
      </c>
      <c r="JJ22" s="39" t="s">
        <v>786</v>
      </c>
      <c r="JM22" s="39">
        <v>1.7</v>
      </c>
      <c r="JN22" s="39" t="s">
        <v>786</v>
      </c>
      <c r="JQ22" s="39">
        <v>111.38</v>
      </c>
      <c r="JR22" s="39" t="s">
        <v>786</v>
      </c>
      <c r="JU22" s="39">
        <v>71.260000000000005</v>
      </c>
      <c r="JV22" s="39" t="s">
        <v>786</v>
      </c>
      <c r="JX22" s="39">
        <v>2</v>
      </c>
      <c r="JY22" s="39" t="s">
        <v>705</v>
      </c>
      <c r="KB22" s="39">
        <v>10</v>
      </c>
      <c r="KC22" s="39" t="s">
        <v>705</v>
      </c>
      <c r="KD22" s="39" t="s">
        <v>786</v>
      </c>
      <c r="KF22" s="39">
        <v>0</v>
      </c>
      <c r="KG22" s="39" t="s">
        <v>573</v>
      </c>
      <c r="KK22" s="39" t="s">
        <v>573</v>
      </c>
      <c r="KO22" s="39">
        <v>72.959999999999994</v>
      </c>
      <c r="KP22" s="39" t="s">
        <v>786</v>
      </c>
    </row>
    <row r="23" spans="2:302" s="39" customFormat="1" ht="16.5" customHeight="1" x14ac:dyDescent="0.35">
      <c r="B23" s="39" t="s">
        <v>791</v>
      </c>
      <c r="C23" s="39" t="s">
        <v>543</v>
      </c>
      <c r="D23" s="39" t="s">
        <v>792</v>
      </c>
      <c r="E23" s="39" t="s">
        <v>545</v>
      </c>
      <c r="F23" s="112" t="s">
        <v>793</v>
      </c>
      <c r="G23" s="3" t="s">
        <v>174</v>
      </c>
      <c r="H23" s="40">
        <v>1</v>
      </c>
      <c r="L23" s="158">
        <v>4</v>
      </c>
      <c r="M23" s="39" t="s">
        <v>794</v>
      </c>
      <c r="P23" s="60" t="s">
        <v>722</v>
      </c>
      <c r="Q23" s="39" t="s">
        <v>795</v>
      </c>
      <c r="R23" s="39" t="s">
        <v>796</v>
      </c>
      <c r="T23" s="60" t="s">
        <v>797</v>
      </c>
      <c r="U23" s="44">
        <v>0.63929999999999998</v>
      </c>
      <c r="X23" s="8">
        <f t="shared" si="3"/>
        <v>6</v>
      </c>
      <c r="Y23" s="43">
        <f t="shared" si="22"/>
        <v>-1.1093982930687418</v>
      </c>
      <c r="AC23" s="39">
        <v>0.21</v>
      </c>
      <c r="AD23" s="39" t="s">
        <v>557</v>
      </c>
      <c r="AG23" s="187">
        <v>-3.17</v>
      </c>
      <c r="AH23" s="39" t="s">
        <v>798</v>
      </c>
      <c r="AK23" s="39">
        <v>20.78</v>
      </c>
      <c r="AL23" s="39" t="s">
        <v>798</v>
      </c>
      <c r="AN23" s="39">
        <v>6</v>
      </c>
      <c r="AO23" s="43">
        <f>((AS23-AW23)/AW23+(AW23-BA23)/BA23)/2*100%</f>
        <v>-1.1323004694835681</v>
      </c>
      <c r="AS23" s="39">
        <v>0.04</v>
      </c>
      <c r="AT23" s="39" t="s">
        <v>557</v>
      </c>
      <c r="AW23" s="187">
        <v>-0.75</v>
      </c>
      <c r="AX23" s="39" t="s">
        <v>798</v>
      </c>
      <c r="BA23" s="39">
        <v>3.55</v>
      </c>
      <c r="BB23" s="39" t="s">
        <v>798</v>
      </c>
      <c r="BD23" s="2">
        <f t="shared" si="5"/>
        <v>5</v>
      </c>
      <c r="BE23" s="8">
        <f t="shared" si="6"/>
        <v>0.21</v>
      </c>
      <c r="BI23" s="39">
        <v>0.21</v>
      </c>
      <c r="BJ23" s="39" t="s">
        <v>557</v>
      </c>
      <c r="BL23" s="2">
        <f t="shared" si="7"/>
        <v>5</v>
      </c>
      <c r="BM23" s="39">
        <v>0.04</v>
      </c>
      <c r="BQ23" s="39">
        <v>0.04</v>
      </c>
      <c r="BR23" s="39" t="s">
        <v>557</v>
      </c>
      <c r="BT23" s="8">
        <f t="shared" si="8"/>
        <v>3</v>
      </c>
      <c r="BU23" s="39">
        <v>206</v>
      </c>
      <c r="BY23" s="14">
        <v>206</v>
      </c>
      <c r="BZ23" s="80" t="s">
        <v>676</v>
      </c>
      <c r="CA23" s="39" t="s">
        <v>799</v>
      </c>
      <c r="CB23" s="39">
        <v>4</v>
      </c>
      <c r="CC23" s="39" t="s">
        <v>800</v>
      </c>
      <c r="CF23" s="39" t="s">
        <v>800</v>
      </c>
      <c r="CG23" s="39" t="s">
        <v>801</v>
      </c>
      <c r="CH23" s="39" t="s">
        <v>798</v>
      </c>
      <c r="CJ23" s="67">
        <f t="shared" si="9"/>
        <v>0</v>
      </c>
      <c r="CK23" s="39" t="s">
        <v>573</v>
      </c>
      <c r="CO23" s="39" t="s">
        <v>573</v>
      </c>
      <c r="CS23" s="39">
        <f t="shared" ref="CS23:CT25" si="23">AC23</f>
        <v>0.21</v>
      </c>
      <c r="CT23" s="39" t="str">
        <f t="shared" si="23"/>
        <v>年报2015</v>
      </c>
      <c r="CV23" s="42">
        <f t="shared" si="15"/>
        <v>0</v>
      </c>
      <c r="CW23" s="39" t="str">
        <f>DA23</f>
        <v>数据缺失</v>
      </c>
      <c r="DA23" s="42" t="s">
        <v>573</v>
      </c>
      <c r="DD23" s="39">
        <v>0</v>
      </c>
      <c r="DE23" s="151" t="s">
        <v>573</v>
      </c>
      <c r="DI23" s="39">
        <f>AS23</f>
        <v>0.04</v>
      </c>
      <c r="DJ23" s="39" t="str">
        <f>AT23</f>
        <v>年报2015</v>
      </c>
      <c r="DM23" s="42" t="s">
        <v>573</v>
      </c>
      <c r="DP23" s="39">
        <v>1</v>
      </c>
      <c r="DQ23" s="14" t="s">
        <v>802</v>
      </c>
      <c r="DR23" s="36" t="str">
        <f>BB23</f>
        <v>募集20160120</v>
      </c>
      <c r="DU23" s="44" t="s">
        <v>573</v>
      </c>
      <c r="DY23" s="44" t="s">
        <v>573</v>
      </c>
      <c r="EC23" s="44" t="s">
        <v>573</v>
      </c>
      <c r="EG23" s="44" t="s">
        <v>573</v>
      </c>
      <c r="EJ23" s="39">
        <v>0</v>
      </c>
      <c r="EK23" s="39" t="str">
        <f>EO23</f>
        <v>数据缺失</v>
      </c>
      <c r="EO23" s="39" t="s">
        <v>573</v>
      </c>
      <c r="ER23" s="42">
        <v>0</v>
      </c>
      <c r="ES23" s="39" t="s">
        <v>573</v>
      </c>
      <c r="EW23" s="39" t="s">
        <v>573</v>
      </c>
      <c r="EZ23" s="39">
        <v>0</v>
      </c>
      <c r="FA23" s="39" t="s">
        <v>573</v>
      </c>
      <c r="FE23" s="39" t="s">
        <v>573</v>
      </c>
      <c r="FH23" s="39">
        <v>1</v>
      </c>
      <c r="FI23" s="14" t="s">
        <v>802</v>
      </c>
      <c r="FJ23" s="36" t="str">
        <f>CT23</f>
        <v>年报2015</v>
      </c>
      <c r="FM23" s="39" t="s">
        <v>573</v>
      </c>
      <c r="FQ23" s="42" t="s">
        <v>573</v>
      </c>
      <c r="FU23" s="39" t="s">
        <v>573</v>
      </c>
      <c r="FY23" s="39" t="s">
        <v>573</v>
      </c>
      <c r="GB23" s="39">
        <v>2</v>
      </c>
      <c r="GC23" s="39" t="str">
        <f>GG23</f>
        <v>房地产销售：6.43% 租金收入：93.57%</v>
      </c>
      <c r="GG23" s="39" t="s">
        <v>803</v>
      </c>
      <c r="GH23" s="39" t="s">
        <v>796</v>
      </c>
      <c r="GJ23" s="39">
        <f>IF(GK23="数据缺失",0,IF(GK23&lt;0%,0,IF(GK23&lt;=5%,4,IF(GK23&lt;10%,3,IF(GK23&lt;20%,2,1)))))</f>
        <v>1</v>
      </c>
      <c r="GK23" s="39">
        <f>GN23/GS23</f>
        <v>0.9363636363636364</v>
      </c>
      <c r="GN23" s="39">
        <v>3.09</v>
      </c>
      <c r="GO23" s="39" t="s">
        <v>804</v>
      </c>
      <c r="GP23" s="39" t="s">
        <v>796</v>
      </c>
      <c r="GS23" s="39">
        <v>3.3</v>
      </c>
      <c r="GT23" s="39" t="s">
        <v>557</v>
      </c>
      <c r="GV23" s="39">
        <f>IF(GW23="数据缺失",0,IF(GW23&lt;20%,1,IF(GW23&lt;40%,2,IF(GW23&lt;60%,3,IF(GW23&lt;80%,4,IF(GW23&lt;=100%,5,0))))))</f>
        <v>2</v>
      </c>
      <c r="GW23" s="39">
        <f>HA23/HE23*100%</f>
        <v>0.30697925920203928</v>
      </c>
      <c r="HA23" s="39">
        <v>79.48</v>
      </c>
      <c r="HB23" s="39" t="s">
        <v>557</v>
      </c>
      <c r="HE23" s="39">
        <v>258.91000000000003</v>
      </c>
      <c r="HF23" s="39" t="s">
        <v>557</v>
      </c>
      <c r="HH23" s="39">
        <f>IF(HI23="数据缺失",0,IF(HI23&lt;20%,1,IF(HI23&lt;40%,2,IF(HI23&lt;60%,3,IF(HI23&lt;80%,4,IF(HI23&lt;=100%,5,0))))))</f>
        <v>1</v>
      </c>
      <c r="HI23" s="42">
        <f>HM23/HQ23</f>
        <v>3.7752609371530092E-3</v>
      </c>
      <c r="HM23" s="42">
        <v>0.17</v>
      </c>
      <c r="HN23" s="39" t="s">
        <v>557</v>
      </c>
      <c r="HQ23" s="39">
        <v>45.03</v>
      </c>
      <c r="HR23" s="39" t="s">
        <v>557</v>
      </c>
      <c r="HT23" s="39">
        <f t="shared" si="20"/>
        <v>4</v>
      </c>
      <c r="HU23" s="42">
        <v>0</v>
      </c>
      <c r="HY23" s="42">
        <v>0</v>
      </c>
      <c r="HZ23" s="39" t="s">
        <v>557</v>
      </c>
      <c r="IC23" s="39">
        <v>21.5</v>
      </c>
      <c r="ID23" s="39" t="s">
        <v>557</v>
      </c>
      <c r="IR23" s="42">
        <v>4</v>
      </c>
      <c r="IS23" s="39">
        <f>IW23/JA23</f>
        <v>0.37878787878787878</v>
      </c>
      <c r="IW23" s="39">
        <v>30</v>
      </c>
      <c r="IX23" s="39" t="s">
        <v>557</v>
      </c>
      <c r="JA23" s="39">
        <v>79.2</v>
      </c>
      <c r="JB23" s="39" t="s">
        <v>557</v>
      </c>
      <c r="JD23" s="39">
        <f t="shared" si="19"/>
        <v>1</v>
      </c>
      <c r="JE23" s="43">
        <f t="shared" si="21"/>
        <v>2.8150217903538589E-2</v>
      </c>
      <c r="JI23" s="39">
        <v>2.7</v>
      </c>
      <c r="JJ23" s="39" t="s">
        <v>796</v>
      </c>
      <c r="JM23" s="39">
        <v>8.84</v>
      </c>
      <c r="JN23" s="39" t="s">
        <v>796</v>
      </c>
      <c r="JQ23" s="39">
        <v>21.7</v>
      </c>
      <c r="JR23" s="39" t="s">
        <v>796</v>
      </c>
      <c r="JU23" s="39">
        <v>0</v>
      </c>
      <c r="JV23" s="39" t="s">
        <v>796</v>
      </c>
      <c r="JX23" s="39">
        <v>1</v>
      </c>
      <c r="JY23" s="39" t="s">
        <v>732</v>
      </c>
      <c r="KB23" s="39">
        <v>1</v>
      </c>
      <c r="KC23" s="39" t="s">
        <v>732</v>
      </c>
      <c r="KD23" s="39" t="s">
        <v>557</v>
      </c>
      <c r="KF23" s="39">
        <f>IF(KG23="数据缺失",0,IF(KG23&lt;0%,0,IF(KG23&lt;20%,1,IF(KG23&lt;50%,2,IF(KG23&lt;100%,3,4)))))</f>
        <v>2</v>
      </c>
      <c r="KG23" s="40">
        <f>KK23/KO23</f>
        <v>0.36363636363636365</v>
      </c>
      <c r="KK23" s="39">
        <v>28.8</v>
      </c>
      <c r="KL23" s="39" t="s">
        <v>557</v>
      </c>
      <c r="KM23" s="39" t="s">
        <v>2858</v>
      </c>
      <c r="KO23" s="39">
        <f>JA23</f>
        <v>79.2</v>
      </c>
      <c r="KP23" s="39" t="str">
        <f>JB23</f>
        <v>年报2015</v>
      </c>
    </row>
    <row r="24" spans="2:302" s="39" customFormat="1" ht="16.5" customHeight="1" x14ac:dyDescent="0.35">
      <c r="B24" s="39" t="s">
        <v>805</v>
      </c>
      <c r="C24" s="39" t="s">
        <v>543</v>
      </c>
      <c r="D24" s="39" t="s">
        <v>792</v>
      </c>
      <c r="E24" s="39" t="s">
        <v>545</v>
      </c>
      <c r="F24" s="112" t="s">
        <v>806</v>
      </c>
      <c r="G24" s="3" t="s">
        <v>199</v>
      </c>
      <c r="H24" s="40">
        <v>1</v>
      </c>
      <c r="L24" s="158">
        <v>4</v>
      </c>
      <c r="M24" s="39" t="s">
        <v>794</v>
      </c>
      <c r="P24" s="60" t="s">
        <v>722</v>
      </c>
      <c r="Q24" s="39" t="s">
        <v>795</v>
      </c>
      <c r="R24" s="39" t="s">
        <v>796</v>
      </c>
      <c r="T24" s="60" t="s">
        <v>797</v>
      </c>
      <c r="U24" s="44">
        <v>0.63929999999999998</v>
      </c>
      <c r="X24" s="8">
        <f t="shared" si="3"/>
        <v>6</v>
      </c>
      <c r="Y24" s="43">
        <f t="shared" si="22"/>
        <v>-0.99488720263778141</v>
      </c>
      <c r="AC24" s="39">
        <v>-3.17</v>
      </c>
      <c r="AD24" s="39" t="s">
        <v>798</v>
      </c>
      <c r="AG24" s="78">
        <v>20.78</v>
      </c>
      <c r="AH24" s="39" t="s">
        <v>798</v>
      </c>
      <c r="AK24" s="39">
        <v>127.66</v>
      </c>
      <c r="AL24" s="39" t="s">
        <v>798</v>
      </c>
      <c r="AN24" s="39">
        <v>6</v>
      </c>
      <c r="AO24" s="43">
        <f>((AS24-AW24)/AW24+(AW24-BA24)/BA24)/2*100%</f>
        <v>-1.0319823505347436</v>
      </c>
      <c r="AS24" s="39">
        <v>-0.75</v>
      </c>
      <c r="AT24" s="39" t="s">
        <v>798</v>
      </c>
      <c r="AW24" s="78">
        <v>3.55</v>
      </c>
      <c r="AX24" s="39" t="s">
        <v>798</v>
      </c>
      <c r="BA24" s="39">
        <v>24.1</v>
      </c>
      <c r="BB24" s="39" t="s">
        <v>798</v>
      </c>
      <c r="BD24" s="2">
        <f t="shared" si="5"/>
        <v>5</v>
      </c>
      <c r="BE24" s="8">
        <f t="shared" si="6"/>
        <v>-3.17</v>
      </c>
      <c r="BI24" s="39">
        <v>-3.17</v>
      </c>
      <c r="BJ24" s="39" t="s">
        <v>798</v>
      </c>
      <c r="BL24" s="2">
        <f t="shared" si="7"/>
        <v>5</v>
      </c>
      <c r="BM24" s="39">
        <f>BQ24</f>
        <v>-0.75</v>
      </c>
      <c r="BQ24" s="39">
        <f>AS24</f>
        <v>-0.75</v>
      </c>
      <c r="BR24" s="39" t="str">
        <f>AT24</f>
        <v>募集20160120</v>
      </c>
      <c r="BT24" s="8">
        <f t="shared" si="8"/>
        <v>3</v>
      </c>
      <c r="BU24" s="39">
        <v>187</v>
      </c>
      <c r="BY24" s="14">
        <v>187</v>
      </c>
      <c r="BZ24" s="80" t="s">
        <v>807</v>
      </c>
      <c r="CA24" s="39" t="s">
        <v>799</v>
      </c>
      <c r="CB24" s="39">
        <v>4</v>
      </c>
      <c r="CC24" s="39" t="s">
        <v>800</v>
      </c>
      <c r="CF24" s="39" t="s">
        <v>800</v>
      </c>
      <c r="CG24" s="39" t="s">
        <v>801</v>
      </c>
      <c r="CH24" s="39" t="s">
        <v>798</v>
      </c>
      <c r="CJ24" s="67">
        <f t="shared" si="9"/>
        <v>0</v>
      </c>
      <c r="CK24" s="39" t="s">
        <v>573</v>
      </c>
      <c r="CO24" s="39" t="s">
        <v>573</v>
      </c>
      <c r="CS24" s="39">
        <f t="shared" si="23"/>
        <v>-3.17</v>
      </c>
      <c r="CT24" s="39" t="str">
        <f t="shared" si="23"/>
        <v>募集20160120</v>
      </c>
      <c r="CV24" s="42">
        <f t="shared" si="15"/>
        <v>0</v>
      </c>
      <c r="CW24" s="39" t="str">
        <f>DA24</f>
        <v>数据缺失</v>
      </c>
      <c r="DA24" s="42" t="s">
        <v>573</v>
      </c>
      <c r="DD24" s="39">
        <v>0</v>
      </c>
      <c r="DE24" s="151" t="s">
        <v>573</v>
      </c>
      <c r="DI24" s="39">
        <f>AS24</f>
        <v>-0.75</v>
      </c>
      <c r="DJ24" s="39" t="str">
        <f>AT24</f>
        <v>募集20160120</v>
      </c>
      <c r="DM24" s="42" t="s">
        <v>573</v>
      </c>
      <c r="DP24" s="39">
        <v>1</v>
      </c>
      <c r="DQ24" s="14" t="s">
        <v>802</v>
      </c>
      <c r="DR24" s="36" t="str">
        <f>BB24</f>
        <v>募集20160120</v>
      </c>
      <c r="DU24" s="44" t="s">
        <v>573</v>
      </c>
      <c r="DY24" s="44" t="s">
        <v>573</v>
      </c>
      <c r="EC24" s="44" t="s">
        <v>573</v>
      </c>
      <c r="EG24" s="44" t="s">
        <v>573</v>
      </c>
      <c r="EJ24" s="39">
        <v>0</v>
      </c>
      <c r="EK24" s="39" t="s">
        <v>573</v>
      </c>
      <c r="EO24" s="39" t="s">
        <v>573</v>
      </c>
      <c r="ER24" s="42">
        <v>0</v>
      </c>
      <c r="ES24" s="39" t="s">
        <v>573</v>
      </c>
      <c r="EW24" s="39" t="s">
        <v>573</v>
      </c>
      <c r="EZ24" s="39">
        <v>0</v>
      </c>
      <c r="FA24" s="39" t="s">
        <v>573</v>
      </c>
      <c r="FE24" s="39" t="s">
        <v>573</v>
      </c>
      <c r="FH24" s="39">
        <v>1</v>
      </c>
      <c r="FI24" s="14" t="s">
        <v>802</v>
      </c>
      <c r="FJ24" s="36" t="str">
        <f>CT24</f>
        <v>募集20160120</v>
      </c>
      <c r="FM24" s="39" t="s">
        <v>573</v>
      </c>
      <c r="FQ24" s="42" t="s">
        <v>573</v>
      </c>
      <c r="FU24" s="39" t="s">
        <v>573</v>
      </c>
      <c r="FY24" s="39" t="s">
        <v>573</v>
      </c>
      <c r="GB24" s="39">
        <v>2</v>
      </c>
      <c r="GC24" s="39" t="str">
        <f>GG24</f>
        <v>房地产销售：98.90% 租金收入：1.10%</v>
      </c>
      <c r="GG24" s="39" t="s">
        <v>808</v>
      </c>
      <c r="GH24" s="39" t="s">
        <v>796</v>
      </c>
      <c r="GJ24" s="39">
        <f>IF(GK24="数据缺失",0,IF(GK24&lt;0%,0,IF(GK24&lt;=5%,4,IF(GK24&lt;10%,3,IF(GK24&lt;20%,2,1)))))</f>
        <v>4</v>
      </c>
      <c r="GK24" s="39">
        <f>GN24/GS24</f>
        <v>1.0951403148528405E-2</v>
      </c>
      <c r="GN24" s="39">
        <v>0.48</v>
      </c>
      <c r="GO24" s="39" t="s">
        <v>809</v>
      </c>
      <c r="GP24" s="39" t="s">
        <v>796</v>
      </c>
      <c r="GS24" s="39">
        <v>43.83</v>
      </c>
      <c r="GT24" s="39" t="s">
        <v>557</v>
      </c>
      <c r="GV24" s="39">
        <f>IF(GW24="数据缺失",0,IF(GW24&lt;20%,1,IF(GW24&lt;40%,2,IF(GW24&lt;60%,3,IF(GW24&lt;80%,4,IF(GW24&lt;=100%,5,0))))))</f>
        <v>0</v>
      </c>
      <c r="GW24" s="39" t="s">
        <v>573</v>
      </c>
      <c r="HA24" s="39" t="s">
        <v>573</v>
      </c>
      <c r="HE24" s="39">
        <v>157.63</v>
      </c>
      <c r="HF24" s="39" t="s">
        <v>557</v>
      </c>
      <c r="HH24" s="39">
        <v>1</v>
      </c>
      <c r="HI24" s="42">
        <f>HM24/HQ24</f>
        <v>0.19676549865229109</v>
      </c>
      <c r="HM24" s="42">
        <v>1.46</v>
      </c>
      <c r="HN24" s="39" t="s">
        <v>557</v>
      </c>
      <c r="HQ24" s="39">
        <v>7.42</v>
      </c>
      <c r="HR24" s="39" t="s">
        <v>557</v>
      </c>
      <c r="HT24" s="39">
        <f t="shared" si="20"/>
        <v>4</v>
      </c>
      <c r="HU24" s="42">
        <v>0</v>
      </c>
      <c r="HY24" s="42">
        <v>0</v>
      </c>
      <c r="HZ24" s="39" t="s">
        <v>557</v>
      </c>
      <c r="IC24" s="39">
        <v>0</v>
      </c>
      <c r="ID24" s="39" t="s">
        <v>557</v>
      </c>
      <c r="IR24" s="42">
        <v>0</v>
      </c>
      <c r="IS24" s="39" t="s">
        <v>573</v>
      </c>
      <c r="IW24" s="39" t="s">
        <v>573</v>
      </c>
      <c r="JA24" s="39">
        <v>77.1417</v>
      </c>
      <c r="JB24" s="39" t="s">
        <v>796</v>
      </c>
      <c r="JD24" s="39">
        <f t="shared" si="19"/>
        <v>4</v>
      </c>
      <c r="JE24" s="43">
        <f t="shared" si="21"/>
        <v>0.11520070603384042</v>
      </c>
      <c r="JI24" s="39">
        <v>19.11</v>
      </c>
      <c r="JJ24" s="39" t="s">
        <v>796</v>
      </c>
      <c r="JM24" s="39">
        <v>7.08</v>
      </c>
      <c r="JN24" s="39" t="s">
        <v>796</v>
      </c>
      <c r="JQ24" s="39">
        <v>0</v>
      </c>
      <c r="JR24" s="39" t="s">
        <v>796</v>
      </c>
      <c r="JU24" s="39">
        <v>46.86</v>
      </c>
      <c r="JV24" s="39" t="s">
        <v>796</v>
      </c>
      <c r="JX24" s="39">
        <v>1</v>
      </c>
      <c r="JY24" s="39" t="s">
        <v>732</v>
      </c>
      <c r="KB24" s="39">
        <v>1</v>
      </c>
      <c r="KC24" s="39" t="s">
        <v>732</v>
      </c>
      <c r="KD24" s="39" t="s">
        <v>557</v>
      </c>
      <c r="KF24" s="39">
        <f>IF(KG24="数据缺失",0,IF(KG24&lt;0%,0,IF(KG24&lt;20%,1,IF(KG24&lt;50%,2,IF(KG24&lt;100%,3,4)))))</f>
        <v>2</v>
      </c>
      <c r="KG24" s="40">
        <f>KK24/KO24</f>
        <v>0.48922956066563222</v>
      </c>
      <c r="KK24" s="39">
        <v>37.74</v>
      </c>
      <c r="KL24" s="39" t="s">
        <v>557</v>
      </c>
      <c r="KM24" s="39" t="s">
        <v>2858</v>
      </c>
      <c r="KO24" s="39">
        <f>JA24</f>
        <v>77.1417</v>
      </c>
      <c r="KP24" s="39" t="s">
        <v>810</v>
      </c>
    </row>
    <row r="25" spans="2:302" s="39" customFormat="1" ht="16.5" hidden="1" customHeight="1" x14ac:dyDescent="0.35">
      <c r="B25" s="39" t="s">
        <v>811</v>
      </c>
      <c r="C25" s="39" t="s">
        <v>543</v>
      </c>
      <c r="D25" s="39" t="s">
        <v>792</v>
      </c>
      <c r="E25" s="39" t="s">
        <v>545</v>
      </c>
      <c r="F25" s="112" t="s">
        <v>812</v>
      </c>
      <c r="G25" s="3" t="s">
        <v>174</v>
      </c>
      <c r="H25" s="40">
        <v>0.82569999999999999</v>
      </c>
      <c r="L25" s="42">
        <v>4</v>
      </c>
      <c r="M25" s="39" t="s">
        <v>813</v>
      </c>
      <c r="P25" s="60" t="s">
        <v>722</v>
      </c>
      <c r="Q25" s="39" t="s">
        <v>814</v>
      </c>
      <c r="R25" s="39" t="s">
        <v>815</v>
      </c>
      <c r="T25" s="60" t="s">
        <v>551</v>
      </c>
      <c r="U25" s="44">
        <v>0.42199999999999999</v>
      </c>
      <c r="X25" s="8">
        <f t="shared" si="3"/>
        <v>6</v>
      </c>
      <c r="Y25" s="43">
        <f>(AC25-AG25)/AG25</f>
        <v>-1</v>
      </c>
      <c r="AC25" s="39">
        <v>0</v>
      </c>
      <c r="AD25" s="39" t="s">
        <v>815</v>
      </c>
      <c r="AG25" s="78">
        <v>0.12</v>
      </c>
      <c r="AH25" s="39" t="s">
        <v>815</v>
      </c>
      <c r="AK25" s="39">
        <v>0</v>
      </c>
      <c r="AL25" s="39" t="s">
        <v>816</v>
      </c>
      <c r="AN25" s="39">
        <v>1</v>
      </c>
      <c r="AO25" s="43">
        <f>((AS25-AW25)/AW25+(AW25-BA25)/BA25)/2*100%</f>
        <v>1</v>
      </c>
      <c r="AS25" s="39">
        <v>0</v>
      </c>
      <c r="AT25" s="39" t="s">
        <v>815</v>
      </c>
      <c r="AW25" s="78">
        <v>0.04</v>
      </c>
      <c r="AX25" s="39" t="s">
        <v>815</v>
      </c>
      <c r="BA25" s="39">
        <v>0.01</v>
      </c>
      <c r="BB25" s="39" t="s">
        <v>816</v>
      </c>
      <c r="BD25" s="2">
        <f t="shared" si="5"/>
        <v>5</v>
      </c>
      <c r="BE25" s="8">
        <f t="shared" si="6"/>
        <v>0</v>
      </c>
      <c r="BI25" s="39">
        <v>0</v>
      </c>
      <c r="BJ25" s="39" t="s">
        <v>815</v>
      </c>
      <c r="BL25" s="2">
        <f t="shared" si="7"/>
        <v>5</v>
      </c>
      <c r="BM25" s="39">
        <v>0</v>
      </c>
      <c r="BQ25" s="39">
        <v>0</v>
      </c>
      <c r="BR25" s="39" t="s">
        <v>815</v>
      </c>
      <c r="BT25" s="8">
        <f t="shared" si="8"/>
        <v>5</v>
      </c>
      <c r="BU25" s="39" t="s">
        <v>626</v>
      </c>
      <c r="BY25" s="14" t="s">
        <v>626</v>
      </c>
      <c r="BZ25" s="80" t="s">
        <v>842</v>
      </c>
      <c r="CB25" s="39">
        <v>1</v>
      </c>
      <c r="CC25" s="39" t="str">
        <f>CF25</f>
        <v>一级</v>
      </c>
      <c r="CF25" s="39" t="s">
        <v>553</v>
      </c>
      <c r="CG25" s="39" t="s">
        <v>817</v>
      </c>
      <c r="CH25" s="39" t="s">
        <v>818</v>
      </c>
      <c r="CJ25" s="67">
        <f t="shared" si="9"/>
        <v>2</v>
      </c>
      <c r="CK25" s="39">
        <v>0</v>
      </c>
      <c r="CO25" s="39">
        <v>0</v>
      </c>
      <c r="CP25" s="39" t="s">
        <v>557</v>
      </c>
      <c r="CQ25" s="39" t="s">
        <v>819</v>
      </c>
      <c r="CS25" s="39">
        <f t="shared" si="23"/>
        <v>0</v>
      </c>
      <c r="CT25" s="39" t="str">
        <f t="shared" si="23"/>
        <v>评级20160620</v>
      </c>
      <c r="CV25" s="42">
        <f t="shared" si="15"/>
        <v>5</v>
      </c>
      <c r="CW25" s="39">
        <v>48.58</v>
      </c>
      <c r="DA25" s="42">
        <v>48.58</v>
      </c>
      <c r="DB25" s="39" t="s">
        <v>818</v>
      </c>
      <c r="DC25" s="39" t="s">
        <v>820</v>
      </c>
      <c r="DD25" s="39">
        <v>2</v>
      </c>
      <c r="DE25" s="151" t="s">
        <v>821</v>
      </c>
      <c r="DI25" s="39">
        <v>0</v>
      </c>
      <c r="DJ25" s="39" t="s">
        <v>815</v>
      </c>
      <c r="DM25" s="42">
        <v>48.58</v>
      </c>
      <c r="DN25" s="39" t="s">
        <v>818</v>
      </c>
      <c r="DO25" s="39" t="s">
        <v>820</v>
      </c>
      <c r="DP25" s="39">
        <v>1</v>
      </c>
      <c r="DQ25" s="14" t="s">
        <v>822</v>
      </c>
      <c r="DU25" s="44">
        <v>0.81020000000000003</v>
      </c>
      <c r="DV25" s="39" t="s">
        <v>815</v>
      </c>
      <c r="DY25" s="44">
        <v>0.1898</v>
      </c>
      <c r="DZ25" s="39" t="s">
        <v>815</v>
      </c>
      <c r="EC25" s="44">
        <v>0</v>
      </c>
      <c r="ED25" s="39" t="s">
        <v>815</v>
      </c>
      <c r="EG25" s="44">
        <v>0</v>
      </c>
      <c r="EH25" s="39" t="s">
        <v>815</v>
      </c>
      <c r="EJ25" s="39">
        <v>4</v>
      </c>
      <c r="EK25" s="39">
        <v>9.15</v>
      </c>
      <c r="EO25" s="39">
        <v>9.15</v>
      </c>
      <c r="EP25" s="39" t="s">
        <v>815</v>
      </c>
      <c r="ER25" s="42">
        <v>5</v>
      </c>
      <c r="ES25" s="39">
        <v>0</v>
      </c>
      <c r="EW25" s="39">
        <v>0</v>
      </c>
      <c r="EX25" s="39" t="s">
        <v>815</v>
      </c>
      <c r="EZ25" s="39">
        <v>4</v>
      </c>
      <c r="FA25" s="39">
        <v>38.979999999999997</v>
      </c>
      <c r="FE25" s="39">
        <v>38.979999999999997</v>
      </c>
      <c r="FF25" s="39" t="s">
        <v>815</v>
      </c>
      <c r="FH25" s="39">
        <v>1</v>
      </c>
      <c r="FI25" s="14" t="s">
        <v>823</v>
      </c>
      <c r="FM25" s="40">
        <v>0.76349999999999996</v>
      </c>
      <c r="FN25" s="39" t="s">
        <v>815</v>
      </c>
      <c r="FQ25" s="44">
        <v>0.23649999999999999</v>
      </c>
      <c r="FR25" s="39" t="s">
        <v>815</v>
      </c>
      <c r="FU25" s="39">
        <v>0</v>
      </c>
      <c r="FV25" s="39" t="s">
        <v>815</v>
      </c>
      <c r="FY25" s="39">
        <v>0</v>
      </c>
      <c r="FZ25" s="39" t="s">
        <v>815</v>
      </c>
      <c r="GB25" s="39">
        <v>3</v>
      </c>
      <c r="GC25" s="39" t="s">
        <v>824</v>
      </c>
      <c r="GG25" s="39" t="s">
        <v>824</v>
      </c>
      <c r="GH25" s="39" t="s">
        <v>815</v>
      </c>
      <c r="GJ25" s="39">
        <f>IF(GK25="数据缺失",0,IF(GK25&lt;0%,0,IF(GK25&lt;=5%,4,IF(GK25&lt;10%,3,IF(GK25&lt;20%,2,1)))))</f>
        <v>1</v>
      </c>
      <c r="GK25" s="39">
        <f>GN25/GS25</f>
        <v>0.82352941176470595</v>
      </c>
      <c r="GN25" s="39">
        <v>8.9600000000000009</v>
      </c>
      <c r="GO25" s="39" t="s">
        <v>825</v>
      </c>
      <c r="GP25" s="39" t="s">
        <v>815</v>
      </c>
      <c r="GS25" s="39">
        <v>10.88</v>
      </c>
      <c r="GT25" s="39" t="s">
        <v>815</v>
      </c>
      <c r="GV25" s="39">
        <f>IF(GW25="数据缺失",0,IF(GW25&lt;20%,1,IF(GW25&lt;40%,2,IF(GW25&lt;60%,3,IF(GW25&lt;80%,4,IF(GW25&lt;=100%,5,0))))))</f>
        <v>3</v>
      </c>
      <c r="GW25" s="39">
        <f>HA25/HE25*100%</f>
        <v>0.52441669159437632</v>
      </c>
      <c r="HA25" s="39">
        <v>140.25</v>
      </c>
      <c r="HB25" s="39" t="s">
        <v>557</v>
      </c>
      <c r="HE25" s="39">
        <v>267.44</v>
      </c>
      <c r="HF25" s="39" t="s">
        <v>557</v>
      </c>
      <c r="HH25" s="39">
        <f>IF(HI25="数据缺失",0,IF(HI25&lt;20%,1,IF(HI25&lt;40%,2,IF(HI25&lt;60%,3,IF(HI25&lt;80%,4,IF(HI25&lt;=100%,5,0))))))</f>
        <v>1</v>
      </c>
      <c r="HI25" s="42">
        <f>HM25/HQ25</f>
        <v>9.3341300655780363E-2</v>
      </c>
      <c r="HM25" s="42">
        <v>1.133281</v>
      </c>
      <c r="HN25" s="39" t="s">
        <v>557</v>
      </c>
      <c r="HQ25" s="39">
        <v>12.141260000000001</v>
      </c>
      <c r="HR25" s="39" t="s">
        <v>557</v>
      </c>
      <c r="HT25" s="39">
        <v>4</v>
      </c>
      <c r="HU25" s="42">
        <v>0</v>
      </c>
      <c r="HY25" s="42">
        <v>0</v>
      </c>
      <c r="HZ25" s="39" t="s">
        <v>557</v>
      </c>
      <c r="IC25" s="39">
        <v>88</v>
      </c>
      <c r="ID25" s="39" t="s">
        <v>557</v>
      </c>
      <c r="IR25" s="42">
        <v>3</v>
      </c>
      <c r="IS25" s="39">
        <f>IW25/JA25</f>
        <v>1.2731520815632966</v>
      </c>
      <c r="IW25" s="39">
        <v>119.88</v>
      </c>
      <c r="IX25" s="39" t="s">
        <v>557</v>
      </c>
      <c r="JA25" s="39">
        <v>94.16</v>
      </c>
      <c r="JB25" s="39" t="s">
        <v>557</v>
      </c>
      <c r="JD25" s="39">
        <f t="shared" si="19"/>
        <v>2</v>
      </c>
      <c r="JE25" s="43">
        <f t="shared" si="21"/>
        <v>5.2790813759708205E-2</v>
      </c>
      <c r="JI25" s="39">
        <v>21.49</v>
      </c>
      <c r="JJ25" s="39" t="s">
        <v>815</v>
      </c>
      <c r="JM25" s="39">
        <v>3.84</v>
      </c>
      <c r="JN25" s="39" t="s">
        <v>815</v>
      </c>
      <c r="JQ25" s="39">
        <v>109.88</v>
      </c>
      <c r="JR25" s="39" t="s">
        <v>815</v>
      </c>
      <c r="JU25" s="39">
        <v>102.14</v>
      </c>
      <c r="JV25" s="39" t="s">
        <v>815</v>
      </c>
      <c r="JX25" s="39">
        <v>2</v>
      </c>
      <c r="JY25" s="39" t="s">
        <v>826</v>
      </c>
      <c r="KB25" s="39">
        <v>18</v>
      </c>
      <c r="KC25" s="39" t="s">
        <v>826</v>
      </c>
      <c r="KD25" s="39" t="s">
        <v>557</v>
      </c>
      <c r="KF25" s="39">
        <v>4</v>
      </c>
      <c r="KG25" s="40">
        <f>KK25/KO25</f>
        <v>1.0107975222185892</v>
      </c>
      <c r="KK25" s="39">
        <v>95.18</v>
      </c>
      <c r="KL25" s="39" t="s">
        <v>557</v>
      </c>
      <c r="KO25" s="39">
        <v>94.163269999999997</v>
      </c>
      <c r="KP25" s="39" t="s">
        <v>557</v>
      </c>
    </row>
    <row r="26" spans="2:302" s="39" customFormat="1" ht="16.5" hidden="1" customHeight="1" x14ac:dyDescent="0.35">
      <c r="B26" s="39" t="s">
        <v>811</v>
      </c>
      <c r="C26" s="39" t="s">
        <v>543</v>
      </c>
      <c r="D26" s="39" t="s">
        <v>792</v>
      </c>
      <c r="E26" s="39" t="s">
        <v>545</v>
      </c>
      <c r="F26" s="112" t="s">
        <v>812</v>
      </c>
      <c r="G26" s="3" t="s">
        <v>199</v>
      </c>
      <c r="H26" s="40">
        <v>0.81759999999999999</v>
      </c>
      <c r="L26" s="42">
        <v>4</v>
      </c>
      <c r="M26" s="39" t="s">
        <v>827</v>
      </c>
      <c r="P26" s="60" t="s">
        <v>722</v>
      </c>
      <c r="Q26" s="39" t="s">
        <v>828</v>
      </c>
      <c r="R26" s="39" t="s">
        <v>818</v>
      </c>
      <c r="T26" s="60" t="s">
        <v>551</v>
      </c>
      <c r="U26" s="44">
        <v>0.42199999999999999</v>
      </c>
      <c r="X26" s="8">
        <f t="shared" si="3"/>
        <v>6</v>
      </c>
      <c r="Y26" s="43">
        <f>(AC26-AK26)/AK26</f>
        <v>-0.47826086956521741</v>
      </c>
      <c r="AC26" s="39">
        <v>0.12</v>
      </c>
      <c r="AD26" s="39" t="s">
        <v>816</v>
      </c>
      <c r="AG26" s="78">
        <v>0</v>
      </c>
      <c r="AH26" s="39" t="s">
        <v>816</v>
      </c>
      <c r="AK26" s="39">
        <v>0.23</v>
      </c>
      <c r="AL26" s="39" t="s">
        <v>816</v>
      </c>
      <c r="AN26" s="39">
        <v>1</v>
      </c>
      <c r="AO26" s="43">
        <f>((AS26-AW26)/AW26+(AW26-BA26)/BA26)/2*100%</f>
        <v>1.125</v>
      </c>
      <c r="AS26" s="39">
        <v>0.04</v>
      </c>
      <c r="AT26" s="39" t="s">
        <v>816</v>
      </c>
      <c r="AW26" s="78">
        <v>0.01</v>
      </c>
      <c r="AX26" s="39" t="s">
        <v>816</v>
      </c>
      <c r="BA26" s="39">
        <v>0.04</v>
      </c>
      <c r="BB26" s="39" t="s">
        <v>816</v>
      </c>
      <c r="BD26" s="2">
        <f t="shared" si="5"/>
        <v>5</v>
      </c>
      <c r="BE26" s="8">
        <f t="shared" si="6"/>
        <v>0.12</v>
      </c>
      <c r="BI26" s="39">
        <v>0.12</v>
      </c>
      <c r="BJ26" s="39" t="s">
        <v>815</v>
      </c>
      <c r="BL26" s="2">
        <f t="shared" si="7"/>
        <v>5</v>
      </c>
      <c r="BM26" s="39">
        <v>0.04</v>
      </c>
      <c r="BQ26" s="39">
        <v>0.04</v>
      </c>
      <c r="BR26" s="39" t="s">
        <v>815</v>
      </c>
      <c r="BT26" s="8">
        <f t="shared" si="8"/>
        <v>5</v>
      </c>
      <c r="BU26" s="39" t="s">
        <v>626</v>
      </c>
      <c r="BY26" s="14" t="s">
        <v>626</v>
      </c>
      <c r="BZ26" s="80" t="s">
        <v>331</v>
      </c>
      <c r="CB26" s="39">
        <v>1</v>
      </c>
      <c r="CC26" s="39" t="str">
        <f>CF26</f>
        <v>一级</v>
      </c>
      <c r="CF26" s="39" t="s">
        <v>553</v>
      </c>
      <c r="CG26" s="39" t="s">
        <v>829</v>
      </c>
      <c r="CH26" s="39" t="s">
        <v>816</v>
      </c>
      <c r="CJ26" s="67">
        <f t="shared" si="9"/>
        <v>0</v>
      </c>
      <c r="CK26" s="39" t="s">
        <v>573</v>
      </c>
      <c r="CO26" s="39" t="s">
        <v>573</v>
      </c>
      <c r="CS26" s="39">
        <v>0.12</v>
      </c>
      <c r="CT26" s="39" t="s">
        <v>815</v>
      </c>
      <c r="CV26" s="42">
        <f t="shared" si="15"/>
        <v>0</v>
      </c>
      <c r="CW26" s="39" t="s">
        <v>573</v>
      </c>
      <c r="DA26" s="42" t="s">
        <v>573</v>
      </c>
      <c r="DD26" s="39">
        <v>0</v>
      </c>
      <c r="DE26" s="151" t="s">
        <v>573</v>
      </c>
      <c r="DI26" s="39">
        <v>0.04</v>
      </c>
      <c r="DJ26" s="39" t="s">
        <v>815</v>
      </c>
      <c r="DM26" s="42" t="s">
        <v>573</v>
      </c>
      <c r="DP26" s="39">
        <v>5</v>
      </c>
      <c r="DQ26" s="14" t="s">
        <v>573</v>
      </c>
      <c r="DU26" s="44" t="s">
        <v>573</v>
      </c>
      <c r="DY26" s="44" t="s">
        <v>573</v>
      </c>
      <c r="EC26" s="44" t="s">
        <v>573</v>
      </c>
      <c r="EG26" s="44" t="s">
        <v>573</v>
      </c>
      <c r="EJ26" s="39">
        <v>5</v>
      </c>
      <c r="EK26" s="39">
        <v>4.82</v>
      </c>
      <c r="EO26" s="39">
        <v>4.82</v>
      </c>
      <c r="EP26" s="39" t="s">
        <v>815</v>
      </c>
      <c r="ER26" s="42">
        <v>5</v>
      </c>
      <c r="ES26" s="39">
        <v>0</v>
      </c>
      <c r="EW26" s="39">
        <v>0</v>
      </c>
      <c r="EX26" s="39" t="s">
        <v>815</v>
      </c>
      <c r="EZ26" s="39">
        <v>0</v>
      </c>
      <c r="FA26" s="39" t="s">
        <v>573</v>
      </c>
      <c r="FE26" s="39" t="s">
        <v>573</v>
      </c>
      <c r="FH26" s="39">
        <v>5</v>
      </c>
      <c r="FI26" s="14" t="s">
        <v>573</v>
      </c>
      <c r="FM26" s="39" t="s">
        <v>573</v>
      </c>
      <c r="FQ26" s="42" t="s">
        <v>573</v>
      </c>
      <c r="FU26" s="39" t="s">
        <v>573</v>
      </c>
      <c r="FY26" s="39" t="s">
        <v>37</v>
      </c>
      <c r="GB26" s="39">
        <v>3</v>
      </c>
      <c r="GC26" s="39" t="s">
        <v>830</v>
      </c>
      <c r="GG26" s="39" t="s">
        <v>830</v>
      </c>
      <c r="GH26" s="39" t="s">
        <v>816</v>
      </c>
      <c r="GJ26" s="39">
        <f>IF(GK26="数据缺失",0,IF(GK26&lt;0%,0,IF(GK26&lt;=5%,4,IF(GK26&lt;10%,3,IF(GK26&lt;20%,2,1)))))</f>
        <v>1</v>
      </c>
      <c r="GK26" s="39">
        <f>GN26/GS26</f>
        <v>0.79743354720439952</v>
      </c>
      <c r="GN26" s="39">
        <v>8.6999999999999993</v>
      </c>
      <c r="GO26" s="39" t="s">
        <v>831</v>
      </c>
      <c r="GP26" s="39" t="s">
        <v>816</v>
      </c>
      <c r="GS26" s="39">
        <v>10.91</v>
      </c>
      <c r="GT26" s="39" t="s">
        <v>816</v>
      </c>
      <c r="GV26" s="39">
        <v>0</v>
      </c>
      <c r="GW26" s="39" t="s">
        <v>573</v>
      </c>
      <c r="HA26" s="39" t="s">
        <v>573</v>
      </c>
      <c r="HE26" s="39">
        <v>233.59203600000001</v>
      </c>
      <c r="HF26" s="39" t="s">
        <v>557</v>
      </c>
      <c r="HH26" s="39">
        <v>1</v>
      </c>
      <c r="HI26" s="42">
        <f>HM26/HQ26</f>
        <v>0.14364135407136322</v>
      </c>
      <c r="HM26" s="42">
        <v>1.57</v>
      </c>
      <c r="HN26" s="39" t="s">
        <v>816</v>
      </c>
      <c r="HQ26" s="39">
        <v>10.93</v>
      </c>
      <c r="HR26" s="39" t="s">
        <v>557</v>
      </c>
      <c r="HT26" s="39">
        <v>0</v>
      </c>
      <c r="HU26" s="42" t="s">
        <v>573</v>
      </c>
      <c r="HY26" s="42" t="s">
        <v>573</v>
      </c>
      <c r="IC26" s="39">
        <v>98.18</v>
      </c>
      <c r="ID26" s="39" t="s">
        <v>557</v>
      </c>
      <c r="IR26" s="42">
        <v>0</v>
      </c>
      <c r="IS26" s="39" t="s">
        <v>573</v>
      </c>
      <c r="IW26" s="39" t="s">
        <v>573</v>
      </c>
      <c r="JA26" s="39">
        <v>76.010000000000005</v>
      </c>
      <c r="JB26" s="39" t="s">
        <v>815</v>
      </c>
      <c r="JD26" s="39">
        <f t="shared" si="19"/>
        <v>3</v>
      </c>
      <c r="JE26" s="43">
        <f t="shared" si="21"/>
        <v>7.5841844473657591E-2</v>
      </c>
      <c r="JI26" s="39">
        <v>21.15</v>
      </c>
      <c r="JJ26" s="39" t="s">
        <v>832</v>
      </c>
      <c r="JM26" s="39">
        <v>3.19</v>
      </c>
      <c r="JN26" s="39" t="s">
        <v>832</v>
      </c>
      <c r="JQ26" s="39">
        <v>102.14</v>
      </c>
      <c r="JR26" s="39" t="s">
        <v>832</v>
      </c>
      <c r="JU26" s="39">
        <v>72.7</v>
      </c>
      <c r="JV26" s="39" t="s">
        <v>832</v>
      </c>
      <c r="JX26" s="39">
        <v>2</v>
      </c>
      <c r="JY26" s="39" t="s">
        <v>833</v>
      </c>
      <c r="KB26" s="39">
        <v>10</v>
      </c>
      <c r="KC26" s="39" t="s">
        <v>833</v>
      </c>
      <c r="KD26" s="39" t="s">
        <v>816</v>
      </c>
      <c r="KF26" s="36">
        <f>IF(KG26="数据缺失",0,IF(KG26&lt;0%,0,IF(KG26&lt;20%,1,IF(KG26&lt;50%,2,IF(KG26&lt;100%,3,4)))))</f>
        <v>1</v>
      </c>
      <c r="KG26" s="39">
        <v>0</v>
      </c>
      <c r="KK26" s="39">
        <v>0</v>
      </c>
      <c r="KL26" s="39" t="s">
        <v>2877</v>
      </c>
      <c r="KO26" s="39">
        <f>JA26</f>
        <v>76.010000000000005</v>
      </c>
      <c r="KP26" s="39" t="str">
        <f>JB26</f>
        <v>评级20160620</v>
      </c>
    </row>
    <row r="27" spans="2:302" s="39" customFormat="1" ht="16.5" hidden="1" customHeight="1" x14ac:dyDescent="0.35">
      <c r="B27" s="39" t="s">
        <v>834</v>
      </c>
      <c r="C27" s="39" t="s">
        <v>543</v>
      </c>
      <c r="D27" s="39" t="s">
        <v>792</v>
      </c>
      <c r="E27" s="39" t="s">
        <v>545</v>
      </c>
      <c r="F27" s="112" t="s">
        <v>857</v>
      </c>
      <c r="G27" s="3" t="s">
        <v>199</v>
      </c>
      <c r="H27" s="40">
        <f>53.37/204.63</f>
        <v>0.26081219762498165</v>
      </c>
      <c r="I27" s="39" t="s">
        <v>3100</v>
      </c>
      <c r="J27" s="39" t="s">
        <v>835</v>
      </c>
      <c r="L27" s="42"/>
      <c r="P27" s="60"/>
      <c r="T27" s="60"/>
      <c r="U27" s="44"/>
      <c r="X27" s="8">
        <f t="shared" si="3"/>
        <v>3</v>
      </c>
      <c r="Y27" s="43"/>
      <c r="AG27" s="78"/>
      <c r="AO27" s="43"/>
      <c r="AW27" s="78"/>
      <c r="BD27" s="2">
        <f t="shared" si="5"/>
        <v>5</v>
      </c>
      <c r="BE27" s="8">
        <f t="shared" si="6"/>
        <v>0</v>
      </c>
      <c r="BL27" s="2">
        <f t="shared" si="7"/>
        <v>5</v>
      </c>
      <c r="BT27" s="8">
        <f t="shared" si="8"/>
        <v>1</v>
      </c>
      <c r="BY27" s="14"/>
      <c r="BZ27" s="80"/>
      <c r="CJ27" s="67"/>
      <c r="CV27" s="42"/>
      <c r="DA27" s="42"/>
      <c r="DE27" s="151"/>
      <c r="DM27" s="42"/>
      <c r="DQ27" s="14"/>
      <c r="DU27" s="44"/>
      <c r="DY27" s="44"/>
      <c r="EC27" s="44"/>
      <c r="EG27" s="44"/>
      <c r="ER27" s="42"/>
      <c r="FI27" s="14"/>
      <c r="FQ27" s="42"/>
      <c r="HI27" s="42"/>
      <c r="HM27" s="42"/>
      <c r="HU27" s="42"/>
      <c r="HY27" s="42"/>
      <c r="IR27" s="42"/>
      <c r="JD27" s="39">
        <f t="shared" si="19"/>
        <v>1</v>
      </c>
      <c r="JE27" s="43"/>
    </row>
    <row r="28" spans="2:302" s="39" customFormat="1" ht="16.5" hidden="1" customHeight="1" x14ac:dyDescent="0.35">
      <c r="B28" s="39" t="s">
        <v>836</v>
      </c>
      <c r="C28" s="39" t="s">
        <v>543</v>
      </c>
      <c r="D28" s="39" t="s">
        <v>792</v>
      </c>
      <c r="E28" s="39" t="s">
        <v>545</v>
      </c>
      <c r="F28" s="112" t="s">
        <v>837</v>
      </c>
      <c r="G28" s="3" t="s">
        <v>174</v>
      </c>
      <c r="H28" s="40">
        <v>0.95899999999999996</v>
      </c>
      <c r="L28" s="42">
        <v>4</v>
      </c>
      <c r="M28" s="39" t="s">
        <v>838</v>
      </c>
      <c r="P28" s="60" t="s">
        <v>722</v>
      </c>
      <c r="Q28" s="39" t="s">
        <v>839</v>
      </c>
      <c r="R28" s="39" t="s">
        <v>840</v>
      </c>
      <c r="T28" s="60" t="s">
        <v>551</v>
      </c>
      <c r="U28" s="44">
        <v>0.33040000000000003</v>
      </c>
      <c r="X28" s="8">
        <f t="shared" si="3"/>
        <v>3</v>
      </c>
      <c r="Y28" s="43">
        <f>((AC28-AG28)/AG28+(AG28-AK28)/AK28)/2*100%</f>
        <v>3.6024973529870295E-2</v>
      </c>
      <c r="AC28" s="39">
        <v>115.73</v>
      </c>
      <c r="AD28" s="39" t="s">
        <v>841</v>
      </c>
      <c r="AG28" s="78">
        <v>109.92</v>
      </c>
      <c r="AH28" s="39" t="s">
        <v>841</v>
      </c>
      <c r="AK28" s="39">
        <v>107.85</v>
      </c>
      <c r="AL28" s="39" t="s">
        <v>841</v>
      </c>
      <c r="AN28" s="39">
        <v>4</v>
      </c>
      <c r="AO28" s="43">
        <f>((AS28-AW28)/AW28+(AW28-BA28)/BA28)/2*100%</f>
        <v>-1.546275831249919E-2</v>
      </c>
      <c r="AS28" s="39">
        <v>72.87</v>
      </c>
      <c r="AT28" s="39" t="s">
        <v>841</v>
      </c>
      <c r="AW28" s="78">
        <v>71.5</v>
      </c>
      <c r="AX28" s="39" t="s">
        <v>841</v>
      </c>
      <c r="BA28" s="39">
        <v>75.27</v>
      </c>
      <c r="BB28" s="39" t="s">
        <v>841</v>
      </c>
      <c r="BD28" s="2">
        <f t="shared" si="5"/>
        <v>3</v>
      </c>
      <c r="BE28" s="8">
        <f t="shared" si="6"/>
        <v>115.73</v>
      </c>
      <c r="BI28" s="39">
        <v>115.73</v>
      </c>
      <c r="BJ28" s="39" t="s">
        <v>841</v>
      </c>
      <c r="BL28" s="2">
        <f t="shared" si="7"/>
        <v>4</v>
      </c>
      <c r="BM28" s="39">
        <v>72.87</v>
      </c>
      <c r="BQ28" s="39">
        <v>72.87</v>
      </c>
      <c r="BR28" s="39" t="s">
        <v>841</v>
      </c>
      <c r="BT28" s="8">
        <f t="shared" si="8"/>
        <v>3</v>
      </c>
      <c r="BU28" s="39">
        <v>137</v>
      </c>
      <c r="BY28" s="14">
        <v>137</v>
      </c>
      <c r="BZ28" s="80" t="s">
        <v>842</v>
      </c>
      <c r="CB28" s="39">
        <v>1</v>
      </c>
      <c r="CC28" s="39" t="str">
        <f t="shared" ref="CC28:CC33" si="24">CF28</f>
        <v>一级</v>
      </c>
      <c r="CF28" s="39" t="s">
        <v>553</v>
      </c>
      <c r="CG28" s="39" t="s">
        <v>829</v>
      </c>
      <c r="CH28" s="39" t="s">
        <v>843</v>
      </c>
      <c r="CJ28" s="67">
        <f t="shared" si="9"/>
        <v>0</v>
      </c>
      <c r="CK28" s="39" t="s">
        <v>573</v>
      </c>
      <c r="CO28" s="39" t="s">
        <v>573</v>
      </c>
      <c r="CS28" s="39">
        <v>115.73</v>
      </c>
      <c r="CT28" s="39" t="s">
        <v>841</v>
      </c>
      <c r="CV28" s="42">
        <f t="shared" si="15"/>
        <v>3</v>
      </c>
      <c r="CW28" s="3">
        <v>617.21</v>
      </c>
      <c r="CX28" s="36"/>
      <c r="CY28" s="36"/>
      <c r="CZ28" s="36"/>
      <c r="DA28" s="3">
        <v>617.21</v>
      </c>
      <c r="DB28" s="36" t="s">
        <v>844</v>
      </c>
      <c r="DC28" s="36" t="s">
        <v>845</v>
      </c>
      <c r="DD28" s="39">
        <v>2</v>
      </c>
      <c r="DE28" s="151">
        <f>DM28/DI28</f>
        <v>8.4700150953753255</v>
      </c>
      <c r="DI28" s="39">
        <f>AS28</f>
        <v>72.87</v>
      </c>
      <c r="DJ28" s="39" t="str">
        <f>AT28</f>
        <v>评级20160930</v>
      </c>
      <c r="DM28" s="42">
        <v>617.21</v>
      </c>
      <c r="DN28" s="39" t="s">
        <v>844</v>
      </c>
      <c r="DO28" s="36" t="s">
        <v>845</v>
      </c>
      <c r="DP28" s="39">
        <v>2</v>
      </c>
      <c r="DQ28" s="14" t="s">
        <v>846</v>
      </c>
      <c r="DR28" s="39" t="str">
        <f>BB28</f>
        <v>评级20160930</v>
      </c>
      <c r="DS28" s="36" t="s">
        <v>847</v>
      </c>
      <c r="DU28" s="44">
        <v>0.33329999999999999</v>
      </c>
      <c r="DV28" s="39" t="s">
        <v>844</v>
      </c>
      <c r="DY28" s="44">
        <v>0.47710000000000002</v>
      </c>
      <c r="DZ28" s="39" t="s">
        <v>844</v>
      </c>
      <c r="EC28" s="44">
        <v>0.18959999999999999</v>
      </c>
      <c r="ED28" s="39" t="s">
        <v>844</v>
      </c>
      <c r="EG28" s="44">
        <v>0</v>
      </c>
      <c r="EH28" s="39" t="s">
        <v>844</v>
      </c>
      <c r="EJ28" s="39">
        <v>2</v>
      </c>
      <c r="EK28" s="39">
        <v>80.150000000000006</v>
      </c>
      <c r="EO28" s="39">
        <v>80.150000000000006</v>
      </c>
      <c r="EP28" s="39" t="s">
        <v>841</v>
      </c>
      <c r="ER28" s="42">
        <v>1</v>
      </c>
      <c r="ES28" s="39">
        <v>131.81</v>
      </c>
      <c r="EW28" s="39">
        <v>131.81</v>
      </c>
      <c r="EX28" s="39" t="s">
        <v>841</v>
      </c>
      <c r="EZ28" s="39">
        <v>0</v>
      </c>
      <c r="FA28" s="39" t="s">
        <v>573</v>
      </c>
      <c r="FE28" s="39" t="s">
        <v>573</v>
      </c>
      <c r="FH28" s="39">
        <v>2</v>
      </c>
      <c r="FI28" s="14" t="s">
        <v>848</v>
      </c>
      <c r="FJ28" s="39" t="s">
        <v>841</v>
      </c>
      <c r="FM28" s="39" t="s">
        <v>573</v>
      </c>
      <c r="FQ28" s="42" t="s">
        <v>573</v>
      </c>
      <c r="FU28" s="39" t="s">
        <v>573</v>
      </c>
      <c r="FY28" s="39" t="s">
        <v>573</v>
      </c>
      <c r="GB28" s="39">
        <v>2</v>
      </c>
      <c r="GC28" s="39" t="s">
        <v>849</v>
      </c>
      <c r="GG28" s="39" t="s">
        <v>849</v>
      </c>
      <c r="GH28" s="39" t="s">
        <v>841</v>
      </c>
      <c r="GJ28" s="39">
        <v>4</v>
      </c>
      <c r="GK28" s="43">
        <f>GN28/GS28</f>
        <v>3.5678585159554022E-2</v>
      </c>
      <c r="GN28" s="39">
        <f>2.12+2.52</f>
        <v>4.6400000000000006</v>
      </c>
      <c r="GO28" s="39" t="s">
        <v>850</v>
      </c>
      <c r="GP28" s="39" t="s">
        <v>841</v>
      </c>
      <c r="GS28" s="39">
        <v>130.05000000000001</v>
      </c>
      <c r="GT28" s="39" t="s">
        <v>841</v>
      </c>
      <c r="GV28" s="36">
        <v>1</v>
      </c>
      <c r="GW28" s="5">
        <f>HA28/HE28*100%</f>
        <v>0.13577880027266531</v>
      </c>
      <c r="GX28" s="36"/>
      <c r="GY28" s="36"/>
      <c r="GZ28" s="36"/>
      <c r="HA28" s="36">
        <f>46.17+17.57</f>
        <v>63.74</v>
      </c>
      <c r="HB28" s="36" t="s">
        <v>843</v>
      </c>
      <c r="HC28" s="36" t="s">
        <v>851</v>
      </c>
      <c r="HE28" s="39">
        <v>469.44</v>
      </c>
      <c r="HF28" s="39" t="s">
        <v>841</v>
      </c>
      <c r="HH28" s="6">
        <v>1</v>
      </c>
      <c r="HI28" s="3">
        <f>HM28/HQ28</f>
        <v>0</v>
      </c>
      <c r="HJ28" s="6"/>
      <c r="HK28" s="6"/>
      <c r="HL28" s="6"/>
      <c r="HM28" s="3">
        <v>0</v>
      </c>
      <c r="HN28" s="6" t="s">
        <v>2852</v>
      </c>
      <c r="HO28" s="6" t="s">
        <v>2853</v>
      </c>
      <c r="HQ28" s="39">
        <v>35.24</v>
      </c>
      <c r="HR28" s="39" t="s">
        <v>840</v>
      </c>
      <c r="HT28" s="36">
        <v>2</v>
      </c>
      <c r="HU28" s="82">
        <f>HY28/IC28</f>
        <v>0.14712806026365349</v>
      </c>
      <c r="HV28" s="36"/>
      <c r="HW28" s="36"/>
      <c r="HX28" s="36"/>
      <c r="HY28" s="3">
        <v>12.5</v>
      </c>
      <c r="HZ28" s="36" t="s">
        <v>840</v>
      </c>
      <c r="IC28" s="39">
        <v>84.96</v>
      </c>
      <c r="ID28" s="39" t="s">
        <v>840</v>
      </c>
      <c r="IR28" s="42">
        <v>3</v>
      </c>
      <c r="IS28" s="39">
        <f>IW28/JA28</f>
        <v>1.2853569366942468</v>
      </c>
      <c r="IW28" s="39">
        <v>200.4</v>
      </c>
      <c r="IX28" s="39" t="s">
        <v>597</v>
      </c>
      <c r="IY28" s="39" t="s">
        <v>852</v>
      </c>
      <c r="JA28" s="39">
        <v>155.91</v>
      </c>
      <c r="JB28" s="39" t="s">
        <v>840</v>
      </c>
      <c r="JD28" s="39">
        <f t="shared" si="19"/>
        <v>3</v>
      </c>
      <c r="JE28" s="43">
        <f>JI28/JM28/(JQ28+JU28)*2</f>
        <v>7.2704418843160784E-2</v>
      </c>
      <c r="JI28" s="39">
        <v>49.57</v>
      </c>
      <c r="JJ28" s="39" t="s">
        <v>841</v>
      </c>
      <c r="JM28" s="39">
        <v>5.93</v>
      </c>
      <c r="JN28" s="39" t="s">
        <v>841</v>
      </c>
      <c r="JQ28" s="39">
        <v>114.7</v>
      </c>
      <c r="JR28" s="39" t="s">
        <v>841</v>
      </c>
      <c r="JU28" s="39">
        <v>115.25</v>
      </c>
      <c r="JV28" s="39" t="s">
        <v>841</v>
      </c>
      <c r="JX28" s="39">
        <v>2</v>
      </c>
      <c r="JY28" s="39" t="s">
        <v>826</v>
      </c>
      <c r="KB28" s="39">
        <v>18</v>
      </c>
      <c r="KC28" s="39" t="s">
        <v>826</v>
      </c>
      <c r="KD28" s="39" t="s">
        <v>840</v>
      </c>
      <c r="KF28" s="39">
        <f>IF(KG28="数据缺失",0,IF(KG28&lt;0%,0,IF(KG28&lt;20%,1,IF(KG28&lt;50%,2,IF(KG28&lt;100%,3,4)))))</f>
        <v>1</v>
      </c>
      <c r="KG28" s="5">
        <f>KK28/KO28</f>
        <v>2.5655827079725485E-3</v>
      </c>
      <c r="KH28" s="36"/>
      <c r="KI28" s="36"/>
      <c r="KJ28" s="36"/>
      <c r="KK28" s="36">
        <v>0.4</v>
      </c>
      <c r="KL28" s="36" t="s">
        <v>844</v>
      </c>
      <c r="KM28" s="36" t="s">
        <v>845</v>
      </c>
      <c r="KO28" s="39">
        <f>JA28</f>
        <v>155.91</v>
      </c>
      <c r="KP28" s="39" t="str">
        <f>JB28</f>
        <v>募集20160930</v>
      </c>
    </row>
    <row r="29" spans="2:302" s="39" customFormat="1" ht="16.5" hidden="1" customHeight="1" x14ac:dyDescent="0.35">
      <c r="B29" s="39" t="s">
        <v>836</v>
      </c>
      <c r="C29" s="39" t="s">
        <v>543</v>
      </c>
      <c r="D29" s="39" t="s">
        <v>792</v>
      </c>
      <c r="E29" s="39" t="s">
        <v>545</v>
      </c>
      <c r="F29" s="112" t="s">
        <v>837</v>
      </c>
      <c r="G29" s="3" t="s">
        <v>199</v>
      </c>
      <c r="H29" s="40">
        <f>(90.57+3.6)/101.49</f>
        <v>0.92787466745492164</v>
      </c>
      <c r="L29" s="42">
        <v>4</v>
      </c>
      <c r="M29" s="39" t="s">
        <v>838</v>
      </c>
      <c r="P29" s="60" t="s">
        <v>722</v>
      </c>
      <c r="Q29" s="39" t="s">
        <v>839</v>
      </c>
      <c r="R29" s="39" t="s">
        <v>840</v>
      </c>
      <c r="T29" s="60" t="s">
        <v>129</v>
      </c>
      <c r="U29" s="44">
        <v>0.33040000000000003</v>
      </c>
      <c r="X29" s="8">
        <f t="shared" si="3"/>
        <v>4</v>
      </c>
      <c r="Y29" s="43">
        <f>((AC29-AG29)/AG29+(AG29-AK29)/AK29)/2*100%</f>
        <v>-2.7050528208274582E-2</v>
      </c>
      <c r="AC29" s="39">
        <v>109.92</v>
      </c>
      <c r="AD29" s="39" t="s">
        <v>844</v>
      </c>
      <c r="AG29" s="78">
        <v>107.85</v>
      </c>
      <c r="AH29" s="39" t="s">
        <v>844</v>
      </c>
      <c r="AK29" s="39">
        <v>116.38</v>
      </c>
      <c r="AL29" s="39" t="s">
        <v>844</v>
      </c>
      <c r="AN29" s="39">
        <v>5</v>
      </c>
      <c r="AO29" s="43">
        <f>((AS29-AW29)/AW29+(AW29-BA29)/BA29)/2*100%</f>
        <v>-0.13358280759959659</v>
      </c>
      <c r="AS29" s="39">
        <v>71.5</v>
      </c>
      <c r="AT29" s="39" t="s">
        <v>844</v>
      </c>
      <c r="AW29" s="78">
        <v>75.27</v>
      </c>
      <c r="AX29" s="39" t="s">
        <v>844</v>
      </c>
      <c r="BA29" s="39">
        <v>96.14</v>
      </c>
      <c r="BB29" s="39" t="s">
        <v>844</v>
      </c>
      <c r="BD29" s="2">
        <f t="shared" si="5"/>
        <v>3</v>
      </c>
      <c r="BE29" s="8">
        <f t="shared" si="6"/>
        <v>109.92</v>
      </c>
      <c r="BI29" s="39">
        <v>109.92</v>
      </c>
      <c r="BJ29" s="39" t="s">
        <v>844</v>
      </c>
      <c r="BL29" s="2">
        <f t="shared" si="7"/>
        <v>4</v>
      </c>
      <c r="BM29" s="39">
        <v>71.5</v>
      </c>
      <c r="BQ29" s="39">
        <v>71.5</v>
      </c>
      <c r="BR29" s="39" t="s">
        <v>844</v>
      </c>
      <c r="BT29" s="8">
        <f t="shared" si="8"/>
        <v>3</v>
      </c>
      <c r="BU29" s="39">
        <v>108</v>
      </c>
      <c r="BY29" s="14">
        <v>108</v>
      </c>
      <c r="BZ29" s="80" t="s">
        <v>787</v>
      </c>
      <c r="CB29" s="39">
        <v>1</v>
      </c>
      <c r="CC29" s="39" t="str">
        <f t="shared" si="24"/>
        <v>一级</v>
      </c>
      <c r="CF29" s="39" t="s">
        <v>553</v>
      </c>
      <c r="CG29" s="39" t="s">
        <v>829</v>
      </c>
      <c r="CH29" s="39" t="s">
        <v>843</v>
      </c>
      <c r="CJ29" s="67">
        <f t="shared" si="9"/>
        <v>0</v>
      </c>
      <c r="CK29" s="39" t="s">
        <v>573</v>
      </c>
      <c r="CO29" s="39" t="s">
        <v>573</v>
      </c>
      <c r="CS29" s="39">
        <v>109.92</v>
      </c>
      <c r="CT29" s="39" t="s">
        <v>841</v>
      </c>
      <c r="CV29" s="42">
        <f t="shared" si="15"/>
        <v>0</v>
      </c>
      <c r="CW29" s="39" t="s">
        <v>573</v>
      </c>
      <c r="DA29" s="42" t="s">
        <v>573</v>
      </c>
      <c r="DD29" s="39">
        <v>0</v>
      </c>
      <c r="DE29" s="151" t="s">
        <v>573</v>
      </c>
      <c r="DI29" s="39">
        <v>71.5</v>
      </c>
      <c r="DJ29" s="39" t="s">
        <v>844</v>
      </c>
      <c r="DM29" s="42" t="s">
        <v>573</v>
      </c>
      <c r="DP29" s="39">
        <v>5</v>
      </c>
      <c r="DQ29" s="44" t="s">
        <v>37</v>
      </c>
      <c r="DU29" s="44" t="s">
        <v>573</v>
      </c>
      <c r="DY29" s="44" t="s">
        <v>573</v>
      </c>
      <c r="EC29" s="44" t="s">
        <v>573</v>
      </c>
      <c r="EG29" s="44" t="s">
        <v>573</v>
      </c>
      <c r="EJ29" s="39">
        <v>1</v>
      </c>
      <c r="EK29" s="39">
        <v>105.31</v>
      </c>
      <c r="EO29" s="39">
        <v>105.31</v>
      </c>
      <c r="EP29" s="39" t="s">
        <v>844</v>
      </c>
      <c r="ER29" s="42" t="str">
        <f>IF(ES29&gt;100,"1",IF(ES29&gt;50,"2",IF(ES29&gt;20,"3",IF(ES29&gt;5,"4",IF(ES29&gt;=0,"5",IF(ES29=数据缺失,"0"))))))</f>
        <v>2</v>
      </c>
      <c r="ES29" s="39">
        <f>EW29</f>
        <v>51.65</v>
      </c>
      <c r="EW29" s="39">
        <v>51.65</v>
      </c>
      <c r="EX29" s="39" t="s">
        <v>844</v>
      </c>
      <c r="EZ29" s="39">
        <v>0</v>
      </c>
      <c r="FA29" s="39" t="s">
        <v>573</v>
      </c>
      <c r="FE29" s="39" t="s">
        <v>573</v>
      </c>
      <c r="FH29" s="39">
        <v>5</v>
      </c>
      <c r="FI29" s="14" t="s">
        <v>37</v>
      </c>
      <c r="FM29" s="39" t="s">
        <v>573</v>
      </c>
      <c r="FQ29" s="42" t="s">
        <v>573</v>
      </c>
      <c r="FU29" s="39" t="s">
        <v>573</v>
      </c>
      <c r="FY29" s="39" t="s">
        <v>573</v>
      </c>
      <c r="GB29" s="39">
        <v>2</v>
      </c>
      <c r="GC29" s="39" t="s">
        <v>855</v>
      </c>
      <c r="GG29" s="39" t="s">
        <v>855</v>
      </c>
      <c r="GH29" s="39" t="s">
        <v>844</v>
      </c>
      <c r="GJ29" s="39">
        <v>4</v>
      </c>
      <c r="GK29" s="39">
        <f>GN29/GS29</f>
        <v>3.5274411272046509E-2</v>
      </c>
      <c r="GN29" s="39">
        <v>3.58</v>
      </c>
      <c r="GO29" s="39" t="s">
        <v>856</v>
      </c>
      <c r="GP29" s="39" t="s">
        <v>844</v>
      </c>
      <c r="GS29" s="39">
        <v>101.49</v>
      </c>
      <c r="GT29" s="39" t="s">
        <v>844</v>
      </c>
      <c r="GV29" s="39">
        <v>0</v>
      </c>
      <c r="GW29" s="39" t="s">
        <v>573</v>
      </c>
      <c r="HA29" s="39" t="s">
        <v>573</v>
      </c>
      <c r="HE29" s="39">
        <v>416.81</v>
      </c>
      <c r="HF29" s="39" t="s">
        <v>844</v>
      </c>
      <c r="HH29" s="39">
        <v>0</v>
      </c>
      <c r="HI29" s="42" t="s">
        <v>573</v>
      </c>
      <c r="HM29" s="42" t="s">
        <v>573</v>
      </c>
      <c r="HQ29" s="39">
        <v>39.049999999999997</v>
      </c>
      <c r="HR29" s="39" t="s">
        <v>844</v>
      </c>
      <c r="HT29" s="6">
        <v>2</v>
      </c>
      <c r="HU29" s="82">
        <f>HY29/IC29</f>
        <v>0.21592859594919328</v>
      </c>
      <c r="HV29" s="6"/>
      <c r="HW29" s="6"/>
      <c r="HX29" s="6"/>
      <c r="HY29" s="3">
        <v>18.87</v>
      </c>
      <c r="HZ29" s="6" t="s">
        <v>2854</v>
      </c>
      <c r="IC29" s="39">
        <v>87.39</v>
      </c>
      <c r="ID29" s="39" t="s">
        <v>844</v>
      </c>
      <c r="IR29" s="42">
        <v>0</v>
      </c>
      <c r="IS29" s="39" t="s">
        <v>573</v>
      </c>
      <c r="IW29" s="39" t="s">
        <v>573</v>
      </c>
      <c r="JA29" s="39">
        <v>133.51</v>
      </c>
      <c r="JB29" s="39" t="s">
        <v>843</v>
      </c>
      <c r="JD29" s="39">
        <f t="shared" si="19"/>
        <v>4</v>
      </c>
      <c r="JE29" s="43">
        <f>JI29/JM29/(JQ29+JU29)*2</f>
        <v>9.5965517516701071E-2</v>
      </c>
      <c r="JI29" s="39">
        <v>31.25</v>
      </c>
      <c r="JJ29" s="39" t="s">
        <v>844</v>
      </c>
      <c r="JM29" s="39">
        <v>3.31</v>
      </c>
      <c r="JN29" s="39" t="s">
        <v>844</v>
      </c>
      <c r="JQ29" s="39">
        <v>115.25</v>
      </c>
      <c r="JR29" s="39" t="s">
        <v>844</v>
      </c>
      <c r="JU29" s="39">
        <v>81.510000000000005</v>
      </c>
      <c r="JV29" s="39" t="s">
        <v>844</v>
      </c>
      <c r="JX29" s="39">
        <v>2</v>
      </c>
      <c r="JY29" s="39" t="s">
        <v>826</v>
      </c>
      <c r="KB29" s="39">
        <v>20</v>
      </c>
      <c r="KC29" s="39" t="s">
        <v>826</v>
      </c>
      <c r="KD29" s="39" t="s">
        <v>843</v>
      </c>
      <c r="KF29" s="39">
        <v>0</v>
      </c>
      <c r="KG29" s="39" t="s">
        <v>573</v>
      </c>
      <c r="KK29" s="39" t="s">
        <v>573</v>
      </c>
      <c r="KO29" s="39">
        <v>133.51</v>
      </c>
      <c r="KP29" s="39" t="s">
        <v>843</v>
      </c>
    </row>
    <row r="30" spans="2:302" s="6" customFormat="1" ht="16.5" hidden="1" customHeight="1" x14ac:dyDescent="0.35">
      <c r="B30" s="6" t="s">
        <v>169</v>
      </c>
      <c r="C30" s="6" t="s">
        <v>170</v>
      </c>
      <c r="D30" s="6" t="s">
        <v>171</v>
      </c>
      <c r="E30" s="6" t="s">
        <v>172</v>
      </c>
      <c r="F30" s="6" t="s">
        <v>173</v>
      </c>
      <c r="G30" s="3" t="s">
        <v>174</v>
      </c>
      <c r="H30" s="16">
        <f>1232.79/1321.05</f>
        <v>0.93318950834563419</v>
      </c>
      <c r="L30" s="159">
        <v>4</v>
      </c>
      <c r="M30" s="6" t="s">
        <v>175</v>
      </c>
      <c r="P30" s="6" t="s">
        <v>126</v>
      </c>
      <c r="Q30" s="6" t="s">
        <v>176</v>
      </c>
      <c r="R30" s="6" t="s">
        <v>177</v>
      </c>
      <c r="T30" s="6" t="s">
        <v>111</v>
      </c>
      <c r="U30" s="16">
        <v>0.50819999999999999</v>
      </c>
      <c r="X30" s="8">
        <f t="shared" ref="X30:X87" si="25">IF(Y30="数据缺失",0,IF(Y30&lt;-30%,6,IF(Y30&lt;-10%,5,IF(Y30&lt;0%,4,IF(Y30&lt;10%,3,IF(Y30&lt;30%,2,1))))))</f>
        <v>2</v>
      </c>
      <c r="Y30" s="1">
        <f t="shared" ref="Y30:Y87" si="26">((AC30-AG30)/AG30+(AG30-AK30)/AK30)/2*100%</f>
        <v>0.1455390219861403</v>
      </c>
      <c r="AC30" s="6">
        <v>1640.8</v>
      </c>
      <c r="AD30" s="6" t="s">
        <v>178</v>
      </c>
      <c r="AG30" s="6">
        <v>1601.5</v>
      </c>
      <c r="AH30" s="6" t="s">
        <v>178</v>
      </c>
      <c r="AK30" s="14">
        <v>1264.47</v>
      </c>
      <c r="AL30" s="6" t="s">
        <v>178</v>
      </c>
      <c r="AN30" s="8">
        <f t="shared" ref="AN30:AN87" si="27">IF(AO30="数据缺失",0,IF(AO30&lt;-30%,6,IF(AO30&lt;-10%,5,IF(AO30&lt;0%,4,IF(AO30&lt;10%,3,IF(AO30&lt;30%,2,1))))))</f>
        <v>2</v>
      </c>
      <c r="AO30" s="1">
        <f t="shared" ref="AO30:AO85" si="28">((AS30-AW30)/AW30+(AW30-BA30)/BA30)/2*100%</f>
        <v>0.24511053804407346</v>
      </c>
      <c r="AS30" s="6">
        <v>1671.6</v>
      </c>
      <c r="AT30" s="6" t="s">
        <v>178</v>
      </c>
      <c r="AW30" s="6">
        <v>1478.18</v>
      </c>
      <c r="AX30" s="6" t="s">
        <v>178</v>
      </c>
      <c r="BA30" s="6">
        <v>1087.4000000000001</v>
      </c>
      <c r="BB30" s="6" t="s">
        <v>178</v>
      </c>
      <c r="BD30" s="2">
        <f t="shared" si="5"/>
        <v>1</v>
      </c>
      <c r="BE30" s="8">
        <f t="shared" si="6"/>
        <v>1640.8</v>
      </c>
      <c r="BI30" s="8">
        <f t="shared" ref="BI30:BI49" si="29">AC30</f>
        <v>1640.8</v>
      </c>
      <c r="BJ30" s="6" t="s">
        <v>177</v>
      </c>
      <c r="BL30" s="2">
        <f t="shared" si="7"/>
        <v>1</v>
      </c>
      <c r="BM30" s="8">
        <f t="shared" ref="BM30:BM87" si="30">BQ30</f>
        <v>1671.6</v>
      </c>
      <c r="BQ30" s="8">
        <f t="shared" ref="BQ30:BQ49" si="31">AS30</f>
        <v>1671.6</v>
      </c>
      <c r="BR30" s="6" t="s">
        <v>178</v>
      </c>
      <c r="BT30" s="8">
        <f t="shared" si="8"/>
        <v>5</v>
      </c>
      <c r="BU30" s="6" t="s">
        <v>179</v>
      </c>
      <c r="BY30" s="6" t="s">
        <v>179</v>
      </c>
      <c r="BZ30" s="6" t="s">
        <v>180</v>
      </c>
      <c r="CA30" s="6" t="s">
        <v>181</v>
      </c>
      <c r="CB30" s="6">
        <v>1</v>
      </c>
      <c r="CC30" s="6" t="str">
        <f t="shared" si="24"/>
        <v>一级</v>
      </c>
      <c r="CF30" s="6" t="s">
        <v>132</v>
      </c>
      <c r="CG30" s="6" t="s">
        <v>182</v>
      </c>
      <c r="CH30" s="6" t="s">
        <v>178</v>
      </c>
      <c r="CJ30" s="8">
        <f t="shared" ref="CJ30:CJ69" si="32">IF(CK30="数据缺失",0,IF(CK30&lt;0,0,IF(CK30&lt;2,2,IF(CK30&lt;=5,1,3))))</f>
        <v>2</v>
      </c>
      <c r="CK30" s="12">
        <f t="shared" ref="CK30:CK64" si="33">CO30/CS30</f>
        <v>0.16716424914675768</v>
      </c>
      <c r="CO30" s="17">
        <v>274.28309999999999</v>
      </c>
      <c r="CP30" s="6" t="s">
        <v>177</v>
      </c>
      <c r="CS30" s="8">
        <f t="shared" ref="CS30:CS49" si="34">AC30</f>
        <v>1640.8</v>
      </c>
      <c r="CT30" s="6" t="s">
        <v>177</v>
      </c>
      <c r="CV30" s="8">
        <f t="shared" ref="CV30:CV69" si="35">IF(CW30="数据缺失",0,IF(CW30&lt;0,0,IF(CW30&lt;100,5,IF(CW30&lt;500,4,IF(CW30&lt;1000,3,IF(CW30&lt;2000,2,1))))))</f>
        <v>4</v>
      </c>
      <c r="CW30" s="8">
        <f t="shared" ref="CW30:CW87" si="36">DA30</f>
        <v>357.59</v>
      </c>
      <c r="DA30" s="6">
        <v>357.59</v>
      </c>
      <c r="DB30" s="6" t="s">
        <v>183</v>
      </c>
      <c r="DD30" s="8">
        <f t="shared" ref="DD30:DD49" si="37">IF(DE30="数据缺失",0,IF(DE30&lt;0,0,IF(DE30&lt;2,3,IF(DE30&lt;=5,1,2))))</f>
        <v>3</v>
      </c>
      <c r="DE30" s="15">
        <f t="shared" ref="DE30:DE62" si="38">DM30/DI30</f>
        <v>0.21392079444843265</v>
      </c>
      <c r="DI30" s="8">
        <f t="shared" ref="DI30:DI49" si="39">AS30</f>
        <v>1671.6</v>
      </c>
      <c r="DJ30" s="6" t="s">
        <v>183</v>
      </c>
      <c r="DM30" s="13">
        <f t="shared" ref="DM30:DM49" si="40">DA30</f>
        <v>357.59</v>
      </c>
      <c r="DN30" s="6" t="s">
        <v>183</v>
      </c>
      <c r="DP30" s="6">
        <v>4</v>
      </c>
      <c r="DQ30" s="6" t="s">
        <v>184</v>
      </c>
      <c r="DU30" s="16">
        <v>0</v>
      </c>
      <c r="DV30" s="6" t="s">
        <v>185</v>
      </c>
      <c r="DY30" s="16">
        <v>0.45660000000000001</v>
      </c>
      <c r="DZ30" s="6" t="s">
        <v>185</v>
      </c>
      <c r="EC30" s="16">
        <v>0.22009999999999999</v>
      </c>
      <c r="ED30" s="6" t="s">
        <v>185</v>
      </c>
      <c r="EG30" s="16">
        <v>0.32319999999999999</v>
      </c>
      <c r="EH30" s="6" t="s">
        <v>185</v>
      </c>
      <c r="EJ30" s="2">
        <f t="shared" ref="EJ30:EJ65" si="41">IF(EK30="数据缺失",0,IF(EK30&lt;0,0,IF(EK30&lt;=5,5,IF(EK30&lt;=20,4,IF(EK30&lt;=50,3,IF(EK30&lt;=100,2,1))))))</f>
        <v>1</v>
      </c>
      <c r="EK30" s="8">
        <f t="shared" ref="EK30:EK65" si="42">EO30</f>
        <v>2045</v>
      </c>
      <c r="EO30" s="6">
        <v>2045</v>
      </c>
      <c r="EP30" s="6" t="s">
        <v>185</v>
      </c>
      <c r="ER30" s="8">
        <f t="shared" ref="ER30:ER90" si="43">IF(ES30="数据缺失",0,IF(ES30&lt;0,0,IF(ES30&lt;=5,5,IF(ES30&lt;=20,4,IF(ES30&lt;=50,3,IF(ES30&lt;=100,2,1))))))</f>
        <v>1</v>
      </c>
      <c r="ES30" s="6">
        <v>2089</v>
      </c>
      <c r="EW30" s="6">
        <v>2089</v>
      </c>
      <c r="EX30" s="6" t="s">
        <v>185</v>
      </c>
      <c r="EZ30" s="8">
        <f t="shared" ref="EZ30:EZ90" si="44">IF(FA30="数据缺失",0,IF(FA30&lt;0%,0,IF(FA30&lt;=50,4,IF(FA30&lt;100,3,IF(FA30&lt;200,2,1)))))</f>
        <v>1</v>
      </c>
      <c r="FA30" s="8">
        <f t="shared" ref="FA30:FA87" si="45">FE30</f>
        <v>10079.89</v>
      </c>
      <c r="FE30" s="6">
        <v>10079.89</v>
      </c>
      <c r="FF30" s="6" t="s">
        <v>185</v>
      </c>
      <c r="FH30" s="6">
        <v>4</v>
      </c>
      <c r="FI30" s="6" t="s">
        <v>186</v>
      </c>
      <c r="FM30" s="16">
        <v>2.6700000000000002E-2</v>
      </c>
      <c r="FN30" s="6" t="s">
        <v>185</v>
      </c>
      <c r="FQ30" s="16">
        <v>0.45140000000000002</v>
      </c>
      <c r="FR30" s="6" t="s">
        <v>185</v>
      </c>
      <c r="FU30" s="16">
        <v>0.19320000000000001</v>
      </c>
      <c r="FV30" s="6" t="s">
        <v>185</v>
      </c>
      <c r="FY30" s="16">
        <v>0.32869999999999999</v>
      </c>
      <c r="FZ30" s="6" t="s">
        <v>185</v>
      </c>
      <c r="GB30" s="6">
        <v>2</v>
      </c>
      <c r="GC30" s="6" t="s">
        <v>187</v>
      </c>
      <c r="GG30" s="6" t="s">
        <v>187</v>
      </c>
      <c r="GH30" s="6" t="s">
        <v>188</v>
      </c>
      <c r="GJ30" s="8">
        <f t="shared" ref="GJ30:GJ90" si="46">IF(GK30="数据缺失",0,IF(GK30&lt;0%,0,IF(GK30&lt;=5%,4,IF(GK30&lt;10%,3,IF(GK30&lt;20%,2,1)))))</f>
        <v>2</v>
      </c>
      <c r="GK30" s="1">
        <f t="shared" ref="GK30:GK90" si="47">GN30/GS30</f>
        <v>0.10926997464138376</v>
      </c>
      <c r="GN30" s="6">
        <v>144.3511</v>
      </c>
      <c r="GO30" s="6" t="s">
        <v>189</v>
      </c>
      <c r="GP30" s="6" t="s">
        <v>190</v>
      </c>
      <c r="GS30" s="6">
        <v>1321.05</v>
      </c>
      <c r="GT30" s="6" t="s">
        <v>191</v>
      </c>
      <c r="GV30" s="8">
        <f t="shared" ref="GV30:GV90" si="48">IF(GW30="数据缺失",0,IF(GW30&lt;20%,1,IF(GW30&lt;40%,2,IF(GW30&lt;60%,3,IF(GW30&lt;80%,4,IF(GW30&lt;=100%,5,0))))))</f>
        <v>3</v>
      </c>
      <c r="GW30" s="1">
        <f t="shared" ref="GW30:GW90" si="49">HA30/HE30*100%</f>
        <v>0.47018887985490021</v>
      </c>
      <c r="HA30" s="6">
        <v>3007.14</v>
      </c>
      <c r="HB30" s="6" t="s">
        <v>183</v>
      </c>
      <c r="HE30" s="6">
        <v>6395.6</v>
      </c>
      <c r="HF30" s="6" t="s">
        <v>191</v>
      </c>
      <c r="HH30" s="8">
        <f t="shared" ref="HH30:HH49" si="50">IF(HI30="数据缺失",0,IF(HI30&lt;20%,1,IF(HI30&lt;40%,2,IF(HI30&lt;60%,3,IF(HI30&lt;80%,4,IF(HI30&lt;=100%,5,0))))))</f>
        <v>1</v>
      </c>
      <c r="HI30" s="1">
        <f t="shared" ref="HI30:HI90" si="51">HM30/HQ30</f>
        <v>8.9439283370700493E-2</v>
      </c>
      <c r="HM30" s="17">
        <v>65.423046999999997</v>
      </c>
      <c r="HN30" s="6" t="s">
        <v>191</v>
      </c>
      <c r="HQ30" s="6">
        <v>731.48</v>
      </c>
      <c r="HR30" s="6" t="s">
        <v>191</v>
      </c>
      <c r="HT30" s="8">
        <f t="shared" ref="HT30:HT68" si="52">IF(HU30="数据缺失",0,IF(HU30&lt;5%,4,IF(HU30&lt;=10%,3,IF(HU30&lt;30%,2,IF(HU30&lt;=100%,1,0)))))</f>
        <v>4</v>
      </c>
      <c r="HU30" s="10">
        <f t="shared" ref="HU30:HU90" si="53">HY30/IC30</f>
        <v>8.923369900648806E-3</v>
      </c>
      <c r="HY30" s="6">
        <v>10</v>
      </c>
      <c r="HZ30" s="6" t="s">
        <v>191</v>
      </c>
      <c r="IC30" s="17">
        <v>1120.6528599999999</v>
      </c>
      <c r="ID30" s="6" t="s">
        <v>191</v>
      </c>
      <c r="IR30" s="2">
        <f t="shared" ref="IR30:IR49" si="54">IF(IS30="数据缺失",0,IF(IS30&lt;0%,0,IF(IS30&lt;=100%,4,IF(IS30&lt;200%,3,IF(IS30&lt;300%,2,1)))))</f>
        <v>2</v>
      </c>
      <c r="IS30" s="1">
        <f t="shared" ref="IS30:IS89" si="55">IW30/JA30</f>
        <v>2.2394117741450104</v>
      </c>
      <c r="IW30" s="6">
        <v>4163</v>
      </c>
      <c r="IX30" s="6" t="s">
        <v>183</v>
      </c>
      <c r="JA30" s="17">
        <v>1858.9703099999999</v>
      </c>
      <c r="JB30" s="6" t="s">
        <v>145</v>
      </c>
      <c r="JD30" s="14">
        <f t="shared" ref="JD30:JD49" si="56">IF(JE30="数据缺失",0,IF(JE30&lt;0%,0,IF(JE30&lt;4%,1,IF(JE30&lt;6%,2,IF(JE30&lt;8%,3,4)))))</f>
        <v>3</v>
      </c>
      <c r="JE30" s="1">
        <f t="shared" ref="JE30:JE49" si="57">JI30/JM30/(JQ30+JU30)*2</f>
        <v>7.1831732011991861E-2</v>
      </c>
      <c r="JI30" s="6">
        <v>500.40170000000001</v>
      </c>
      <c r="JJ30" s="6" t="s">
        <v>190</v>
      </c>
      <c r="JM30" s="6">
        <v>3.79</v>
      </c>
      <c r="JN30" s="6" t="s">
        <v>190</v>
      </c>
      <c r="JQ30" s="6">
        <v>1866.47</v>
      </c>
      <c r="JR30" s="6" t="s">
        <v>190</v>
      </c>
      <c r="JU30" s="6">
        <v>1809.68</v>
      </c>
      <c r="JV30" s="6" t="s">
        <v>190</v>
      </c>
      <c r="JX30" s="6">
        <v>2</v>
      </c>
      <c r="JY30" s="6" t="s">
        <v>193</v>
      </c>
      <c r="KB30" s="6">
        <v>10</v>
      </c>
      <c r="KC30" s="6" t="s">
        <v>193</v>
      </c>
      <c r="KD30" s="6" t="s">
        <v>194</v>
      </c>
      <c r="KF30" s="8">
        <f t="shared" ref="KF30:KF90" si="58">IF(KG30="数据缺失",0,IF(KG30&lt;0%,0,IF(KG30&lt;20%,1,IF(KG30&lt;50%,2,IF(KG30&lt;100%,3,4)))))</f>
        <v>2</v>
      </c>
      <c r="KG30" s="1">
        <f t="shared" ref="KG30:KG87" si="59">KK30/KO30</f>
        <v>0.24613585838280547</v>
      </c>
      <c r="KK30" s="17">
        <v>457.55925295999998</v>
      </c>
      <c r="KL30" s="6" t="s">
        <v>191</v>
      </c>
      <c r="KO30" s="15">
        <f t="shared" ref="KO30:KO49" si="60">JA30</f>
        <v>1858.9703099999999</v>
      </c>
      <c r="KP30" s="6" t="s">
        <v>191</v>
      </c>
    </row>
    <row r="31" spans="2:302" s="6" customFormat="1" ht="16.5" hidden="1" customHeight="1" x14ac:dyDescent="0.35">
      <c r="B31" s="6" t="s">
        <v>169</v>
      </c>
      <c r="C31" s="6" t="s">
        <v>195</v>
      </c>
      <c r="D31" s="6" t="s">
        <v>196</v>
      </c>
      <c r="E31" s="6" t="s">
        <v>197</v>
      </c>
      <c r="F31" s="6" t="s">
        <v>198</v>
      </c>
      <c r="G31" s="3" t="s">
        <v>199</v>
      </c>
      <c r="H31" s="18">
        <v>0.94669999999999999</v>
      </c>
      <c r="L31" s="159">
        <v>4</v>
      </c>
      <c r="M31" s="6" t="s">
        <v>2866</v>
      </c>
      <c r="P31" s="6" t="s">
        <v>126</v>
      </c>
      <c r="Q31" s="6" t="s">
        <v>201</v>
      </c>
      <c r="R31" s="6" t="s">
        <v>202</v>
      </c>
      <c r="T31" s="6" t="s">
        <v>203</v>
      </c>
      <c r="U31" s="16">
        <v>0.505</v>
      </c>
      <c r="X31" s="8">
        <f t="shared" si="25"/>
        <v>2</v>
      </c>
      <c r="Y31" s="1">
        <f t="shared" si="26"/>
        <v>0.25739069639429485</v>
      </c>
      <c r="Z31" s="14"/>
      <c r="AA31" s="14"/>
      <c r="AB31" s="14"/>
      <c r="AC31" s="14">
        <v>1601.5</v>
      </c>
      <c r="AD31" s="14" t="s">
        <v>177</v>
      </c>
      <c r="AE31" s="14"/>
      <c r="AF31" s="14"/>
      <c r="AG31" s="14">
        <v>1264.47</v>
      </c>
      <c r="AH31" s="14" t="s">
        <v>515</v>
      </c>
      <c r="AI31" s="14"/>
      <c r="AJ31" s="14"/>
      <c r="AK31" s="14">
        <v>1013</v>
      </c>
      <c r="AL31" s="6" t="s">
        <v>205</v>
      </c>
      <c r="AN31" s="8">
        <f t="shared" si="27"/>
        <v>1</v>
      </c>
      <c r="AO31" s="1">
        <f t="shared" si="28"/>
        <v>0.33944018452854119</v>
      </c>
      <c r="AS31" s="6">
        <v>1478</v>
      </c>
      <c r="AT31" s="6" t="s">
        <v>204</v>
      </c>
      <c r="AW31" s="6">
        <v>1087</v>
      </c>
      <c r="AX31" s="6" t="s">
        <v>204</v>
      </c>
      <c r="BA31" s="6">
        <v>824</v>
      </c>
      <c r="BB31" s="6" t="s">
        <v>205</v>
      </c>
      <c r="BD31" s="2">
        <f t="shared" si="5"/>
        <v>1</v>
      </c>
      <c r="BE31" s="8">
        <f t="shared" si="6"/>
        <v>1601.5</v>
      </c>
      <c r="BI31" s="8">
        <f t="shared" si="29"/>
        <v>1601.5</v>
      </c>
      <c r="BJ31" s="6" t="s">
        <v>206</v>
      </c>
      <c r="BL31" s="2">
        <f t="shared" si="7"/>
        <v>1</v>
      </c>
      <c r="BM31" s="8">
        <f t="shared" si="30"/>
        <v>1478</v>
      </c>
      <c r="BQ31" s="8">
        <f t="shared" si="31"/>
        <v>1478</v>
      </c>
      <c r="BR31" s="6" t="s">
        <v>205</v>
      </c>
      <c r="BT31" s="8">
        <f t="shared" si="8"/>
        <v>5</v>
      </c>
      <c r="BU31" s="6" t="s">
        <v>207</v>
      </c>
      <c r="BY31" s="6" t="s">
        <v>207</v>
      </c>
      <c r="BZ31" s="6" t="s">
        <v>180</v>
      </c>
      <c r="CA31" s="6" t="s">
        <v>208</v>
      </c>
      <c r="CB31" s="6">
        <v>1</v>
      </c>
      <c r="CC31" s="6" t="str">
        <f t="shared" si="24"/>
        <v>一级</v>
      </c>
      <c r="CF31" s="6" t="s">
        <v>132</v>
      </c>
      <c r="CG31" s="6" t="s">
        <v>209</v>
      </c>
      <c r="CH31" s="6" t="s">
        <v>202</v>
      </c>
      <c r="CJ31" s="8">
        <f t="shared" si="32"/>
        <v>2</v>
      </c>
      <c r="CK31" s="12">
        <f t="shared" si="33"/>
        <v>0.19922922260380893</v>
      </c>
      <c r="CO31" s="6">
        <v>319.06560000000002</v>
      </c>
      <c r="CP31" s="6" t="s">
        <v>210</v>
      </c>
      <c r="CS31" s="8">
        <f t="shared" si="34"/>
        <v>1601.5</v>
      </c>
      <c r="CT31" s="6" t="s">
        <v>210</v>
      </c>
      <c r="CV31" s="8">
        <f t="shared" si="35"/>
        <v>1</v>
      </c>
      <c r="CW31" s="8">
        <f t="shared" si="36"/>
        <v>8193.6200000000008</v>
      </c>
      <c r="DA31" s="6">
        <v>8193.6200000000008</v>
      </c>
      <c r="DB31" s="6" t="s">
        <v>210</v>
      </c>
      <c r="DC31" s="6" t="s">
        <v>211</v>
      </c>
      <c r="DD31" s="8">
        <f t="shared" si="37"/>
        <v>2</v>
      </c>
      <c r="DE31" s="15">
        <f t="shared" si="38"/>
        <v>5.5437212449255755</v>
      </c>
      <c r="DI31" s="8">
        <f t="shared" si="39"/>
        <v>1478</v>
      </c>
      <c r="DJ31" s="6" t="s">
        <v>212</v>
      </c>
      <c r="DM31" s="13">
        <f t="shared" si="40"/>
        <v>8193.6200000000008</v>
      </c>
      <c r="DN31" s="6" t="s">
        <v>210</v>
      </c>
      <c r="DP31" s="6">
        <v>4</v>
      </c>
      <c r="DQ31" s="6" t="s">
        <v>213</v>
      </c>
      <c r="DU31" s="16">
        <v>3.2899999999999999E-2</v>
      </c>
      <c r="DV31" s="6" t="s">
        <v>210</v>
      </c>
      <c r="DW31" s="6" t="s">
        <v>211</v>
      </c>
      <c r="DY31" s="16">
        <v>0.44390000000000002</v>
      </c>
      <c r="DZ31" s="6" t="s">
        <v>210</v>
      </c>
      <c r="EA31" s="6" t="s">
        <v>211</v>
      </c>
      <c r="EC31" s="16">
        <v>0.19700000000000001</v>
      </c>
      <c r="ED31" s="6" t="s">
        <v>212</v>
      </c>
      <c r="EE31" s="6" t="s">
        <v>211</v>
      </c>
      <c r="EG31" s="16">
        <v>0.32619999999999999</v>
      </c>
      <c r="EH31" s="6" t="s">
        <v>212</v>
      </c>
      <c r="EJ31" s="2">
        <f t="shared" si="41"/>
        <v>1</v>
      </c>
      <c r="EK31" s="8">
        <f t="shared" si="42"/>
        <v>2582.4899999999998</v>
      </c>
      <c r="EO31" s="19">
        <v>2582.4899999999998</v>
      </c>
      <c r="EP31" s="6" t="s">
        <v>212</v>
      </c>
      <c r="ER31" s="8">
        <f t="shared" si="43"/>
        <v>1</v>
      </c>
      <c r="ES31" s="6">
        <v>1523.89</v>
      </c>
      <c r="EW31" s="6">
        <v>1523.89</v>
      </c>
      <c r="EX31" s="6" t="s">
        <v>212</v>
      </c>
      <c r="EZ31" s="8">
        <f t="shared" si="44"/>
        <v>1</v>
      </c>
      <c r="FA31" s="8">
        <f t="shared" si="45"/>
        <v>8058.2411000000002</v>
      </c>
      <c r="FE31" s="6">
        <v>8058.2411000000002</v>
      </c>
      <c r="FF31" s="6" t="s">
        <v>206</v>
      </c>
      <c r="FG31" s="6" t="s">
        <v>214</v>
      </c>
      <c r="FH31" s="6">
        <v>4</v>
      </c>
      <c r="FI31" s="6" t="s">
        <v>215</v>
      </c>
      <c r="FM31" s="16">
        <v>2.6700000000000002E-2</v>
      </c>
      <c r="FN31" s="6" t="s">
        <v>202</v>
      </c>
      <c r="FO31" s="6" t="s">
        <v>216</v>
      </c>
      <c r="FQ31" s="16">
        <v>0.40839999999999999</v>
      </c>
      <c r="FR31" s="6" t="s">
        <v>202</v>
      </c>
      <c r="FS31" s="6" t="s">
        <v>216</v>
      </c>
      <c r="FU31" s="16">
        <v>0.21679999999999999</v>
      </c>
      <c r="FV31" s="6" t="s">
        <v>202</v>
      </c>
      <c r="FW31" s="6" t="s">
        <v>214</v>
      </c>
      <c r="FY31" s="16">
        <v>0.34820000000000001</v>
      </c>
      <c r="FZ31" s="6" t="s">
        <v>202</v>
      </c>
      <c r="GB31" s="6">
        <v>2</v>
      </c>
      <c r="GC31" s="6" t="s">
        <v>217</v>
      </c>
      <c r="GG31" s="6" t="s">
        <v>218</v>
      </c>
      <c r="GH31" s="6" t="s">
        <v>219</v>
      </c>
      <c r="GJ31" s="8">
        <f t="shared" si="46"/>
        <v>3</v>
      </c>
      <c r="GK31" s="1">
        <f t="shared" si="47"/>
        <v>9.6696990218734499E-2</v>
      </c>
      <c r="GN31" s="17">
        <v>110.80159999999999</v>
      </c>
      <c r="GO31" s="6" t="s">
        <v>220</v>
      </c>
      <c r="GP31" s="6" t="s">
        <v>219</v>
      </c>
      <c r="GS31" s="17">
        <v>1145.864</v>
      </c>
      <c r="GT31" s="6" t="s">
        <v>221</v>
      </c>
      <c r="GV31" s="8">
        <f t="shared" si="48"/>
        <v>0</v>
      </c>
      <c r="GW31" s="6" t="s">
        <v>222</v>
      </c>
      <c r="HA31" s="6" t="s">
        <v>37</v>
      </c>
      <c r="HE31" s="17">
        <v>5642.9294799999998</v>
      </c>
      <c r="HF31" s="6" t="s">
        <v>146</v>
      </c>
      <c r="HH31" s="8">
        <f t="shared" si="50"/>
        <v>1</v>
      </c>
      <c r="HI31" s="1">
        <f t="shared" si="51"/>
        <v>7.2361128701643906E-2</v>
      </c>
      <c r="HM31" s="6">
        <v>67.320869999999999</v>
      </c>
      <c r="HN31" s="6" t="s">
        <v>146</v>
      </c>
      <c r="HQ31" s="6">
        <v>930.34577000000002</v>
      </c>
      <c r="HR31" s="6" t="s">
        <v>146</v>
      </c>
      <c r="HT31" s="8">
        <f t="shared" si="52"/>
        <v>4</v>
      </c>
      <c r="HU31" s="10">
        <f t="shared" si="53"/>
        <v>0</v>
      </c>
      <c r="HY31" s="6">
        <v>0</v>
      </c>
      <c r="HZ31" s="6" t="s">
        <v>146</v>
      </c>
      <c r="IC31" s="6">
        <v>1372.8459</v>
      </c>
      <c r="ID31" s="6" t="s">
        <v>223</v>
      </c>
      <c r="IR31" s="2">
        <f t="shared" si="54"/>
        <v>4</v>
      </c>
      <c r="IS31" s="1">
        <f t="shared" si="55"/>
        <v>0.92940779402068341</v>
      </c>
      <c r="IW31" s="20">
        <v>1441.91</v>
      </c>
      <c r="IX31" s="6" t="s">
        <v>224</v>
      </c>
      <c r="JA31" s="17">
        <v>1551.42878</v>
      </c>
      <c r="JB31" s="6" t="s">
        <v>145</v>
      </c>
      <c r="JD31" s="14">
        <f t="shared" si="56"/>
        <v>3</v>
      </c>
      <c r="JE31" s="1">
        <f t="shared" si="57"/>
        <v>7.865957951523557E-2</v>
      </c>
      <c r="JI31" s="6">
        <v>433.56</v>
      </c>
      <c r="JJ31" s="6" t="s">
        <v>219</v>
      </c>
      <c r="JM31" s="6">
        <v>3.5</v>
      </c>
      <c r="JN31" s="6" t="s">
        <v>219</v>
      </c>
      <c r="JQ31" s="6">
        <v>1809.7</v>
      </c>
      <c r="JR31" s="6" t="s">
        <v>225</v>
      </c>
      <c r="JU31" s="6">
        <v>1339.93</v>
      </c>
      <c r="JV31" s="6" t="s">
        <v>225</v>
      </c>
      <c r="JX31" s="6">
        <v>2</v>
      </c>
      <c r="JY31" s="6" t="s">
        <v>226</v>
      </c>
      <c r="KB31" s="6">
        <v>11</v>
      </c>
      <c r="KC31" s="6" t="s">
        <v>226</v>
      </c>
      <c r="KD31" s="6" t="s">
        <v>219</v>
      </c>
      <c r="KF31" s="8">
        <f t="shared" si="58"/>
        <v>2</v>
      </c>
      <c r="KG31" s="1">
        <f t="shared" si="59"/>
        <v>0.28622648085721347</v>
      </c>
      <c r="KK31" s="6">
        <v>444.06</v>
      </c>
      <c r="KL31" s="6" t="s">
        <v>212</v>
      </c>
      <c r="KO31" s="15">
        <f t="shared" si="60"/>
        <v>1551.42878</v>
      </c>
      <c r="KP31" s="6" t="s">
        <v>223</v>
      </c>
    </row>
    <row r="32" spans="2:302" s="6" customFormat="1" ht="16.5" hidden="1" customHeight="1" x14ac:dyDescent="0.35">
      <c r="B32" s="6" t="s">
        <v>227</v>
      </c>
      <c r="C32" s="6" t="s">
        <v>170</v>
      </c>
      <c r="D32" s="6" t="s">
        <v>171</v>
      </c>
      <c r="E32" s="6" t="s">
        <v>228</v>
      </c>
      <c r="F32" s="6" t="s">
        <v>229</v>
      </c>
      <c r="G32" s="3" t="s">
        <v>174</v>
      </c>
      <c r="H32" s="16">
        <v>0.998</v>
      </c>
      <c r="L32" s="159">
        <v>4</v>
      </c>
      <c r="M32" s="6" t="s">
        <v>230</v>
      </c>
      <c r="P32" s="6" t="s">
        <v>126</v>
      </c>
      <c r="Q32" s="6" t="s">
        <v>231</v>
      </c>
      <c r="R32" s="6" t="s">
        <v>232</v>
      </c>
      <c r="T32" s="6" t="s">
        <v>111</v>
      </c>
      <c r="U32" s="16">
        <v>0.63749999999999996</v>
      </c>
      <c r="X32" s="8">
        <f t="shared" si="25"/>
        <v>2</v>
      </c>
      <c r="Y32" s="1">
        <f t="shared" si="26"/>
        <v>0.25106013697344964</v>
      </c>
      <c r="AC32" s="6">
        <v>44.5</v>
      </c>
      <c r="AD32" s="6" t="s">
        <v>232</v>
      </c>
      <c r="AG32" s="6">
        <v>37.4</v>
      </c>
      <c r="AH32" s="6" t="s">
        <v>232</v>
      </c>
      <c r="AK32" s="6">
        <v>28.5</v>
      </c>
      <c r="AL32" s="6" t="s">
        <v>232</v>
      </c>
      <c r="AN32" s="8">
        <f t="shared" si="27"/>
        <v>1</v>
      </c>
      <c r="AO32" s="1">
        <f t="shared" si="28"/>
        <v>0.490563725490196</v>
      </c>
      <c r="AS32" s="6">
        <v>33.9</v>
      </c>
      <c r="AT32" s="6" t="s">
        <v>232</v>
      </c>
      <c r="AW32" s="6">
        <v>24</v>
      </c>
      <c r="AX32" s="6" t="s">
        <v>232</v>
      </c>
      <c r="BA32" s="6">
        <v>15.3</v>
      </c>
      <c r="BB32" s="6" t="s">
        <v>233</v>
      </c>
      <c r="BD32" s="2">
        <f t="shared" si="5"/>
        <v>5</v>
      </c>
      <c r="BE32" s="8">
        <f t="shared" ref="BE32:BE65" si="61">BI32</f>
        <v>44.5</v>
      </c>
      <c r="BI32" s="8">
        <f t="shared" si="29"/>
        <v>44.5</v>
      </c>
      <c r="BJ32" s="6" t="s">
        <v>232</v>
      </c>
      <c r="BL32" s="2">
        <f t="shared" si="7"/>
        <v>5</v>
      </c>
      <c r="BM32" s="8">
        <f t="shared" si="30"/>
        <v>33.9</v>
      </c>
      <c r="BQ32" s="8">
        <f t="shared" si="31"/>
        <v>33.9</v>
      </c>
      <c r="BR32" s="6" t="s">
        <v>233</v>
      </c>
      <c r="BT32" s="8">
        <f t="shared" si="8"/>
        <v>1</v>
      </c>
      <c r="BU32" s="6">
        <v>17</v>
      </c>
      <c r="BY32" s="6">
        <v>17</v>
      </c>
      <c r="BZ32" s="6" t="s">
        <v>234</v>
      </c>
      <c r="CA32" s="6" t="s">
        <v>235</v>
      </c>
      <c r="CB32" s="6">
        <v>1</v>
      </c>
      <c r="CC32" s="6" t="str">
        <f t="shared" si="24"/>
        <v>一级</v>
      </c>
      <c r="CF32" s="6" t="s">
        <v>132</v>
      </c>
      <c r="CG32" s="6" t="s">
        <v>236</v>
      </c>
      <c r="CH32" s="6" t="s">
        <v>237</v>
      </c>
      <c r="CJ32" s="8">
        <f t="shared" si="32"/>
        <v>2</v>
      </c>
      <c r="CK32" s="12">
        <f t="shared" si="33"/>
        <v>0.34539325842696628</v>
      </c>
      <c r="CO32" s="6">
        <v>15.37</v>
      </c>
      <c r="CP32" s="6" t="s">
        <v>232</v>
      </c>
      <c r="CS32" s="8">
        <f t="shared" si="34"/>
        <v>44.5</v>
      </c>
      <c r="CT32" s="6" t="s">
        <v>232</v>
      </c>
      <c r="CV32" s="8">
        <f t="shared" si="35"/>
        <v>5</v>
      </c>
      <c r="CW32" s="8">
        <f t="shared" si="36"/>
        <v>20.87</v>
      </c>
      <c r="DA32" s="6">
        <v>20.87</v>
      </c>
      <c r="DB32" s="6" t="s">
        <v>232</v>
      </c>
      <c r="DD32" s="8">
        <f t="shared" si="37"/>
        <v>3</v>
      </c>
      <c r="DE32" s="15">
        <f t="shared" si="38"/>
        <v>0.6156342182890856</v>
      </c>
      <c r="DI32" s="8">
        <f t="shared" si="39"/>
        <v>33.9</v>
      </c>
      <c r="DJ32" s="6" t="s">
        <v>232</v>
      </c>
      <c r="DM32" s="13">
        <f t="shared" si="40"/>
        <v>20.87</v>
      </c>
      <c r="DN32" s="6" t="s">
        <v>232</v>
      </c>
      <c r="DP32" s="6">
        <v>6</v>
      </c>
      <c r="DQ32" s="6" t="s">
        <v>238</v>
      </c>
      <c r="DU32" s="16">
        <v>0.30380000000000001</v>
      </c>
      <c r="DV32" s="6" t="s">
        <v>232</v>
      </c>
      <c r="DY32" s="16">
        <v>0</v>
      </c>
      <c r="DZ32" s="6" t="s">
        <v>239</v>
      </c>
      <c r="EC32" s="16">
        <v>0</v>
      </c>
      <c r="ED32" s="6" t="s">
        <v>232</v>
      </c>
      <c r="EG32" s="16">
        <v>0.69620000000000004</v>
      </c>
      <c r="EH32" s="6" t="s">
        <v>232</v>
      </c>
      <c r="EJ32" s="2">
        <f t="shared" si="41"/>
        <v>4</v>
      </c>
      <c r="EK32" s="8">
        <f t="shared" si="42"/>
        <v>17.8</v>
      </c>
      <c r="EO32" s="6">
        <v>17.8</v>
      </c>
      <c r="EP32" s="6" t="s">
        <v>240</v>
      </c>
      <c r="ER32" s="8">
        <f t="shared" si="43"/>
        <v>3</v>
      </c>
      <c r="ES32" s="6">
        <v>33.5</v>
      </c>
      <c r="EW32" s="6">
        <v>33.5</v>
      </c>
      <c r="EX32" s="6" t="s">
        <v>232</v>
      </c>
      <c r="EZ32" s="8">
        <f t="shared" si="44"/>
        <v>3</v>
      </c>
      <c r="FA32" s="8">
        <f t="shared" si="45"/>
        <v>78.400000000000006</v>
      </c>
      <c r="FE32" s="6">
        <v>78.400000000000006</v>
      </c>
      <c r="FF32" s="6" t="s">
        <v>232</v>
      </c>
      <c r="FH32" s="6">
        <v>2</v>
      </c>
      <c r="FI32" s="6" t="s">
        <v>241</v>
      </c>
      <c r="FJ32" s="6" t="s">
        <v>232</v>
      </c>
      <c r="FM32" s="6" t="s">
        <v>37</v>
      </c>
      <c r="FQ32" s="6" t="s">
        <v>37</v>
      </c>
      <c r="FU32" s="6" t="s">
        <v>37</v>
      </c>
      <c r="FY32" s="6" t="s">
        <v>37</v>
      </c>
      <c r="GB32" s="6">
        <v>2</v>
      </c>
      <c r="GC32" s="6" t="s">
        <v>242</v>
      </c>
      <c r="GG32" s="6" t="s">
        <v>242</v>
      </c>
      <c r="GH32" s="6" t="s">
        <v>146</v>
      </c>
      <c r="GJ32" s="8">
        <f t="shared" si="46"/>
        <v>4</v>
      </c>
      <c r="GK32" s="1">
        <f t="shared" si="47"/>
        <v>1.9678405783071697E-3</v>
      </c>
      <c r="GN32" s="6">
        <v>0.10688369</v>
      </c>
      <c r="GO32" s="6" t="s">
        <v>243</v>
      </c>
      <c r="GP32" s="6" t="s">
        <v>244</v>
      </c>
      <c r="GS32" s="17">
        <v>54.315218000000002</v>
      </c>
      <c r="GT32" s="6" t="s">
        <v>146</v>
      </c>
      <c r="GV32" s="8">
        <f t="shared" si="48"/>
        <v>1</v>
      </c>
      <c r="GW32" s="1">
        <f t="shared" si="49"/>
        <v>0.13060041640617906</v>
      </c>
      <c r="HA32" s="17">
        <v>22.816469999999999</v>
      </c>
      <c r="HB32" s="6" t="s">
        <v>244</v>
      </c>
      <c r="HE32" s="17">
        <v>174.70442</v>
      </c>
      <c r="HF32" s="6" t="s">
        <v>146</v>
      </c>
      <c r="HH32" s="8">
        <f t="shared" si="50"/>
        <v>4</v>
      </c>
      <c r="HI32" s="1">
        <f t="shared" si="51"/>
        <v>0.65650055570467492</v>
      </c>
      <c r="HM32" s="17">
        <v>11.042986000000001</v>
      </c>
      <c r="HN32" s="6" t="s">
        <v>244</v>
      </c>
      <c r="HQ32" s="17">
        <v>16.820985</v>
      </c>
      <c r="HR32" s="6" t="s">
        <v>146</v>
      </c>
      <c r="HT32" s="8">
        <f t="shared" si="52"/>
        <v>4</v>
      </c>
      <c r="HU32" s="10">
        <f t="shared" si="53"/>
        <v>0</v>
      </c>
      <c r="HY32" s="6">
        <v>0</v>
      </c>
      <c r="HZ32" s="6" t="s">
        <v>146</v>
      </c>
      <c r="IC32" s="6">
        <v>1.5</v>
      </c>
      <c r="ID32" s="6" t="s">
        <v>146</v>
      </c>
      <c r="IR32" s="2">
        <f t="shared" si="54"/>
        <v>4</v>
      </c>
      <c r="IS32" s="1">
        <f t="shared" si="55"/>
        <v>0.75929904144107829</v>
      </c>
      <c r="IW32" s="6">
        <v>32.5</v>
      </c>
      <c r="IX32" s="6" t="s">
        <v>244</v>
      </c>
      <c r="JA32" s="17">
        <v>42.802635359999996</v>
      </c>
      <c r="JB32" s="6" t="s">
        <v>540</v>
      </c>
      <c r="JD32" s="14">
        <f t="shared" si="56"/>
        <v>4</v>
      </c>
      <c r="JE32" s="1">
        <f t="shared" si="57"/>
        <v>8.4291832277647152E-2</v>
      </c>
      <c r="JI32" s="6">
        <v>19.321487999999999</v>
      </c>
      <c r="JJ32" s="6" t="s">
        <v>146</v>
      </c>
      <c r="JM32" s="6">
        <v>8.9600000000000009</v>
      </c>
      <c r="JN32" s="6" t="s">
        <v>146</v>
      </c>
      <c r="JQ32" s="6">
        <v>20.995000000000001</v>
      </c>
      <c r="JR32" s="6" t="s">
        <v>146</v>
      </c>
      <c r="JU32" s="6">
        <v>30.170480999999999</v>
      </c>
      <c r="JV32" s="6" t="s">
        <v>146</v>
      </c>
      <c r="JX32" s="6">
        <v>1</v>
      </c>
      <c r="JY32" s="6" t="s">
        <v>245</v>
      </c>
      <c r="KB32" s="6">
        <v>1</v>
      </c>
      <c r="KC32" s="6" t="s">
        <v>246</v>
      </c>
      <c r="KD32" s="6" t="s">
        <v>146</v>
      </c>
      <c r="KF32" s="8">
        <f t="shared" si="58"/>
        <v>3</v>
      </c>
      <c r="KG32" s="1">
        <f t="shared" si="59"/>
        <v>0.73681598655658109</v>
      </c>
      <c r="KK32" s="17">
        <v>31.537666000000002</v>
      </c>
      <c r="KL32" s="6" t="s">
        <v>146</v>
      </c>
      <c r="KO32" s="15">
        <f t="shared" si="60"/>
        <v>42.802635359999996</v>
      </c>
      <c r="KP32" s="6" t="str">
        <f>JB32</f>
        <v>wind</v>
      </c>
    </row>
    <row r="33" spans="2:302" s="6" customFormat="1" ht="16.5" hidden="1" customHeight="1" x14ac:dyDescent="0.35">
      <c r="B33" s="6" t="s">
        <v>247</v>
      </c>
      <c r="C33" s="6" t="s">
        <v>170</v>
      </c>
      <c r="D33" s="6" t="s">
        <v>171</v>
      </c>
      <c r="E33" s="6" t="s">
        <v>172</v>
      </c>
      <c r="F33" s="6" t="s">
        <v>248</v>
      </c>
      <c r="G33" s="3" t="s">
        <v>249</v>
      </c>
      <c r="H33" s="16">
        <v>0.92779999999999996</v>
      </c>
      <c r="L33" s="159">
        <v>4</v>
      </c>
      <c r="M33" s="6" t="s">
        <v>250</v>
      </c>
      <c r="P33" s="6" t="s">
        <v>126</v>
      </c>
      <c r="Q33" s="6" t="s">
        <v>251</v>
      </c>
      <c r="R33" s="6" t="s">
        <v>252</v>
      </c>
      <c r="T33" s="6" t="s">
        <v>253</v>
      </c>
      <c r="U33" s="16">
        <v>0.64759999999999995</v>
      </c>
      <c r="W33" s="6" t="s">
        <v>254</v>
      </c>
      <c r="X33" s="8">
        <f t="shared" si="25"/>
        <v>2</v>
      </c>
      <c r="Y33" s="1">
        <f t="shared" si="26"/>
        <v>0.21959776458473479</v>
      </c>
      <c r="AC33" s="6">
        <v>422</v>
      </c>
      <c r="AD33" s="6" t="s">
        <v>255</v>
      </c>
      <c r="AG33" s="6">
        <v>322</v>
      </c>
      <c r="AH33" s="6" t="s">
        <v>255</v>
      </c>
      <c r="AK33" s="6">
        <v>285.3</v>
      </c>
      <c r="AL33" s="6" t="s">
        <v>256</v>
      </c>
      <c r="AN33" s="8">
        <f t="shared" si="27"/>
        <v>2</v>
      </c>
      <c r="AO33" s="1">
        <f t="shared" si="28"/>
        <v>0.24697788065843623</v>
      </c>
      <c r="AS33" s="6">
        <v>339</v>
      </c>
      <c r="AT33" s="6" t="s">
        <v>255</v>
      </c>
      <c r="AW33" s="6">
        <v>288</v>
      </c>
      <c r="AX33" s="6" t="s">
        <v>255</v>
      </c>
      <c r="BA33" s="6">
        <v>218.7</v>
      </c>
      <c r="BB33" s="6" t="s">
        <v>256</v>
      </c>
      <c r="BD33" s="2">
        <f t="shared" si="5"/>
        <v>2</v>
      </c>
      <c r="BE33" s="8">
        <f t="shared" si="61"/>
        <v>422</v>
      </c>
      <c r="BI33" s="8">
        <f t="shared" si="29"/>
        <v>422</v>
      </c>
      <c r="BJ33" s="6" t="s">
        <v>257</v>
      </c>
      <c r="BL33" s="2">
        <f t="shared" si="7"/>
        <v>2</v>
      </c>
      <c r="BM33" s="8">
        <f t="shared" si="30"/>
        <v>339</v>
      </c>
      <c r="BQ33" s="8">
        <f t="shared" si="31"/>
        <v>339</v>
      </c>
      <c r="BR33" s="6" t="s">
        <v>255</v>
      </c>
      <c r="BT33" s="8">
        <f t="shared" si="8"/>
        <v>1</v>
      </c>
      <c r="BU33" s="6">
        <v>11</v>
      </c>
      <c r="BY33" s="6">
        <v>11</v>
      </c>
      <c r="BZ33" s="6" t="s">
        <v>258</v>
      </c>
      <c r="CB33" s="6">
        <v>1</v>
      </c>
      <c r="CC33" s="6" t="str">
        <f t="shared" si="24"/>
        <v>一级</v>
      </c>
      <c r="CF33" s="6" t="s">
        <v>132</v>
      </c>
      <c r="CG33" s="6" t="s">
        <v>259</v>
      </c>
      <c r="CH33" s="6" t="s">
        <v>255</v>
      </c>
      <c r="CJ33" s="8">
        <f t="shared" si="32"/>
        <v>2</v>
      </c>
      <c r="CK33" s="12">
        <f t="shared" si="33"/>
        <v>0.98599526066350707</v>
      </c>
      <c r="CO33" s="6">
        <v>416.09</v>
      </c>
      <c r="CP33" s="6" t="s">
        <v>260</v>
      </c>
      <c r="CS33" s="8">
        <f t="shared" si="34"/>
        <v>422</v>
      </c>
      <c r="CT33" s="6" t="s">
        <v>255</v>
      </c>
      <c r="CV33" s="8">
        <f t="shared" si="35"/>
        <v>2</v>
      </c>
      <c r="CW33" s="8">
        <f t="shared" si="36"/>
        <v>1586.07133</v>
      </c>
      <c r="DA33" s="17">
        <v>1586.07133</v>
      </c>
      <c r="DB33" s="6" t="s">
        <v>261</v>
      </c>
      <c r="DD33" s="8">
        <f t="shared" si="37"/>
        <v>1</v>
      </c>
      <c r="DE33" s="15">
        <f t="shared" si="38"/>
        <v>4.6786764896755164</v>
      </c>
      <c r="DI33" s="8">
        <f t="shared" si="39"/>
        <v>339</v>
      </c>
      <c r="DJ33" s="6" t="s">
        <v>252</v>
      </c>
      <c r="DM33" s="13">
        <f t="shared" si="40"/>
        <v>1586.07133</v>
      </c>
      <c r="DN33" s="6" t="s">
        <v>261</v>
      </c>
      <c r="DP33" s="6">
        <v>2</v>
      </c>
      <c r="DQ33" s="6" t="s">
        <v>262</v>
      </c>
      <c r="DU33" s="16">
        <v>0.2278</v>
      </c>
      <c r="DV33" s="6" t="s">
        <v>263</v>
      </c>
      <c r="DY33" s="16">
        <v>0.28889999999999999</v>
      </c>
      <c r="DZ33" s="6" t="s">
        <v>261</v>
      </c>
      <c r="EC33" s="16">
        <v>0.27529999999999999</v>
      </c>
      <c r="ED33" s="6" t="s">
        <v>263</v>
      </c>
      <c r="EG33" s="16">
        <v>20.8</v>
      </c>
      <c r="EH33" s="6" t="s">
        <v>261</v>
      </c>
      <c r="EJ33" s="2">
        <f t="shared" si="41"/>
        <v>1</v>
      </c>
      <c r="EK33" s="8">
        <f t="shared" si="42"/>
        <v>604</v>
      </c>
      <c r="EO33" s="6">
        <v>604</v>
      </c>
      <c r="EP33" s="6" t="s">
        <v>255</v>
      </c>
      <c r="ER33" s="8">
        <f t="shared" si="43"/>
        <v>1</v>
      </c>
      <c r="ES33" s="6">
        <v>336</v>
      </c>
      <c r="EW33" s="6">
        <v>336</v>
      </c>
      <c r="EX33" s="6" t="s">
        <v>255</v>
      </c>
      <c r="EZ33" s="8">
        <f t="shared" si="44"/>
        <v>0</v>
      </c>
      <c r="FA33" s="8" t="str">
        <f t="shared" si="45"/>
        <v>数据缺失</v>
      </c>
      <c r="FE33" s="6" t="s">
        <v>264</v>
      </c>
      <c r="FH33" s="6">
        <v>2</v>
      </c>
      <c r="FI33" s="6" t="s">
        <v>265</v>
      </c>
      <c r="FJ33" s="6" t="s">
        <v>260</v>
      </c>
      <c r="FM33" s="6" t="s">
        <v>37</v>
      </c>
      <c r="FQ33" s="6" t="s">
        <v>37</v>
      </c>
      <c r="FU33" s="6" t="s">
        <v>37</v>
      </c>
      <c r="FY33" s="6" t="s">
        <v>37</v>
      </c>
      <c r="GB33" s="6">
        <v>2</v>
      </c>
      <c r="GC33" s="6" t="s">
        <v>266</v>
      </c>
      <c r="GG33" s="6" t="s">
        <v>266</v>
      </c>
      <c r="GH33" s="6" t="s">
        <v>260</v>
      </c>
      <c r="GJ33" s="8">
        <f t="shared" si="46"/>
        <v>4</v>
      </c>
      <c r="GK33" s="1">
        <f t="shared" si="47"/>
        <v>4.1555439359330711E-2</v>
      </c>
      <c r="GN33" s="6">
        <v>15.1</v>
      </c>
      <c r="GO33" s="6" t="s">
        <v>267</v>
      </c>
      <c r="GP33" s="6" t="s">
        <v>260</v>
      </c>
      <c r="GS33" s="6">
        <v>363.37</v>
      </c>
      <c r="GT33" s="6" t="s">
        <v>144</v>
      </c>
      <c r="GV33" s="183">
        <f t="shared" si="48"/>
        <v>2</v>
      </c>
      <c r="GW33" s="185">
        <v>0.24010000000000001</v>
      </c>
      <c r="GX33" s="183"/>
      <c r="GY33" s="183"/>
      <c r="GZ33" s="183"/>
      <c r="HA33" s="158">
        <v>334.7</v>
      </c>
      <c r="HB33" s="14" t="s">
        <v>2842</v>
      </c>
      <c r="HE33" s="6">
        <v>1394.04</v>
      </c>
      <c r="HF33" s="6" t="s">
        <v>144</v>
      </c>
      <c r="HH33" s="8">
        <f t="shared" si="50"/>
        <v>2</v>
      </c>
      <c r="HI33" s="1">
        <f t="shared" si="51"/>
        <v>0.27201774564574432</v>
      </c>
      <c r="HM33" s="6">
        <v>66.22</v>
      </c>
      <c r="HN33" s="6" t="s">
        <v>268</v>
      </c>
      <c r="HQ33" s="6">
        <v>243.44</v>
      </c>
      <c r="HR33" s="6" t="s">
        <v>144</v>
      </c>
      <c r="HT33" s="8">
        <f t="shared" si="52"/>
        <v>4</v>
      </c>
      <c r="HU33" s="10">
        <f t="shared" si="53"/>
        <v>2.2393057080866793E-2</v>
      </c>
      <c r="HY33" s="6">
        <v>8.36</v>
      </c>
      <c r="HZ33" s="6" t="s">
        <v>269</v>
      </c>
      <c r="IC33" s="6">
        <v>373.33</v>
      </c>
      <c r="ID33" s="6" t="s">
        <v>144</v>
      </c>
      <c r="IR33" s="2">
        <f t="shared" si="54"/>
        <v>0</v>
      </c>
      <c r="IS33" s="6" t="s">
        <v>264</v>
      </c>
      <c r="IW33" s="6" t="s">
        <v>264</v>
      </c>
      <c r="JA33" s="6">
        <v>334.18</v>
      </c>
      <c r="JB33" s="6" t="s">
        <v>270</v>
      </c>
      <c r="JD33" s="14">
        <f t="shared" si="56"/>
        <v>3</v>
      </c>
      <c r="JE33" s="1">
        <f t="shared" si="57"/>
        <v>7.9572774257570297E-2</v>
      </c>
      <c r="JI33" s="6">
        <v>128.62</v>
      </c>
      <c r="JJ33" s="6" t="s">
        <v>260</v>
      </c>
      <c r="JM33" s="6">
        <v>3.33</v>
      </c>
      <c r="JN33" s="6" t="s">
        <v>260</v>
      </c>
      <c r="JQ33" s="6">
        <v>614.48</v>
      </c>
      <c r="JR33" s="6" t="s">
        <v>260</v>
      </c>
      <c r="JU33" s="6">
        <v>356.32</v>
      </c>
      <c r="JV33" s="6" t="s">
        <v>260</v>
      </c>
      <c r="JX33" s="6">
        <v>2</v>
      </c>
      <c r="JY33" s="6" t="s">
        <v>271</v>
      </c>
      <c r="KB33" s="6">
        <v>4</v>
      </c>
      <c r="KC33" s="6" t="s">
        <v>271</v>
      </c>
      <c r="KD33" s="6" t="s">
        <v>272</v>
      </c>
      <c r="KF33" s="8">
        <f t="shared" si="58"/>
        <v>0</v>
      </c>
      <c r="KG33" s="6" t="s">
        <v>37</v>
      </c>
      <c r="KK33" s="6" t="s">
        <v>37</v>
      </c>
      <c r="KO33" s="15">
        <f t="shared" si="60"/>
        <v>334.18</v>
      </c>
      <c r="KP33" s="6" t="s">
        <v>270</v>
      </c>
    </row>
    <row r="34" spans="2:302" s="6" customFormat="1" ht="16.5" customHeight="1" x14ac:dyDescent="0.35">
      <c r="B34" s="6" t="s">
        <v>273</v>
      </c>
      <c r="C34" s="6" t="s">
        <v>195</v>
      </c>
      <c r="D34" s="6" t="s">
        <v>196</v>
      </c>
      <c r="E34" s="6" t="s">
        <v>228</v>
      </c>
      <c r="F34" s="6" t="s">
        <v>274</v>
      </c>
      <c r="G34" s="3" t="s">
        <v>199</v>
      </c>
      <c r="H34" s="16">
        <v>0.99780000000000002</v>
      </c>
      <c r="L34" s="3">
        <v>4</v>
      </c>
      <c r="M34" s="6" t="s">
        <v>275</v>
      </c>
      <c r="P34" s="6" t="s">
        <v>126</v>
      </c>
      <c r="Q34" s="6" t="s">
        <v>276</v>
      </c>
      <c r="R34" s="6" t="s">
        <v>277</v>
      </c>
      <c r="T34" s="6" t="s">
        <v>278</v>
      </c>
      <c r="U34" s="16">
        <v>0.89900000000000002</v>
      </c>
      <c r="W34" s="6" t="s">
        <v>279</v>
      </c>
      <c r="X34" s="8">
        <f t="shared" si="25"/>
        <v>0</v>
      </c>
      <c r="Y34" s="6" t="s">
        <v>222</v>
      </c>
      <c r="AC34" s="6" t="s">
        <v>222</v>
      </c>
      <c r="AG34" s="6" t="s">
        <v>222</v>
      </c>
      <c r="AK34" s="6" t="s">
        <v>37</v>
      </c>
      <c r="AN34" s="8">
        <f t="shared" si="27"/>
        <v>0</v>
      </c>
      <c r="AO34" s="6" t="s">
        <v>37</v>
      </c>
      <c r="AS34" s="6" t="s">
        <v>280</v>
      </c>
      <c r="AW34" s="6" t="s">
        <v>222</v>
      </c>
      <c r="BA34" s="6" t="s">
        <v>280</v>
      </c>
      <c r="BD34" s="2">
        <f t="shared" si="5"/>
        <v>0</v>
      </c>
      <c r="BE34" s="8" t="str">
        <f t="shared" si="61"/>
        <v>数据缺失</v>
      </c>
      <c r="BI34" s="8" t="str">
        <f t="shared" si="29"/>
        <v>数据缺失</v>
      </c>
      <c r="BL34" s="2">
        <f t="shared" si="7"/>
        <v>0</v>
      </c>
      <c r="BM34" s="8" t="str">
        <f t="shared" si="30"/>
        <v>数据缺失</v>
      </c>
      <c r="BQ34" s="8" t="str">
        <f t="shared" si="31"/>
        <v>数据缺失</v>
      </c>
      <c r="BT34" s="8">
        <f t="shared" si="8"/>
        <v>5</v>
      </c>
      <c r="BU34" s="6" t="s">
        <v>281</v>
      </c>
      <c r="BY34" s="6" t="s">
        <v>281</v>
      </c>
      <c r="BZ34" s="6" t="s">
        <v>180</v>
      </c>
      <c r="CB34" s="6">
        <v>0</v>
      </c>
      <c r="CC34" s="6" t="s">
        <v>37</v>
      </c>
      <c r="CF34" s="6" t="s">
        <v>222</v>
      </c>
      <c r="CG34" s="6" t="s">
        <v>222</v>
      </c>
      <c r="CJ34" s="8">
        <f t="shared" si="32"/>
        <v>0</v>
      </c>
      <c r="CK34" s="6" t="s">
        <v>37</v>
      </c>
      <c r="CO34" s="6" t="s">
        <v>37</v>
      </c>
      <c r="CS34" s="8" t="str">
        <f t="shared" si="34"/>
        <v>数据缺失</v>
      </c>
      <c r="CV34" s="8">
        <f t="shared" si="35"/>
        <v>0</v>
      </c>
      <c r="CW34" s="8" t="str">
        <f t="shared" si="36"/>
        <v>数据缺失</v>
      </c>
      <c r="DA34" s="6" t="s">
        <v>37</v>
      </c>
      <c r="DD34" s="8">
        <f t="shared" si="37"/>
        <v>0</v>
      </c>
      <c r="DE34" s="15" t="s">
        <v>537</v>
      </c>
      <c r="DI34" s="8" t="str">
        <f t="shared" si="39"/>
        <v>数据缺失</v>
      </c>
      <c r="DM34" s="13" t="str">
        <f t="shared" si="40"/>
        <v>数据缺失</v>
      </c>
      <c r="DP34" s="6">
        <v>5</v>
      </c>
      <c r="DQ34" s="6" t="s">
        <v>222</v>
      </c>
      <c r="DU34" s="16" t="s">
        <v>222</v>
      </c>
      <c r="DY34" s="16" t="s">
        <v>37</v>
      </c>
      <c r="EC34" s="16" t="s">
        <v>222</v>
      </c>
      <c r="EG34" s="16" t="s">
        <v>37</v>
      </c>
      <c r="EJ34" s="2">
        <f t="shared" si="41"/>
        <v>0</v>
      </c>
      <c r="EK34" s="8" t="str">
        <f t="shared" si="42"/>
        <v>数据缺失</v>
      </c>
      <c r="EO34" s="6" t="s">
        <v>222</v>
      </c>
      <c r="ER34" s="8">
        <f t="shared" si="43"/>
        <v>0</v>
      </c>
      <c r="ES34" s="6" t="str">
        <f>EW34</f>
        <v>数据缺失</v>
      </c>
      <c r="EW34" s="6" t="s">
        <v>280</v>
      </c>
      <c r="EZ34" s="8">
        <f t="shared" si="44"/>
        <v>0</v>
      </c>
      <c r="FA34" s="8" t="str">
        <f t="shared" si="45"/>
        <v>数据缺失</v>
      </c>
      <c r="FE34" s="6" t="s">
        <v>222</v>
      </c>
      <c r="FH34" s="6">
        <v>5</v>
      </c>
      <c r="FI34" s="6" t="s">
        <v>37</v>
      </c>
      <c r="FM34" s="6" t="s">
        <v>37</v>
      </c>
      <c r="FQ34" s="6" t="s">
        <v>37</v>
      </c>
      <c r="FU34" s="6" t="s">
        <v>222</v>
      </c>
      <c r="FY34" s="6" t="s">
        <v>222</v>
      </c>
      <c r="GB34" s="6">
        <v>2</v>
      </c>
      <c r="GC34" s="6" t="s">
        <v>282</v>
      </c>
      <c r="GG34" s="6" t="s">
        <v>282</v>
      </c>
      <c r="GH34" s="6" t="s">
        <v>283</v>
      </c>
      <c r="GJ34" s="8">
        <f t="shared" si="46"/>
        <v>1</v>
      </c>
      <c r="GK34" s="1">
        <f t="shared" si="47"/>
        <v>0.99837398373983732</v>
      </c>
      <c r="GN34" s="6">
        <v>6.14</v>
      </c>
      <c r="GO34" s="6" t="s">
        <v>284</v>
      </c>
      <c r="GP34" s="6" t="s">
        <v>283</v>
      </c>
      <c r="GS34" s="6">
        <v>6.15</v>
      </c>
      <c r="GT34" s="6" t="s">
        <v>221</v>
      </c>
      <c r="GV34" s="8">
        <f t="shared" si="48"/>
        <v>0</v>
      </c>
      <c r="GW34" s="6" t="s">
        <v>222</v>
      </c>
      <c r="HA34" s="6" t="s">
        <v>222</v>
      </c>
      <c r="HE34" s="6">
        <v>191.64</v>
      </c>
      <c r="HF34" s="6" t="s">
        <v>144</v>
      </c>
      <c r="HH34" s="8">
        <f t="shared" si="50"/>
        <v>0</v>
      </c>
      <c r="HI34" s="6" t="s">
        <v>37</v>
      </c>
      <c r="HM34" s="6" t="s">
        <v>37</v>
      </c>
      <c r="HQ34" s="6">
        <v>4.51</v>
      </c>
      <c r="HR34" s="6" t="s">
        <v>221</v>
      </c>
      <c r="HT34" s="8">
        <f t="shared" si="52"/>
        <v>0</v>
      </c>
      <c r="HU34" s="3" t="s">
        <v>530</v>
      </c>
      <c r="HY34" s="6" t="s">
        <v>37</v>
      </c>
      <c r="IC34" s="6">
        <v>26.2</v>
      </c>
      <c r="ID34" s="6" t="s">
        <v>144</v>
      </c>
      <c r="IR34" s="2">
        <f t="shared" si="54"/>
        <v>0</v>
      </c>
      <c r="IS34" s="6" t="s">
        <v>264</v>
      </c>
      <c r="IW34" s="6" t="s">
        <v>222</v>
      </c>
      <c r="JA34" s="6">
        <v>97.6</v>
      </c>
      <c r="JB34" s="6" t="s">
        <v>285</v>
      </c>
      <c r="JD34" s="14">
        <f t="shared" si="56"/>
        <v>4</v>
      </c>
      <c r="JE34" s="1">
        <f t="shared" si="57"/>
        <v>8.7844462305973342E-2</v>
      </c>
      <c r="JI34" s="6">
        <v>10.94</v>
      </c>
      <c r="JJ34" s="6" t="s">
        <v>286</v>
      </c>
      <c r="JM34" s="6">
        <v>6.94</v>
      </c>
      <c r="JN34" s="6" t="s">
        <v>283</v>
      </c>
      <c r="JQ34" s="6">
        <v>31.08</v>
      </c>
      <c r="JR34" s="6" t="s">
        <v>286</v>
      </c>
      <c r="JU34" s="6">
        <v>4.8099999999999996</v>
      </c>
      <c r="JV34" s="6" t="s">
        <v>286</v>
      </c>
      <c r="JX34" s="6">
        <v>1</v>
      </c>
      <c r="JY34" s="6" t="s">
        <v>287</v>
      </c>
      <c r="KB34" s="6">
        <v>1</v>
      </c>
      <c r="KC34" s="6" t="s">
        <v>246</v>
      </c>
      <c r="KD34" s="6" t="s">
        <v>286</v>
      </c>
      <c r="KF34" s="8">
        <f t="shared" si="58"/>
        <v>0</v>
      </c>
      <c r="KG34" s="6" t="s">
        <v>37</v>
      </c>
      <c r="KK34" s="6" t="s">
        <v>37</v>
      </c>
      <c r="KO34" s="15">
        <f t="shared" si="60"/>
        <v>97.6</v>
      </c>
      <c r="KP34" s="6" t="s">
        <v>144</v>
      </c>
    </row>
    <row r="35" spans="2:302" s="6" customFormat="1" ht="16.5" hidden="1" customHeight="1" x14ac:dyDescent="0.35">
      <c r="B35" s="6" t="s">
        <v>288</v>
      </c>
      <c r="C35" s="6" t="s">
        <v>170</v>
      </c>
      <c r="D35" s="6" t="s">
        <v>171</v>
      </c>
      <c r="E35" s="6" t="s">
        <v>289</v>
      </c>
      <c r="F35" s="6" t="s">
        <v>290</v>
      </c>
      <c r="G35" s="3" t="s">
        <v>174</v>
      </c>
      <c r="H35" s="18">
        <v>1</v>
      </c>
      <c r="L35" s="159">
        <v>4</v>
      </c>
      <c r="M35" s="6" t="s">
        <v>291</v>
      </c>
      <c r="P35" s="6" t="s">
        <v>126</v>
      </c>
      <c r="Q35" s="6" t="s">
        <v>292</v>
      </c>
      <c r="R35" s="6" t="s">
        <v>146</v>
      </c>
      <c r="T35" s="6" t="s">
        <v>293</v>
      </c>
      <c r="U35" s="16">
        <v>0.69359999999999999</v>
      </c>
      <c r="X35" s="8">
        <f t="shared" si="25"/>
        <v>1</v>
      </c>
      <c r="Y35" s="1">
        <f t="shared" si="26"/>
        <v>0.32922550280268431</v>
      </c>
      <c r="AC35" s="6">
        <v>195.08</v>
      </c>
      <c r="AD35" s="6" t="s">
        <v>294</v>
      </c>
      <c r="AG35" s="6">
        <v>152.34</v>
      </c>
      <c r="AH35" s="6" t="s">
        <v>294</v>
      </c>
      <c r="AK35" s="6">
        <v>110.56</v>
      </c>
      <c r="AL35" s="6" t="s">
        <v>295</v>
      </c>
      <c r="AN35" s="8">
        <f t="shared" si="27"/>
        <v>1</v>
      </c>
      <c r="AO35" s="1">
        <f t="shared" si="28"/>
        <v>0.46629556221211571</v>
      </c>
      <c r="AS35" s="6">
        <v>216.5</v>
      </c>
      <c r="AT35" s="6" t="s">
        <v>294</v>
      </c>
      <c r="AW35" s="6">
        <v>139.63</v>
      </c>
      <c r="AX35" s="6" t="s">
        <v>294</v>
      </c>
      <c r="BA35" s="6">
        <v>101.03</v>
      </c>
      <c r="BB35" s="6" t="s">
        <v>296</v>
      </c>
      <c r="BD35" s="2">
        <f t="shared" si="5"/>
        <v>3</v>
      </c>
      <c r="BE35" s="8">
        <f t="shared" si="61"/>
        <v>195.08</v>
      </c>
      <c r="BI35" s="8">
        <f t="shared" si="29"/>
        <v>195.08</v>
      </c>
      <c r="BJ35" s="6" t="s">
        <v>294</v>
      </c>
      <c r="BL35" s="2">
        <f t="shared" si="7"/>
        <v>3</v>
      </c>
      <c r="BM35" s="8">
        <f t="shared" si="30"/>
        <v>216.5</v>
      </c>
      <c r="BQ35" s="8">
        <f t="shared" si="31"/>
        <v>216.5</v>
      </c>
      <c r="BR35" s="6" t="s">
        <v>294</v>
      </c>
      <c r="BT35" s="8">
        <f t="shared" si="8"/>
        <v>2</v>
      </c>
      <c r="BU35" s="6">
        <v>43</v>
      </c>
      <c r="BY35" s="6">
        <v>43</v>
      </c>
      <c r="BZ35" s="6" t="s">
        <v>234</v>
      </c>
      <c r="CB35" s="6">
        <v>2</v>
      </c>
      <c r="CC35" s="6" t="s">
        <v>1243</v>
      </c>
      <c r="CF35" s="6" t="s">
        <v>1243</v>
      </c>
      <c r="CG35" s="6" t="s">
        <v>423</v>
      </c>
      <c r="CH35" s="6" t="s">
        <v>1244</v>
      </c>
      <c r="CJ35" s="8">
        <f t="shared" si="32"/>
        <v>2</v>
      </c>
      <c r="CK35" s="12">
        <f t="shared" si="33"/>
        <v>0.70181464014763173</v>
      </c>
      <c r="CO35" s="6">
        <v>136.91</v>
      </c>
      <c r="CP35" s="6" t="s">
        <v>294</v>
      </c>
      <c r="CS35" s="8">
        <f t="shared" si="34"/>
        <v>195.08</v>
      </c>
      <c r="CT35" s="6" t="s">
        <v>294</v>
      </c>
      <c r="CV35" s="8">
        <f t="shared" si="35"/>
        <v>3</v>
      </c>
      <c r="CW35" s="8">
        <f t="shared" si="36"/>
        <v>650.55999999999995</v>
      </c>
      <c r="DA35" s="6">
        <v>650.55999999999995</v>
      </c>
      <c r="DB35" s="6" t="s">
        <v>294</v>
      </c>
      <c r="DD35" s="8">
        <f t="shared" si="37"/>
        <v>1</v>
      </c>
      <c r="DE35" s="15">
        <f t="shared" si="38"/>
        <v>3.004896073903002</v>
      </c>
      <c r="DI35" s="8">
        <f t="shared" si="39"/>
        <v>216.5</v>
      </c>
      <c r="DJ35" s="6" t="s">
        <v>294</v>
      </c>
      <c r="DM35" s="13">
        <f t="shared" si="40"/>
        <v>650.55999999999995</v>
      </c>
      <c r="DN35" s="6" t="s">
        <v>294</v>
      </c>
      <c r="DP35" s="6">
        <v>2</v>
      </c>
      <c r="DQ35" s="6" t="s">
        <v>539</v>
      </c>
      <c r="DU35" s="16" t="s">
        <v>37</v>
      </c>
      <c r="DY35" s="16" t="s">
        <v>37</v>
      </c>
      <c r="EC35" s="16" t="s">
        <v>37</v>
      </c>
      <c r="EG35" s="16" t="s">
        <v>37</v>
      </c>
      <c r="EJ35" s="2">
        <f t="shared" si="41"/>
        <v>1</v>
      </c>
      <c r="EK35" s="8">
        <f t="shared" si="42"/>
        <v>260</v>
      </c>
      <c r="EO35" s="6">
        <v>260</v>
      </c>
      <c r="EP35" s="6" t="s">
        <v>298</v>
      </c>
      <c r="ER35" s="8">
        <f t="shared" si="43"/>
        <v>1</v>
      </c>
      <c r="ES35" s="6">
        <f t="shared" ref="ES35:ES87" si="62">EW35</f>
        <v>187.4</v>
      </c>
      <c r="EW35" s="6">
        <v>187.4</v>
      </c>
      <c r="EX35" s="6" t="s">
        <v>298</v>
      </c>
      <c r="EZ35" s="8">
        <f t="shared" si="44"/>
        <v>1</v>
      </c>
      <c r="FA35" s="8">
        <f t="shared" si="45"/>
        <v>452.04</v>
      </c>
      <c r="FE35" s="6">
        <v>452.04</v>
      </c>
      <c r="FF35" s="6" t="s">
        <v>294</v>
      </c>
      <c r="FH35" s="6">
        <v>2</v>
      </c>
      <c r="FI35" s="6" t="s">
        <v>299</v>
      </c>
      <c r="FM35" s="16">
        <v>0.32119999999999999</v>
      </c>
      <c r="FN35" s="6" t="s">
        <v>294</v>
      </c>
      <c r="FQ35" s="16">
        <v>0.40600000000000003</v>
      </c>
      <c r="FR35" s="6" t="s">
        <v>294</v>
      </c>
      <c r="FU35" s="16">
        <v>0.18870000000000001</v>
      </c>
      <c r="FV35" s="6" t="s">
        <v>294</v>
      </c>
      <c r="FY35" s="16">
        <v>8.4000000000000005E-2</v>
      </c>
      <c r="FZ35" s="6" t="s">
        <v>298</v>
      </c>
      <c r="GB35" s="6">
        <v>2</v>
      </c>
      <c r="GC35" s="6" t="s">
        <v>300</v>
      </c>
      <c r="GG35" s="6" t="s">
        <v>301</v>
      </c>
      <c r="GH35" s="6" t="s">
        <v>244</v>
      </c>
      <c r="GJ35" s="8">
        <f t="shared" si="46"/>
        <v>4</v>
      </c>
      <c r="GK35" s="1">
        <f t="shared" si="47"/>
        <v>3.0953396579184264E-2</v>
      </c>
      <c r="GN35" s="17">
        <v>4.4699799999999996</v>
      </c>
      <c r="GO35" s="6" t="s">
        <v>302</v>
      </c>
      <c r="GP35" s="6" t="s">
        <v>303</v>
      </c>
      <c r="GS35" s="6">
        <v>144.41</v>
      </c>
      <c r="GT35" s="6" t="s">
        <v>144</v>
      </c>
      <c r="GV35" s="8">
        <f t="shared" si="48"/>
        <v>2</v>
      </c>
      <c r="GW35" s="1">
        <f t="shared" si="49"/>
        <v>0.22686304599234944</v>
      </c>
      <c r="HA35" s="17">
        <v>102.0067</v>
      </c>
      <c r="HB35" s="6" t="s">
        <v>146</v>
      </c>
      <c r="HE35" s="6">
        <v>449.64</v>
      </c>
      <c r="HF35" s="6" t="s">
        <v>304</v>
      </c>
      <c r="HH35" s="8">
        <f t="shared" si="50"/>
        <v>3</v>
      </c>
      <c r="HI35" s="1">
        <f t="shared" si="51"/>
        <v>0.45493490159543498</v>
      </c>
      <c r="HM35" s="17">
        <v>39.065260000000002</v>
      </c>
      <c r="HN35" s="6" t="s">
        <v>303</v>
      </c>
      <c r="HQ35" s="6">
        <v>85.87</v>
      </c>
      <c r="HR35" s="6" t="s">
        <v>144</v>
      </c>
      <c r="HT35" s="8">
        <f t="shared" si="52"/>
        <v>2</v>
      </c>
      <c r="HU35" s="10">
        <f t="shared" si="53"/>
        <v>0.25727478260869563</v>
      </c>
      <c r="HY35" s="17">
        <v>13.313969999999999</v>
      </c>
      <c r="HZ35" s="6" t="s">
        <v>244</v>
      </c>
      <c r="IC35" s="6">
        <v>51.75</v>
      </c>
      <c r="ID35" s="6" t="s">
        <v>144</v>
      </c>
      <c r="IR35" s="2">
        <f t="shared" si="54"/>
        <v>3</v>
      </c>
      <c r="IS35" s="1">
        <f t="shared" si="55"/>
        <v>1.8624168276454174</v>
      </c>
      <c r="IW35" s="6">
        <v>260.31</v>
      </c>
      <c r="IX35" s="6" t="s">
        <v>146</v>
      </c>
      <c r="JA35" s="6">
        <v>139.77000000000001</v>
      </c>
      <c r="JB35" s="6" t="s">
        <v>144</v>
      </c>
      <c r="JD35" s="14">
        <f t="shared" si="56"/>
        <v>3</v>
      </c>
      <c r="JE35" s="1">
        <f t="shared" si="57"/>
        <v>7.8419693947301319E-2</v>
      </c>
      <c r="JF35" s="14"/>
      <c r="JG35" s="14"/>
      <c r="JH35" s="14"/>
      <c r="JI35" s="14">
        <v>24.7</v>
      </c>
      <c r="JJ35" s="14" t="s">
        <v>518</v>
      </c>
      <c r="JK35" s="14"/>
      <c r="JL35" s="14"/>
      <c r="JM35" s="14">
        <v>3.47</v>
      </c>
      <c r="JN35" s="14" t="s">
        <v>147</v>
      </c>
      <c r="JO35" s="14"/>
      <c r="JP35" s="14"/>
      <c r="JQ35" s="14">
        <v>106.37</v>
      </c>
      <c r="JR35" s="14" t="s">
        <v>518</v>
      </c>
      <c r="JS35" s="14"/>
      <c r="JT35" s="14"/>
      <c r="JU35" s="14">
        <v>75.17</v>
      </c>
      <c r="JV35" s="14" t="s">
        <v>518</v>
      </c>
      <c r="JW35" s="14"/>
      <c r="JX35" s="6">
        <v>1</v>
      </c>
      <c r="JY35" s="6" t="s">
        <v>305</v>
      </c>
      <c r="KB35" s="6">
        <v>5</v>
      </c>
      <c r="KC35" s="6" t="s">
        <v>306</v>
      </c>
      <c r="KD35" s="6" t="s">
        <v>146</v>
      </c>
      <c r="KF35" s="14">
        <f t="shared" si="58"/>
        <v>3</v>
      </c>
      <c r="KG35" s="1">
        <f t="shared" si="59"/>
        <v>0.84560363454246257</v>
      </c>
      <c r="KK35" s="17">
        <v>118.19002</v>
      </c>
      <c r="KL35" s="6" t="s">
        <v>146</v>
      </c>
      <c r="KO35" s="15">
        <f t="shared" si="60"/>
        <v>139.77000000000001</v>
      </c>
    </row>
    <row r="36" spans="2:302" s="6" customFormat="1" ht="16.5" hidden="1" customHeight="1" x14ac:dyDescent="0.35">
      <c r="B36" s="6" t="s">
        <v>288</v>
      </c>
      <c r="C36" s="6" t="s">
        <v>170</v>
      </c>
      <c r="D36" s="6" t="s">
        <v>171</v>
      </c>
      <c r="E36" s="6" t="s">
        <v>228</v>
      </c>
      <c r="F36" s="6" t="s">
        <v>307</v>
      </c>
      <c r="G36" s="3" t="s">
        <v>249</v>
      </c>
      <c r="H36" s="18">
        <v>1</v>
      </c>
      <c r="L36" s="159">
        <v>4</v>
      </c>
      <c r="M36" s="6" t="s">
        <v>308</v>
      </c>
      <c r="P36" s="6" t="s">
        <v>126</v>
      </c>
      <c r="Q36" s="6" t="s">
        <v>292</v>
      </c>
      <c r="R36" s="6" t="s">
        <v>296</v>
      </c>
      <c r="T36" s="6" t="s">
        <v>309</v>
      </c>
      <c r="U36" s="18">
        <v>0.75</v>
      </c>
      <c r="X36" s="6">
        <f t="shared" si="25"/>
        <v>1</v>
      </c>
      <c r="Y36" s="5">
        <f>(AC35-AK35)/AK35</f>
        <v>0.76447178002894367</v>
      </c>
      <c r="AC36" s="6">
        <v>110.56</v>
      </c>
      <c r="AD36" s="6" t="s">
        <v>310</v>
      </c>
      <c r="AG36" s="6">
        <v>69.89</v>
      </c>
      <c r="AH36" s="6" t="s">
        <v>310</v>
      </c>
      <c r="AK36" s="6" t="s">
        <v>37</v>
      </c>
      <c r="AN36" s="6">
        <f t="shared" si="27"/>
        <v>1</v>
      </c>
      <c r="AO36" s="16">
        <f>(AS36-AW36)/AW36</f>
        <v>0.34976619906479639</v>
      </c>
      <c r="AS36" s="6">
        <v>101.03</v>
      </c>
      <c r="AT36" s="6" t="s">
        <v>311</v>
      </c>
      <c r="AW36" s="6">
        <v>74.849999999999994</v>
      </c>
      <c r="AX36" s="6" t="s">
        <v>310</v>
      </c>
      <c r="BA36" s="6" t="s">
        <v>37</v>
      </c>
      <c r="BD36" s="2">
        <f t="shared" si="5"/>
        <v>3</v>
      </c>
      <c r="BE36" s="8">
        <f t="shared" si="61"/>
        <v>110.56</v>
      </c>
      <c r="BI36" s="8">
        <f t="shared" si="29"/>
        <v>110.56</v>
      </c>
      <c r="BJ36" s="6" t="s">
        <v>311</v>
      </c>
      <c r="BL36" s="2">
        <f t="shared" si="7"/>
        <v>3</v>
      </c>
      <c r="BM36" s="8">
        <f t="shared" si="30"/>
        <v>101.03</v>
      </c>
      <c r="BQ36" s="8">
        <f t="shared" si="31"/>
        <v>101.03</v>
      </c>
      <c r="BR36" s="6" t="s">
        <v>311</v>
      </c>
      <c r="BT36" s="8">
        <f t="shared" si="8"/>
        <v>2</v>
      </c>
      <c r="BU36" s="6">
        <v>45</v>
      </c>
      <c r="BY36" s="6">
        <v>45</v>
      </c>
      <c r="BZ36" s="6" t="s">
        <v>258</v>
      </c>
      <c r="CB36" s="6">
        <v>2</v>
      </c>
      <c r="CC36" s="6" t="s">
        <v>1243</v>
      </c>
      <c r="CF36" s="6" t="s">
        <v>1243</v>
      </c>
      <c r="CG36" s="6" t="s">
        <v>423</v>
      </c>
      <c r="CH36" s="6" t="s">
        <v>1244</v>
      </c>
      <c r="CJ36" s="8">
        <f t="shared" si="32"/>
        <v>2</v>
      </c>
      <c r="CK36" s="12">
        <f t="shared" si="33"/>
        <v>0.19383140376266281</v>
      </c>
      <c r="CO36" s="14">
        <v>21.43</v>
      </c>
      <c r="CP36" s="14" t="s">
        <v>294</v>
      </c>
      <c r="CS36" s="8">
        <f t="shared" si="34"/>
        <v>110.56</v>
      </c>
      <c r="CT36" s="14" t="s">
        <v>538</v>
      </c>
      <c r="CV36" s="8">
        <f t="shared" si="35"/>
        <v>0</v>
      </c>
      <c r="CW36" s="8" t="str">
        <f t="shared" si="36"/>
        <v>数据缺失</v>
      </c>
      <c r="DA36" s="6" t="s">
        <v>312</v>
      </c>
      <c r="DD36" s="8">
        <f t="shared" si="37"/>
        <v>0</v>
      </c>
      <c r="DE36" s="15" t="s">
        <v>537</v>
      </c>
      <c r="DI36" s="8">
        <f t="shared" si="39"/>
        <v>101.03</v>
      </c>
      <c r="DJ36" s="14" t="s">
        <v>295</v>
      </c>
      <c r="DM36" s="13" t="str">
        <f t="shared" si="40"/>
        <v>数据缺失</v>
      </c>
      <c r="DP36" s="6">
        <v>5</v>
      </c>
      <c r="DQ36" s="6" t="s">
        <v>37</v>
      </c>
      <c r="DU36" s="16" t="s">
        <v>37</v>
      </c>
      <c r="DY36" s="16" t="s">
        <v>37</v>
      </c>
      <c r="EC36" s="16" t="s">
        <v>37</v>
      </c>
      <c r="EG36" s="16" t="s">
        <v>37</v>
      </c>
      <c r="EJ36" s="2">
        <f t="shared" si="41"/>
        <v>1</v>
      </c>
      <c r="EK36" s="8">
        <f t="shared" si="42"/>
        <v>143</v>
      </c>
      <c r="EO36" s="6">
        <v>143</v>
      </c>
      <c r="EP36" s="6" t="s">
        <v>294</v>
      </c>
      <c r="ER36" s="8">
        <f t="shared" si="43"/>
        <v>1</v>
      </c>
      <c r="ES36" s="6">
        <f t="shared" si="62"/>
        <v>144</v>
      </c>
      <c r="EW36" s="6">
        <v>144</v>
      </c>
      <c r="EX36" s="6" t="s">
        <v>294</v>
      </c>
      <c r="EZ36" s="8">
        <f t="shared" si="44"/>
        <v>0</v>
      </c>
      <c r="FA36" s="8" t="str">
        <f t="shared" si="45"/>
        <v>数据缺失</v>
      </c>
      <c r="FE36" s="6" t="s">
        <v>37</v>
      </c>
      <c r="FH36" s="6">
        <v>5</v>
      </c>
      <c r="FI36" s="6" t="s">
        <v>37</v>
      </c>
      <c r="FM36" s="6" t="s">
        <v>37</v>
      </c>
      <c r="FQ36" s="6" t="s">
        <v>37</v>
      </c>
      <c r="FU36" s="6" t="s">
        <v>37</v>
      </c>
      <c r="FY36" s="6" t="s">
        <v>37</v>
      </c>
      <c r="GB36" s="6">
        <v>2</v>
      </c>
      <c r="GC36" s="6" t="s">
        <v>313</v>
      </c>
      <c r="GG36" s="6" t="s">
        <v>314</v>
      </c>
      <c r="GH36" s="6" t="s">
        <v>315</v>
      </c>
      <c r="GJ36" s="8">
        <f t="shared" si="46"/>
        <v>4</v>
      </c>
      <c r="GK36" s="1">
        <f t="shared" si="47"/>
        <v>2.6182596846408411E-2</v>
      </c>
      <c r="GN36" s="6">
        <v>2.69</v>
      </c>
      <c r="GO36" s="6" t="s">
        <v>316</v>
      </c>
      <c r="GP36" s="6" t="s">
        <v>296</v>
      </c>
      <c r="GS36" s="6">
        <v>102.74</v>
      </c>
      <c r="GT36" s="6" t="s">
        <v>317</v>
      </c>
      <c r="GV36" s="8">
        <f t="shared" si="48"/>
        <v>2</v>
      </c>
      <c r="GW36" s="1">
        <f t="shared" si="49"/>
        <v>0.22903806827784351</v>
      </c>
      <c r="HA36" s="6">
        <v>54.208730000000003</v>
      </c>
      <c r="HB36" s="6" t="s">
        <v>296</v>
      </c>
      <c r="HE36" s="6">
        <v>236.68</v>
      </c>
      <c r="HF36" s="6" t="s">
        <v>144</v>
      </c>
      <c r="HH36" s="183">
        <f t="shared" si="50"/>
        <v>4</v>
      </c>
      <c r="HI36" s="185">
        <f>HM36/HQ36</f>
        <v>0.68690434168725745</v>
      </c>
      <c r="HJ36" s="14"/>
      <c r="HK36" s="14"/>
      <c r="HL36" s="14"/>
      <c r="HM36" s="158">
        <v>19.46</v>
      </c>
      <c r="HN36" s="183" t="s">
        <v>2843</v>
      </c>
      <c r="HQ36" s="6">
        <v>28.33</v>
      </c>
      <c r="HR36" s="6" t="s">
        <v>144</v>
      </c>
      <c r="HT36" s="8">
        <f t="shared" si="52"/>
        <v>4</v>
      </c>
      <c r="HU36" s="10">
        <f t="shared" si="53"/>
        <v>4.6820276497695851E-2</v>
      </c>
      <c r="HY36" s="6">
        <v>2.54</v>
      </c>
      <c r="HZ36" s="6" t="s">
        <v>296</v>
      </c>
      <c r="IC36" s="6">
        <v>54.25</v>
      </c>
      <c r="ID36" s="6" t="s">
        <v>144</v>
      </c>
      <c r="IR36" s="2">
        <f t="shared" si="54"/>
        <v>0</v>
      </c>
      <c r="IS36" s="6" t="s">
        <v>264</v>
      </c>
      <c r="IW36" s="6" t="s">
        <v>37</v>
      </c>
      <c r="JA36" s="6">
        <v>34.15</v>
      </c>
      <c r="JB36" s="6" t="s">
        <v>144</v>
      </c>
      <c r="JD36" s="14">
        <f t="shared" si="56"/>
        <v>4</v>
      </c>
      <c r="JE36" s="1">
        <f t="shared" si="57"/>
        <v>9.3761467889908245E-2</v>
      </c>
      <c r="JI36" s="6">
        <v>15.33</v>
      </c>
      <c r="JJ36" s="6" t="s">
        <v>311</v>
      </c>
      <c r="JM36" s="6">
        <v>2.5</v>
      </c>
      <c r="JN36" s="6" t="s">
        <v>311</v>
      </c>
      <c r="JQ36" s="6">
        <v>74.03</v>
      </c>
      <c r="JR36" s="6" t="s">
        <v>311</v>
      </c>
      <c r="JU36" s="6">
        <v>56.77</v>
      </c>
      <c r="JV36" s="6" t="s">
        <v>311</v>
      </c>
      <c r="JX36" s="6">
        <v>1</v>
      </c>
      <c r="JY36" s="6" t="s">
        <v>305</v>
      </c>
      <c r="KB36" s="6">
        <v>5</v>
      </c>
      <c r="KC36" s="6" t="s">
        <v>306</v>
      </c>
      <c r="KD36" s="6" t="s">
        <v>311</v>
      </c>
      <c r="KF36" s="8">
        <f t="shared" si="58"/>
        <v>0</v>
      </c>
      <c r="KG36" s="6" t="s">
        <v>37</v>
      </c>
      <c r="KK36" s="6" t="s">
        <v>37</v>
      </c>
      <c r="KO36" s="15">
        <f t="shared" si="60"/>
        <v>34.15</v>
      </c>
      <c r="KP36" s="6" t="s">
        <v>144</v>
      </c>
    </row>
    <row r="37" spans="2:302" s="6" customFormat="1" ht="16.5" hidden="1" customHeight="1" x14ac:dyDescent="0.35">
      <c r="B37" s="6" t="s">
        <v>519</v>
      </c>
      <c r="C37" s="6" t="s">
        <v>520</v>
      </c>
      <c r="D37" s="6" t="s">
        <v>521</v>
      </c>
      <c r="E37" s="6" t="s">
        <v>522</v>
      </c>
      <c r="F37" s="114" t="s">
        <v>318</v>
      </c>
      <c r="G37" s="3" t="s">
        <v>523</v>
      </c>
      <c r="H37" s="16">
        <v>0.86250000000000004</v>
      </c>
      <c r="I37" s="16"/>
      <c r="L37" s="3">
        <v>4</v>
      </c>
      <c r="M37" s="6" t="s">
        <v>524</v>
      </c>
      <c r="P37" s="6" t="s">
        <v>319</v>
      </c>
      <c r="Q37" s="6" t="s">
        <v>525</v>
      </c>
      <c r="R37" s="6" t="s">
        <v>526</v>
      </c>
      <c r="T37" s="6" t="s">
        <v>129</v>
      </c>
      <c r="U37" s="16">
        <v>0.47010000000000002</v>
      </c>
      <c r="W37" s="6" t="s">
        <v>321</v>
      </c>
      <c r="X37" s="8">
        <f t="shared" si="25"/>
        <v>5</v>
      </c>
      <c r="Y37" s="1">
        <f t="shared" si="26"/>
        <v>-0.22478160347259785</v>
      </c>
      <c r="AC37" s="21">
        <v>21.02</v>
      </c>
      <c r="AD37" s="6" t="s">
        <v>527</v>
      </c>
      <c r="AG37" s="4">
        <v>37.08</v>
      </c>
      <c r="AH37" s="6" t="s">
        <v>527</v>
      </c>
      <c r="AK37" s="6">
        <v>37.700000000000003</v>
      </c>
      <c r="AL37" s="6" t="s">
        <v>527</v>
      </c>
      <c r="AN37" s="8">
        <f t="shared" si="27"/>
        <v>5</v>
      </c>
      <c r="AO37" s="1">
        <f t="shared" si="28"/>
        <v>-0.1733984282622415</v>
      </c>
      <c r="AS37" s="4">
        <v>23</v>
      </c>
      <c r="AT37" s="6" t="s">
        <v>527</v>
      </c>
      <c r="AW37" s="4">
        <v>28.27</v>
      </c>
      <c r="AX37" s="6" t="s">
        <v>527</v>
      </c>
      <c r="BA37" s="4">
        <v>33.67</v>
      </c>
      <c r="BB37" s="6" t="s">
        <v>527</v>
      </c>
      <c r="BD37" s="2">
        <f t="shared" si="5"/>
        <v>5</v>
      </c>
      <c r="BE37" s="8">
        <f t="shared" si="61"/>
        <v>21.02</v>
      </c>
      <c r="BI37" s="8">
        <f t="shared" si="29"/>
        <v>21.02</v>
      </c>
      <c r="BJ37" s="6" t="s">
        <v>322</v>
      </c>
      <c r="BL37" s="2">
        <f t="shared" si="7"/>
        <v>5</v>
      </c>
      <c r="BM37" s="8">
        <f t="shared" si="30"/>
        <v>23</v>
      </c>
      <c r="BQ37" s="8">
        <f t="shared" si="31"/>
        <v>23</v>
      </c>
      <c r="BR37" s="6" t="s">
        <v>527</v>
      </c>
      <c r="BT37" s="8">
        <f t="shared" si="8"/>
        <v>5</v>
      </c>
      <c r="BU37" s="3" t="s">
        <v>179</v>
      </c>
      <c r="BY37" s="3" t="s">
        <v>528</v>
      </c>
      <c r="BZ37" s="22" t="s">
        <v>529</v>
      </c>
      <c r="CB37" s="6">
        <v>0</v>
      </c>
      <c r="CC37" s="6" t="s">
        <v>37</v>
      </c>
      <c r="CF37" s="6" t="s">
        <v>530</v>
      </c>
      <c r="CG37" s="6" t="s">
        <v>222</v>
      </c>
      <c r="CJ37" s="8">
        <f t="shared" si="32"/>
        <v>2</v>
      </c>
      <c r="CK37" s="12">
        <f t="shared" si="33"/>
        <v>0</v>
      </c>
      <c r="CO37" s="6">
        <v>0</v>
      </c>
      <c r="CP37" s="6" t="s">
        <v>527</v>
      </c>
      <c r="CS37" s="8">
        <f t="shared" si="34"/>
        <v>21.02</v>
      </c>
      <c r="CT37" s="6" t="s">
        <v>527</v>
      </c>
      <c r="CV37" s="8">
        <f t="shared" si="35"/>
        <v>4</v>
      </c>
      <c r="CW37" s="8">
        <f t="shared" si="36"/>
        <v>254.17</v>
      </c>
      <c r="DA37" s="6">
        <v>254.17</v>
      </c>
      <c r="DB37" s="6" t="s">
        <v>527</v>
      </c>
      <c r="DD37" s="8">
        <f t="shared" si="37"/>
        <v>2</v>
      </c>
      <c r="DE37" s="15">
        <f t="shared" si="38"/>
        <v>11.050869565217392</v>
      </c>
      <c r="DI37" s="8">
        <f t="shared" si="39"/>
        <v>23</v>
      </c>
      <c r="DJ37" s="6" t="s">
        <v>527</v>
      </c>
      <c r="DM37" s="13">
        <f t="shared" si="40"/>
        <v>254.17</v>
      </c>
      <c r="DN37" s="6" t="s">
        <v>527</v>
      </c>
      <c r="DP37" s="6">
        <v>2</v>
      </c>
      <c r="DQ37" s="6" t="s">
        <v>531</v>
      </c>
      <c r="DR37" s="6" t="s">
        <v>527</v>
      </c>
      <c r="DU37" s="117" t="s">
        <v>37</v>
      </c>
      <c r="DY37" s="16" t="s">
        <v>37</v>
      </c>
      <c r="EC37" s="16" t="s">
        <v>37</v>
      </c>
      <c r="EG37" s="16" t="s">
        <v>37</v>
      </c>
      <c r="EH37" s="6" t="s">
        <v>527</v>
      </c>
      <c r="EJ37" s="2">
        <f t="shared" si="41"/>
        <v>3</v>
      </c>
      <c r="EK37" s="8">
        <f t="shared" si="42"/>
        <v>25</v>
      </c>
      <c r="EO37" s="4">
        <v>25</v>
      </c>
      <c r="EP37" s="6" t="s">
        <v>527</v>
      </c>
      <c r="ER37" s="8">
        <f t="shared" si="43"/>
        <v>4</v>
      </c>
      <c r="ES37" s="6">
        <f t="shared" si="62"/>
        <v>18</v>
      </c>
      <c r="EW37" s="6">
        <v>18</v>
      </c>
      <c r="EX37" s="6" t="s">
        <v>527</v>
      </c>
      <c r="EZ37" s="8">
        <f t="shared" si="44"/>
        <v>0</v>
      </c>
      <c r="FA37" s="8" t="str">
        <f t="shared" si="45"/>
        <v>数据缺失</v>
      </c>
      <c r="FE37" s="6" t="s">
        <v>530</v>
      </c>
      <c r="FH37" s="6">
        <v>1</v>
      </c>
      <c r="FI37" s="6" t="s">
        <v>532</v>
      </c>
      <c r="FJ37" s="6" t="s">
        <v>527</v>
      </c>
      <c r="FM37" s="3" t="s">
        <v>37</v>
      </c>
      <c r="FQ37" s="6" t="s">
        <v>530</v>
      </c>
      <c r="FU37" s="6" t="s">
        <v>530</v>
      </c>
      <c r="FY37" s="6" t="s">
        <v>530</v>
      </c>
      <c r="GB37" s="182">
        <v>2</v>
      </c>
      <c r="GC37" s="182" t="s">
        <v>2839</v>
      </c>
      <c r="GD37" s="182"/>
      <c r="GG37" s="182" t="s">
        <v>2840</v>
      </c>
      <c r="GH37" s="182" t="s">
        <v>2841</v>
      </c>
      <c r="GJ37" s="183">
        <f t="shared" si="46"/>
        <v>4</v>
      </c>
      <c r="GK37" s="108">
        <f t="shared" si="47"/>
        <v>3.4158838599487613E-3</v>
      </c>
      <c r="GN37" s="182">
        <v>0.12</v>
      </c>
      <c r="GO37" s="182" t="s">
        <v>2836</v>
      </c>
      <c r="GP37" s="182" t="s">
        <v>2837</v>
      </c>
      <c r="GS37" s="6">
        <v>35.130000000000003</v>
      </c>
      <c r="GT37" s="6" t="s">
        <v>2838</v>
      </c>
      <c r="GV37" s="183">
        <f t="shared" si="48"/>
        <v>2</v>
      </c>
      <c r="GW37" s="184">
        <f t="shared" si="49"/>
        <v>0.29405355571386665</v>
      </c>
      <c r="HA37" s="159">
        <v>70.17</v>
      </c>
      <c r="HB37" s="182" t="s">
        <v>146</v>
      </c>
      <c r="HE37" s="6">
        <v>238.63</v>
      </c>
      <c r="HF37" s="6" t="s">
        <v>533</v>
      </c>
      <c r="HH37" s="6">
        <f t="shared" si="50"/>
        <v>2</v>
      </c>
      <c r="HI37" s="5">
        <f t="shared" si="51"/>
        <v>0.38896586856851756</v>
      </c>
      <c r="HM37" s="6">
        <v>7.6353999999999997</v>
      </c>
      <c r="HN37" s="6" t="s">
        <v>1249</v>
      </c>
      <c r="HQ37" s="6">
        <v>19.63</v>
      </c>
      <c r="HR37" s="6" t="s">
        <v>533</v>
      </c>
      <c r="HT37" s="6">
        <f t="shared" si="52"/>
        <v>4</v>
      </c>
      <c r="HU37" s="16">
        <f t="shared" si="53"/>
        <v>0</v>
      </c>
      <c r="HY37" s="3">
        <v>0</v>
      </c>
      <c r="HZ37" s="6" t="s">
        <v>1250</v>
      </c>
      <c r="IC37" s="6">
        <v>31.77</v>
      </c>
      <c r="ID37" s="6" t="s">
        <v>533</v>
      </c>
      <c r="IR37" s="2">
        <f t="shared" si="54"/>
        <v>2</v>
      </c>
      <c r="IS37" s="1">
        <f t="shared" si="55"/>
        <v>2.9156735555890778</v>
      </c>
      <c r="IW37" s="6">
        <v>193.28</v>
      </c>
      <c r="IX37" s="6" t="s">
        <v>322</v>
      </c>
      <c r="JA37" s="6">
        <v>66.290000000000006</v>
      </c>
      <c r="JB37" s="6" t="s">
        <v>533</v>
      </c>
      <c r="JD37" s="14">
        <f t="shared" si="56"/>
        <v>3</v>
      </c>
      <c r="JE37" s="1">
        <f t="shared" si="57"/>
        <v>7.2566028213891659E-2</v>
      </c>
      <c r="JI37" s="4">
        <v>19.8</v>
      </c>
      <c r="JJ37" s="6" t="s">
        <v>527</v>
      </c>
      <c r="JM37" s="6">
        <v>4.33</v>
      </c>
      <c r="JN37" s="6" t="s">
        <v>322</v>
      </c>
      <c r="JQ37" s="6">
        <v>53.53</v>
      </c>
      <c r="JR37" s="6" t="s">
        <v>534</v>
      </c>
      <c r="JU37" s="6">
        <v>72.5</v>
      </c>
      <c r="JV37" s="6" t="s">
        <v>527</v>
      </c>
      <c r="JX37" s="6">
        <v>1</v>
      </c>
      <c r="JY37" s="14" t="s">
        <v>535</v>
      </c>
      <c r="KB37" s="6">
        <v>5</v>
      </c>
      <c r="KC37" s="14" t="s">
        <v>535</v>
      </c>
      <c r="KF37" s="6">
        <f t="shared" si="58"/>
        <v>2</v>
      </c>
      <c r="KG37" s="5">
        <f t="shared" si="59"/>
        <v>0.28435661487403829</v>
      </c>
      <c r="KK37" s="6">
        <v>18.850000000000001</v>
      </c>
      <c r="KL37" s="6" t="s">
        <v>1247</v>
      </c>
      <c r="KO37" s="15">
        <f t="shared" si="60"/>
        <v>66.290000000000006</v>
      </c>
      <c r="KP37" s="6" t="s">
        <v>536</v>
      </c>
    </row>
    <row r="38" spans="2:302" s="6" customFormat="1" ht="16.5" hidden="1" customHeight="1" x14ac:dyDescent="0.35">
      <c r="B38" s="6" t="s">
        <v>323</v>
      </c>
      <c r="C38" s="6" t="s">
        <v>324</v>
      </c>
      <c r="D38" s="6" t="s">
        <v>325</v>
      </c>
      <c r="E38" s="6" t="s">
        <v>289</v>
      </c>
      <c r="F38" s="114" t="s">
        <v>318</v>
      </c>
      <c r="G38" s="3" t="s">
        <v>326</v>
      </c>
      <c r="H38" s="16">
        <v>0.88600000000000001</v>
      </c>
      <c r="I38" s="17"/>
      <c r="L38" s="3">
        <v>4</v>
      </c>
      <c r="M38" s="6" t="s">
        <v>327</v>
      </c>
      <c r="P38" s="6" t="s">
        <v>319</v>
      </c>
      <c r="Q38" s="6" t="s">
        <v>328</v>
      </c>
      <c r="R38" s="6" t="s">
        <v>320</v>
      </c>
      <c r="T38" s="6" t="s">
        <v>129</v>
      </c>
      <c r="U38" s="16">
        <v>0.47010000000000002</v>
      </c>
      <c r="W38" s="6" t="s">
        <v>321</v>
      </c>
      <c r="X38" s="8">
        <f t="shared" si="25"/>
        <v>1</v>
      </c>
      <c r="Y38" s="1">
        <f t="shared" si="26"/>
        <v>0.38009010067575516</v>
      </c>
      <c r="AC38" s="21">
        <v>37.08</v>
      </c>
      <c r="AD38" s="6" t="s">
        <v>320</v>
      </c>
      <c r="AG38" s="4">
        <v>37.700000000000003</v>
      </c>
      <c r="AH38" s="6" t="s">
        <v>329</v>
      </c>
      <c r="AK38" s="6">
        <v>21.22</v>
      </c>
      <c r="AL38" s="6" t="s">
        <v>330</v>
      </c>
      <c r="AN38" s="8">
        <f t="shared" si="27"/>
        <v>2</v>
      </c>
      <c r="AO38" s="1">
        <f t="shared" si="28"/>
        <v>0.2561238790746988</v>
      </c>
      <c r="AS38" s="4">
        <v>28.27</v>
      </c>
      <c r="AT38" s="6" t="s">
        <v>320</v>
      </c>
      <c r="AW38" s="4">
        <v>33.67</v>
      </c>
      <c r="AX38" s="6" t="s">
        <v>320</v>
      </c>
      <c r="BA38" s="4">
        <v>20.13</v>
      </c>
      <c r="BB38" s="6" t="s">
        <v>330</v>
      </c>
      <c r="BD38" s="2">
        <f t="shared" si="5"/>
        <v>5</v>
      </c>
      <c r="BE38" s="8">
        <f t="shared" si="61"/>
        <v>37.08</v>
      </c>
      <c r="BI38" s="8">
        <f t="shared" si="29"/>
        <v>37.08</v>
      </c>
      <c r="BJ38" s="6" t="s">
        <v>330</v>
      </c>
      <c r="BL38" s="2">
        <f t="shared" si="7"/>
        <v>5</v>
      </c>
      <c r="BM38" s="8">
        <f t="shared" si="30"/>
        <v>28.27</v>
      </c>
      <c r="BQ38" s="8">
        <f t="shared" si="31"/>
        <v>28.27</v>
      </c>
      <c r="BR38" s="6" t="s">
        <v>330</v>
      </c>
      <c r="BT38" s="8">
        <f t="shared" si="8"/>
        <v>5</v>
      </c>
      <c r="BU38" s="3" t="s">
        <v>281</v>
      </c>
      <c r="BY38" s="3" t="s">
        <v>281</v>
      </c>
      <c r="BZ38" s="22" t="s">
        <v>331</v>
      </c>
      <c r="CB38" s="6">
        <v>0</v>
      </c>
      <c r="CC38" s="6" t="s">
        <v>37</v>
      </c>
      <c r="CF38" s="6" t="s">
        <v>37</v>
      </c>
      <c r="CG38" s="6" t="s">
        <v>222</v>
      </c>
      <c r="CJ38" s="8">
        <f t="shared" si="32"/>
        <v>2</v>
      </c>
      <c r="CK38" s="12">
        <f t="shared" si="33"/>
        <v>0.52184466019417486</v>
      </c>
      <c r="CO38" s="6">
        <v>19.350000000000001</v>
      </c>
      <c r="CP38" s="6" t="s">
        <v>330</v>
      </c>
      <c r="CS38" s="8">
        <f t="shared" si="34"/>
        <v>37.08</v>
      </c>
      <c r="CT38" s="6" t="s">
        <v>330</v>
      </c>
      <c r="CV38" s="8">
        <f t="shared" si="35"/>
        <v>4</v>
      </c>
      <c r="CW38" s="8">
        <f t="shared" si="36"/>
        <v>241.02</v>
      </c>
      <c r="DA38" s="23">
        <v>241.02</v>
      </c>
      <c r="DB38" s="6" t="s">
        <v>320</v>
      </c>
      <c r="DD38" s="8">
        <f t="shared" si="37"/>
        <v>2</v>
      </c>
      <c r="DE38" s="15">
        <f t="shared" si="38"/>
        <v>8.5256455606650157</v>
      </c>
      <c r="DI38" s="8">
        <f t="shared" si="39"/>
        <v>28.27</v>
      </c>
      <c r="DJ38" s="6" t="s">
        <v>320</v>
      </c>
      <c r="DM38" s="13">
        <f t="shared" si="40"/>
        <v>241.02</v>
      </c>
      <c r="DN38" s="6" t="s">
        <v>320</v>
      </c>
      <c r="DP38" s="6">
        <v>2</v>
      </c>
      <c r="DQ38" s="6" t="s">
        <v>332</v>
      </c>
      <c r="DU38" s="117" t="s">
        <v>37</v>
      </c>
      <c r="DY38" s="16" t="s">
        <v>37</v>
      </c>
      <c r="EC38" s="16" t="s">
        <v>37</v>
      </c>
      <c r="EG38" s="16" t="s">
        <v>37</v>
      </c>
      <c r="EJ38" s="2">
        <f t="shared" si="41"/>
        <v>4</v>
      </c>
      <c r="EK38" s="8">
        <f t="shared" si="42"/>
        <v>11</v>
      </c>
      <c r="EO38" s="6">
        <v>11</v>
      </c>
      <c r="EP38" s="6" t="s">
        <v>322</v>
      </c>
      <c r="ER38" s="8">
        <f t="shared" si="43"/>
        <v>3</v>
      </c>
      <c r="ES38" s="6">
        <f t="shared" si="62"/>
        <v>39</v>
      </c>
      <c r="EW38" s="6">
        <v>39</v>
      </c>
      <c r="EX38" s="6" t="s">
        <v>322</v>
      </c>
      <c r="EZ38" s="8">
        <f t="shared" si="44"/>
        <v>0</v>
      </c>
      <c r="FA38" s="8" t="str">
        <f t="shared" si="45"/>
        <v>数据缺失</v>
      </c>
      <c r="FE38" s="3" t="s">
        <v>37</v>
      </c>
      <c r="FH38" s="6">
        <v>1</v>
      </c>
      <c r="FI38" s="6" t="s">
        <v>333</v>
      </c>
      <c r="FM38" s="3" t="s">
        <v>37</v>
      </c>
      <c r="FQ38" s="6" t="s">
        <v>37</v>
      </c>
      <c r="FU38" s="6" t="s">
        <v>37</v>
      </c>
      <c r="FY38" s="6" t="s">
        <v>297</v>
      </c>
      <c r="GB38" s="6">
        <v>3</v>
      </c>
      <c r="GC38" s="6" t="s">
        <v>334</v>
      </c>
      <c r="GG38" s="6" t="s">
        <v>334</v>
      </c>
      <c r="GH38" s="6" t="s">
        <v>320</v>
      </c>
      <c r="GJ38" s="8">
        <f t="shared" si="46"/>
        <v>4</v>
      </c>
      <c r="GK38" s="1">
        <f t="shared" si="47"/>
        <v>2.9702970297029703E-3</v>
      </c>
      <c r="GN38" s="6">
        <v>0.06</v>
      </c>
      <c r="GO38" s="6" t="s">
        <v>335</v>
      </c>
      <c r="GP38" s="6" t="s">
        <v>320</v>
      </c>
      <c r="GS38" s="3">
        <v>20.2</v>
      </c>
      <c r="GT38" s="6" t="s">
        <v>336</v>
      </c>
      <c r="GV38" s="8">
        <f t="shared" si="48"/>
        <v>2</v>
      </c>
      <c r="GW38" s="1">
        <f t="shared" si="49"/>
        <v>0.22538614267978227</v>
      </c>
      <c r="HA38" s="24">
        <v>47.200366000000002</v>
      </c>
      <c r="HB38" s="6" t="s">
        <v>330</v>
      </c>
      <c r="HE38" s="6">
        <v>209.42</v>
      </c>
      <c r="HF38" s="6" t="s">
        <v>337</v>
      </c>
      <c r="HH38" s="8">
        <f t="shared" si="50"/>
        <v>2</v>
      </c>
      <c r="HI38" s="1">
        <f t="shared" si="51"/>
        <v>0.24095357142857143</v>
      </c>
      <c r="HM38" s="24">
        <v>2.69868</v>
      </c>
      <c r="HN38" s="6" t="s">
        <v>320</v>
      </c>
      <c r="HQ38" s="4">
        <v>11.2</v>
      </c>
      <c r="HR38" s="6" t="s">
        <v>336</v>
      </c>
      <c r="HT38" s="8">
        <f t="shared" si="52"/>
        <v>2</v>
      </c>
      <c r="HU38" s="10">
        <f t="shared" si="53"/>
        <v>0.10070493454179255</v>
      </c>
      <c r="HY38" s="6">
        <v>5</v>
      </c>
      <c r="HZ38" s="6" t="s">
        <v>330</v>
      </c>
      <c r="IC38" s="6">
        <v>49.65</v>
      </c>
      <c r="ID38" s="6" t="s">
        <v>336</v>
      </c>
      <c r="IR38" s="2">
        <f t="shared" si="54"/>
        <v>0</v>
      </c>
      <c r="IS38" s="6" t="s">
        <v>264</v>
      </c>
      <c r="IW38" s="6" t="s">
        <v>222</v>
      </c>
      <c r="JA38" s="6">
        <v>50.37</v>
      </c>
      <c r="JB38" s="6" t="s">
        <v>338</v>
      </c>
      <c r="JD38" s="14">
        <f t="shared" si="56"/>
        <v>4</v>
      </c>
      <c r="JE38" s="1">
        <f t="shared" si="57"/>
        <v>8.3590479290263198E-2</v>
      </c>
      <c r="JI38" s="4">
        <v>14.96</v>
      </c>
      <c r="JJ38" s="6" t="s">
        <v>339</v>
      </c>
      <c r="JM38" s="6">
        <v>2.65</v>
      </c>
      <c r="JN38" s="6" t="s">
        <v>329</v>
      </c>
      <c r="JQ38" s="6">
        <v>72.5</v>
      </c>
      <c r="JR38" s="6" t="s">
        <v>339</v>
      </c>
      <c r="JU38" s="6">
        <v>62.57</v>
      </c>
      <c r="JV38" s="6" t="s">
        <v>329</v>
      </c>
      <c r="JX38" s="6">
        <v>3</v>
      </c>
      <c r="JY38" s="6" t="s">
        <v>340</v>
      </c>
      <c r="KB38" s="6">
        <v>41</v>
      </c>
      <c r="KC38" s="6" t="s">
        <v>340</v>
      </c>
      <c r="KD38" s="6" t="s">
        <v>322</v>
      </c>
      <c r="KF38" s="6">
        <f>IF(KG38="数据缺失",0,IF(KG38&lt;0%,0,IF(KG38&lt;20%,1,IF(KG38&lt;50%,2,IF(KG38&lt;100%,3,4)))))</f>
        <v>1</v>
      </c>
      <c r="KG38" s="5">
        <f>KK38/KO38</f>
        <v>0.13559658526900933</v>
      </c>
      <c r="KK38" s="115">
        <v>6.83</v>
      </c>
      <c r="KL38" s="6" t="s">
        <v>1248</v>
      </c>
      <c r="KM38" s="36" t="s">
        <v>879</v>
      </c>
      <c r="KO38" s="15">
        <f t="shared" si="60"/>
        <v>50.37</v>
      </c>
      <c r="KP38" s="6" t="s">
        <v>341</v>
      </c>
    </row>
    <row r="39" spans="2:302" s="6" customFormat="1" ht="16.5" hidden="1" customHeight="1" x14ac:dyDescent="0.35">
      <c r="B39" s="6" t="s">
        <v>342</v>
      </c>
      <c r="C39" s="6" t="s">
        <v>324</v>
      </c>
      <c r="D39" s="6" t="s">
        <v>325</v>
      </c>
      <c r="E39" s="6" t="s">
        <v>228</v>
      </c>
      <c r="F39" s="6" t="s">
        <v>343</v>
      </c>
      <c r="G39" s="3" t="s">
        <v>174</v>
      </c>
      <c r="H39" s="16">
        <v>1.21E-2</v>
      </c>
      <c r="I39" s="6" t="s">
        <v>344</v>
      </c>
      <c r="J39" s="6" t="s">
        <v>517</v>
      </c>
      <c r="L39" s="3"/>
      <c r="X39" s="8"/>
      <c r="Y39" s="1"/>
      <c r="AN39" s="8"/>
      <c r="AO39" s="1"/>
      <c r="BD39" s="2">
        <f t="shared" si="5"/>
        <v>5</v>
      </c>
      <c r="BE39" s="8">
        <f t="shared" si="61"/>
        <v>0</v>
      </c>
      <c r="BI39" s="8"/>
      <c r="BL39" s="2">
        <f t="shared" si="7"/>
        <v>5</v>
      </c>
      <c r="BM39" s="8"/>
      <c r="BQ39" s="8"/>
      <c r="BT39" s="8">
        <f t="shared" si="8"/>
        <v>1</v>
      </c>
      <c r="CJ39" s="8"/>
      <c r="CK39" s="12"/>
      <c r="CS39" s="8"/>
      <c r="CV39" s="8"/>
      <c r="CW39" s="8"/>
      <c r="DD39" s="8">
        <f t="shared" si="37"/>
        <v>3</v>
      </c>
      <c r="DE39" s="15"/>
      <c r="DI39" s="8"/>
      <c r="DM39" s="13"/>
      <c r="DU39" s="16"/>
      <c r="DY39" s="16"/>
      <c r="EC39" s="16"/>
      <c r="EG39" s="16"/>
      <c r="EJ39" s="2"/>
      <c r="EK39" s="8"/>
      <c r="ER39" s="8"/>
      <c r="EZ39" s="8"/>
      <c r="FA39" s="8"/>
      <c r="GJ39" s="8"/>
      <c r="GK39" s="1"/>
      <c r="GV39" s="8"/>
      <c r="GW39" s="1"/>
      <c r="HH39" s="8"/>
      <c r="HI39" s="1"/>
      <c r="HT39" s="8"/>
      <c r="HU39" s="10"/>
      <c r="IR39" s="2"/>
      <c r="IS39" s="1"/>
      <c r="JD39" s="14"/>
      <c r="JE39" s="1" t="e">
        <f t="shared" si="57"/>
        <v>#DIV/0!</v>
      </c>
      <c r="KF39" s="8"/>
      <c r="KG39" s="1"/>
      <c r="KO39" s="15"/>
    </row>
    <row r="40" spans="2:302" s="6" customFormat="1" ht="16.5" hidden="1" customHeight="1" x14ac:dyDescent="0.35">
      <c r="B40" s="6" t="s">
        <v>345</v>
      </c>
      <c r="C40" s="6" t="s">
        <v>324</v>
      </c>
      <c r="D40" s="6" t="s">
        <v>346</v>
      </c>
      <c r="E40" s="6" t="s">
        <v>228</v>
      </c>
      <c r="F40" s="6" t="s">
        <v>347</v>
      </c>
      <c r="G40" s="3" t="s">
        <v>249</v>
      </c>
      <c r="H40" s="16">
        <v>0.96530000000000005</v>
      </c>
      <c r="L40" s="3">
        <v>4</v>
      </c>
      <c r="M40" s="6" t="s">
        <v>348</v>
      </c>
      <c r="P40" s="25" t="s">
        <v>112</v>
      </c>
      <c r="Q40" s="6" t="s">
        <v>349</v>
      </c>
      <c r="R40" s="6" t="s">
        <v>350</v>
      </c>
      <c r="T40" s="6" t="s">
        <v>351</v>
      </c>
      <c r="U40" s="18">
        <v>0.46</v>
      </c>
      <c r="X40" s="8">
        <f t="shared" si="25"/>
        <v>3</v>
      </c>
      <c r="Y40" s="1">
        <f t="shared" si="26"/>
        <v>5.4020151975755493E-2</v>
      </c>
      <c r="AC40" s="6">
        <v>17.100000000000001</v>
      </c>
      <c r="AD40" s="6" t="s">
        <v>352</v>
      </c>
      <c r="AG40" s="6">
        <v>12.83</v>
      </c>
      <c r="AH40" s="6" t="s">
        <v>353</v>
      </c>
      <c r="AK40" s="6">
        <v>16.55</v>
      </c>
      <c r="AL40" s="6" t="s">
        <v>354</v>
      </c>
      <c r="AN40" s="8">
        <f t="shared" si="27"/>
        <v>2</v>
      </c>
      <c r="AO40" s="1">
        <f t="shared" si="28"/>
        <v>0.17091237297056994</v>
      </c>
      <c r="AS40" s="6">
        <v>22.08</v>
      </c>
      <c r="AT40" s="6" t="s">
        <v>353</v>
      </c>
      <c r="AW40" s="6">
        <v>17.13</v>
      </c>
      <c r="AX40" s="6" t="s">
        <v>355</v>
      </c>
      <c r="BA40" s="6">
        <v>16.27</v>
      </c>
      <c r="BB40" s="6" t="s">
        <v>354</v>
      </c>
      <c r="BD40" s="2">
        <f t="shared" si="5"/>
        <v>5</v>
      </c>
      <c r="BE40" s="8">
        <f t="shared" si="61"/>
        <v>17.100000000000001</v>
      </c>
      <c r="BI40" s="8">
        <f t="shared" si="29"/>
        <v>17.100000000000001</v>
      </c>
      <c r="BJ40" s="6" t="s">
        <v>356</v>
      </c>
      <c r="BL40" s="2">
        <f t="shared" si="7"/>
        <v>5</v>
      </c>
      <c r="BM40" s="8">
        <f t="shared" si="30"/>
        <v>22.08</v>
      </c>
      <c r="BQ40" s="8">
        <f t="shared" si="31"/>
        <v>22.08</v>
      </c>
      <c r="BR40" s="6" t="s">
        <v>357</v>
      </c>
      <c r="BT40" s="8">
        <f t="shared" si="8"/>
        <v>2</v>
      </c>
      <c r="BU40" s="158">
        <v>23</v>
      </c>
      <c r="BV40" s="183"/>
      <c r="BW40" s="183"/>
      <c r="BX40" s="183"/>
      <c r="BY40" s="158">
        <v>23</v>
      </c>
      <c r="BZ40" s="183" t="s">
        <v>358</v>
      </c>
      <c r="CA40" s="183" t="s">
        <v>2835</v>
      </c>
      <c r="CB40" s="6">
        <v>1</v>
      </c>
      <c r="CC40" s="6" t="str">
        <f>CF40</f>
        <v>一级</v>
      </c>
      <c r="CF40" s="6" t="s">
        <v>132</v>
      </c>
      <c r="CG40" s="6" t="s">
        <v>359</v>
      </c>
      <c r="CH40" s="6" t="s">
        <v>360</v>
      </c>
      <c r="CJ40" s="8">
        <f t="shared" si="32"/>
        <v>2</v>
      </c>
      <c r="CK40" s="12">
        <f t="shared" si="33"/>
        <v>0</v>
      </c>
      <c r="CO40" s="6">
        <v>0</v>
      </c>
      <c r="CP40" s="6" t="s">
        <v>356</v>
      </c>
      <c r="CS40" s="8">
        <f t="shared" si="34"/>
        <v>17.100000000000001</v>
      </c>
      <c r="CT40" s="6" t="s">
        <v>361</v>
      </c>
      <c r="CV40" s="8">
        <f t="shared" si="35"/>
        <v>0</v>
      </c>
      <c r="CW40" s="8" t="str">
        <f t="shared" si="36"/>
        <v>数据缺失</v>
      </c>
      <c r="DA40" s="6" t="s">
        <v>37</v>
      </c>
      <c r="DD40" s="8">
        <f t="shared" si="37"/>
        <v>0</v>
      </c>
      <c r="DE40" s="15" t="s">
        <v>537</v>
      </c>
      <c r="DI40" s="8">
        <f t="shared" si="39"/>
        <v>22.08</v>
      </c>
      <c r="DJ40" s="6" t="s">
        <v>357</v>
      </c>
      <c r="DM40" s="13" t="str">
        <f t="shared" si="40"/>
        <v>数据缺失</v>
      </c>
      <c r="DP40" s="6">
        <v>2</v>
      </c>
      <c r="DQ40" s="6" t="s">
        <v>362</v>
      </c>
      <c r="DU40" s="16" t="s">
        <v>37</v>
      </c>
      <c r="DY40" s="16" t="s">
        <v>37</v>
      </c>
      <c r="EC40" s="16" t="s">
        <v>37</v>
      </c>
      <c r="EG40" s="16" t="s">
        <v>37</v>
      </c>
      <c r="EJ40" s="2">
        <f t="shared" si="41"/>
        <v>4</v>
      </c>
      <c r="EK40" s="8">
        <f t="shared" si="42"/>
        <v>13.44</v>
      </c>
      <c r="EO40" s="4">
        <v>13.44</v>
      </c>
      <c r="EP40" s="6" t="s">
        <v>357</v>
      </c>
      <c r="ER40" s="8">
        <f t="shared" si="43"/>
        <v>4</v>
      </c>
      <c r="ES40" s="6">
        <f t="shared" si="62"/>
        <v>19.93</v>
      </c>
      <c r="EW40" s="6">
        <v>19.93</v>
      </c>
      <c r="EX40" s="6" t="s">
        <v>361</v>
      </c>
      <c r="EZ40" s="8">
        <f t="shared" si="44"/>
        <v>0</v>
      </c>
      <c r="FA40" s="8" t="str">
        <f t="shared" si="45"/>
        <v>数据缺失</v>
      </c>
      <c r="FE40" s="6" t="s">
        <v>37</v>
      </c>
      <c r="FH40" s="6">
        <v>2</v>
      </c>
      <c r="FI40" s="6" t="s">
        <v>362</v>
      </c>
      <c r="FM40" s="6" t="s">
        <v>37</v>
      </c>
      <c r="FQ40" s="6" t="s">
        <v>37</v>
      </c>
      <c r="FU40" s="6" t="s">
        <v>37</v>
      </c>
      <c r="FY40" s="6" t="s">
        <v>37</v>
      </c>
      <c r="GB40" s="6">
        <v>2</v>
      </c>
      <c r="GC40" s="6" t="s">
        <v>363</v>
      </c>
      <c r="GG40" s="6" t="s">
        <v>364</v>
      </c>
      <c r="GH40" s="6" t="s">
        <v>361</v>
      </c>
      <c r="GJ40" s="8">
        <f t="shared" si="46"/>
        <v>4</v>
      </c>
      <c r="GK40" s="1">
        <f t="shared" si="47"/>
        <v>2.9702970297029705E-2</v>
      </c>
      <c r="GN40" s="6">
        <v>0.36</v>
      </c>
      <c r="GO40" s="6" t="s">
        <v>365</v>
      </c>
      <c r="GP40" s="6" t="s">
        <v>361</v>
      </c>
      <c r="GS40" s="6">
        <v>12.12</v>
      </c>
      <c r="GT40" s="6" t="s">
        <v>144</v>
      </c>
      <c r="GV40" s="8">
        <f t="shared" si="48"/>
        <v>0</v>
      </c>
      <c r="GW40" s="6" t="s">
        <v>222</v>
      </c>
      <c r="HA40" s="6" t="s">
        <v>37</v>
      </c>
      <c r="HE40" s="6">
        <v>90.17</v>
      </c>
      <c r="HF40" s="6" t="s">
        <v>144</v>
      </c>
      <c r="HH40" s="8">
        <f t="shared" si="50"/>
        <v>1</v>
      </c>
      <c r="HI40" s="1">
        <f t="shared" si="51"/>
        <v>0</v>
      </c>
      <c r="HM40" s="6">
        <v>0</v>
      </c>
      <c r="HN40" s="6" t="s">
        <v>366</v>
      </c>
      <c r="HQ40" s="6">
        <v>15.16</v>
      </c>
      <c r="HR40" s="6" t="s">
        <v>144</v>
      </c>
      <c r="HT40" s="8">
        <f t="shared" si="52"/>
        <v>4</v>
      </c>
      <c r="HU40" s="10">
        <f t="shared" si="53"/>
        <v>0</v>
      </c>
      <c r="HY40" s="6">
        <v>0</v>
      </c>
      <c r="HZ40" s="6" t="s">
        <v>366</v>
      </c>
      <c r="IC40" s="6">
        <v>20.87</v>
      </c>
      <c r="ID40" s="6" t="s">
        <v>144</v>
      </c>
      <c r="IR40" s="2">
        <f t="shared" si="54"/>
        <v>0</v>
      </c>
      <c r="IS40" s="6" t="s">
        <v>264</v>
      </c>
      <c r="IW40" s="3" t="s">
        <v>37</v>
      </c>
      <c r="JA40" s="6">
        <v>16.309999999999999</v>
      </c>
      <c r="JB40" s="6" t="s">
        <v>144</v>
      </c>
      <c r="JD40" s="14">
        <f t="shared" si="56"/>
        <v>1</v>
      </c>
      <c r="JE40" s="1">
        <f t="shared" si="57"/>
        <v>3.6395733388356805E-2</v>
      </c>
      <c r="JI40" s="4">
        <v>1.27</v>
      </c>
      <c r="JJ40" s="6" t="s">
        <v>361</v>
      </c>
      <c r="JM40" s="6">
        <v>0.51</v>
      </c>
      <c r="JN40" s="6" t="s">
        <v>356</v>
      </c>
      <c r="JQ40" s="6">
        <v>73.86</v>
      </c>
      <c r="JR40" s="6" t="s">
        <v>356</v>
      </c>
      <c r="JU40" s="6">
        <v>62.98</v>
      </c>
      <c r="JV40" s="6" t="s">
        <v>361</v>
      </c>
      <c r="JX40" s="6">
        <v>2</v>
      </c>
      <c r="JY40" s="6" t="s">
        <v>367</v>
      </c>
      <c r="KB40" s="6">
        <v>8</v>
      </c>
      <c r="KC40" s="6" t="s">
        <v>367</v>
      </c>
      <c r="KD40" s="6" t="s">
        <v>361</v>
      </c>
      <c r="KF40" s="8">
        <f t="shared" si="58"/>
        <v>1</v>
      </c>
      <c r="KG40" s="1">
        <f t="shared" si="59"/>
        <v>0</v>
      </c>
      <c r="KK40" s="6">
        <v>0</v>
      </c>
      <c r="KL40" s="6" t="s">
        <v>366</v>
      </c>
      <c r="KO40" s="15">
        <f t="shared" si="60"/>
        <v>16.309999999999999</v>
      </c>
      <c r="KP40" s="6" t="s">
        <v>336</v>
      </c>
    </row>
    <row r="41" spans="2:302" s="6" customFormat="1" ht="16.5" hidden="1" customHeight="1" x14ac:dyDescent="0.35">
      <c r="B41" s="6" t="s">
        <v>368</v>
      </c>
      <c r="C41" s="6" t="s">
        <v>324</v>
      </c>
      <c r="D41" s="6" t="s">
        <v>325</v>
      </c>
      <c r="E41" s="6" t="s">
        <v>369</v>
      </c>
      <c r="F41" s="114" t="s">
        <v>370</v>
      </c>
      <c r="G41" s="3" t="s">
        <v>371</v>
      </c>
      <c r="H41" s="16">
        <v>0.99609999999999999</v>
      </c>
      <c r="I41" s="16"/>
      <c r="L41" s="3">
        <v>4</v>
      </c>
      <c r="M41" s="6" t="s">
        <v>372</v>
      </c>
      <c r="P41" s="6" t="s">
        <v>117</v>
      </c>
      <c r="Q41" s="6" t="s">
        <v>373</v>
      </c>
      <c r="R41" s="6" t="s">
        <v>374</v>
      </c>
      <c r="T41" s="6" t="s">
        <v>1235</v>
      </c>
      <c r="U41" s="5">
        <v>0.19980000000000001</v>
      </c>
      <c r="X41" s="8">
        <f t="shared" si="25"/>
        <v>2</v>
      </c>
      <c r="Y41" s="1">
        <f t="shared" si="26"/>
        <v>0.2365717997342133</v>
      </c>
      <c r="AC41" s="6">
        <v>23.43</v>
      </c>
      <c r="AD41" s="6" t="s">
        <v>375</v>
      </c>
      <c r="AG41" s="6">
        <v>34.700000000000003</v>
      </c>
      <c r="AH41" s="6" t="s">
        <v>375</v>
      </c>
      <c r="AK41" s="6">
        <v>19.3</v>
      </c>
      <c r="AL41" s="6" t="s">
        <v>376</v>
      </c>
      <c r="AN41" s="8">
        <f t="shared" si="27"/>
        <v>2</v>
      </c>
      <c r="AO41" s="1">
        <f t="shared" si="28"/>
        <v>0.292607415534477</v>
      </c>
      <c r="AS41" s="6">
        <v>13.09</v>
      </c>
      <c r="AT41" s="6" t="s">
        <v>374</v>
      </c>
      <c r="AW41" s="6">
        <v>16.57</v>
      </c>
      <c r="AX41" s="6" t="s">
        <v>377</v>
      </c>
      <c r="BA41" s="6">
        <v>9.23</v>
      </c>
      <c r="BB41" s="6" t="s">
        <v>378</v>
      </c>
      <c r="BD41" s="2">
        <f t="shared" si="5"/>
        <v>5</v>
      </c>
      <c r="BE41" s="8">
        <f t="shared" si="61"/>
        <v>23.43</v>
      </c>
      <c r="BI41" s="8">
        <f t="shared" si="29"/>
        <v>23.43</v>
      </c>
      <c r="BJ41" s="6" t="s">
        <v>375</v>
      </c>
      <c r="BL41" s="2">
        <f t="shared" si="7"/>
        <v>5</v>
      </c>
      <c r="BM41" s="8">
        <f t="shared" si="30"/>
        <v>13.09</v>
      </c>
      <c r="BQ41" s="8">
        <f t="shared" si="31"/>
        <v>13.09</v>
      </c>
      <c r="BR41" s="6" t="s">
        <v>374</v>
      </c>
      <c r="BT41" s="8">
        <f t="shared" si="8"/>
        <v>5</v>
      </c>
      <c r="BU41" s="6" t="s">
        <v>281</v>
      </c>
      <c r="BY41" s="3" t="s">
        <v>379</v>
      </c>
      <c r="BZ41" s="6" t="s">
        <v>358</v>
      </c>
      <c r="CB41" s="6">
        <v>0</v>
      </c>
      <c r="CC41" s="6" t="s">
        <v>37</v>
      </c>
      <c r="CF41" s="6" t="s">
        <v>37</v>
      </c>
      <c r="CG41" s="6" t="s">
        <v>222</v>
      </c>
      <c r="CH41" s="22"/>
      <c r="CJ41" s="8">
        <f t="shared" si="32"/>
        <v>0</v>
      </c>
      <c r="CK41" s="6" t="s">
        <v>37</v>
      </c>
      <c r="CO41" s="23" t="s">
        <v>380</v>
      </c>
      <c r="CS41" s="8">
        <f t="shared" si="34"/>
        <v>23.43</v>
      </c>
      <c r="CT41" s="6" t="s">
        <v>377</v>
      </c>
      <c r="CV41" s="8">
        <f t="shared" si="35"/>
        <v>5</v>
      </c>
      <c r="CW41" s="8">
        <f t="shared" si="36"/>
        <v>16.52</v>
      </c>
      <c r="DA41" s="6">
        <v>16.52</v>
      </c>
      <c r="DB41" s="6" t="s">
        <v>381</v>
      </c>
      <c r="DD41" s="8">
        <f t="shared" si="37"/>
        <v>3</v>
      </c>
      <c r="DE41" s="15">
        <f t="shared" si="38"/>
        <v>1.2620320855614973</v>
      </c>
      <c r="DI41" s="8">
        <f t="shared" si="39"/>
        <v>13.09</v>
      </c>
      <c r="DJ41" s="6" t="s">
        <v>377</v>
      </c>
      <c r="DM41" s="13">
        <f t="shared" si="40"/>
        <v>16.52</v>
      </c>
      <c r="DN41" s="6" t="s">
        <v>381</v>
      </c>
      <c r="DP41" s="6">
        <v>6</v>
      </c>
      <c r="DQ41" s="6" t="s">
        <v>382</v>
      </c>
      <c r="DR41" s="6" t="s">
        <v>375</v>
      </c>
      <c r="DU41" s="16" t="s">
        <v>380</v>
      </c>
      <c r="DY41" s="16" t="s">
        <v>37</v>
      </c>
      <c r="EC41" s="16" t="s">
        <v>380</v>
      </c>
      <c r="EG41" s="16" t="s">
        <v>37</v>
      </c>
      <c r="EJ41" s="2">
        <f t="shared" si="41"/>
        <v>5</v>
      </c>
      <c r="EK41" s="8">
        <f t="shared" si="42"/>
        <v>3.03</v>
      </c>
      <c r="EO41" s="6">
        <v>3.03</v>
      </c>
      <c r="EP41" s="6" t="s">
        <v>374</v>
      </c>
      <c r="ER41" s="8">
        <f t="shared" si="43"/>
        <v>3</v>
      </c>
      <c r="ES41" s="6">
        <f t="shared" si="62"/>
        <v>27.38</v>
      </c>
      <c r="EW41" s="6">
        <v>27.38</v>
      </c>
      <c r="EX41" s="6" t="s">
        <v>374</v>
      </c>
      <c r="EZ41" s="8">
        <f t="shared" si="44"/>
        <v>3</v>
      </c>
      <c r="FA41" s="8">
        <f t="shared" si="45"/>
        <v>80</v>
      </c>
      <c r="FE41" s="6">
        <v>80</v>
      </c>
      <c r="FF41" s="6" t="s">
        <v>366</v>
      </c>
      <c r="FG41" s="6" t="s">
        <v>383</v>
      </c>
      <c r="FH41" s="6">
        <v>2</v>
      </c>
      <c r="FI41" s="6" t="s">
        <v>384</v>
      </c>
      <c r="FM41" s="16" t="s">
        <v>37</v>
      </c>
      <c r="FQ41" s="16" t="s">
        <v>380</v>
      </c>
      <c r="FU41" s="16" t="s">
        <v>37</v>
      </c>
      <c r="FY41" s="16" t="s">
        <v>380</v>
      </c>
      <c r="GB41" s="6">
        <v>2</v>
      </c>
      <c r="GC41" s="6" t="s">
        <v>385</v>
      </c>
      <c r="GG41" s="6" t="s">
        <v>385</v>
      </c>
      <c r="GH41" s="6" t="s">
        <v>375</v>
      </c>
      <c r="GJ41" s="8">
        <f t="shared" si="46"/>
        <v>4</v>
      </c>
      <c r="GK41" s="1">
        <f t="shared" si="47"/>
        <v>2.8935185185185182E-2</v>
      </c>
      <c r="GN41" s="6">
        <v>0.75</v>
      </c>
      <c r="GO41" s="6" t="s">
        <v>386</v>
      </c>
      <c r="GP41" s="6" t="s">
        <v>366</v>
      </c>
      <c r="GS41" s="6">
        <v>25.92</v>
      </c>
      <c r="GT41" s="6" t="s">
        <v>387</v>
      </c>
      <c r="GV41" s="8">
        <f t="shared" si="48"/>
        <v>0</v>
      </c>
      <c r="GW41" s="6" t="s">
        <v>222</v>
      </c>
      <c r="HA41" s="24" t="s">
        <v>380</v>
      </c>
      <c r="HE41" s="6">
        <v>117.48</v>
      </c>
      <c r="HF41" s="6" t="s">
        <v>144</v>
      </c>
      <c r="HH41" s="8">
        <f t="shared" si="50"/>
        <v>2</v>
      </c>
      <c r="HI41" s="1">
        <f t="shared" si="51"/>
        <v>0.24422277821939586</v>
      </c>
      <c r="HM41" s="24">
        <v>3.07232255</v>
      </c>
      <c r="HN41" s="6" t="s">
        <v>366</v>
      </c>
      <c r="HQ41" s="6">
        <v>12.58</v>
      </c>
      <c r="HR41" s="6" t="s">
        <v>387</v>
      </c>
      <c r="HT41" s="8">
        <f t="shared" si="52"/>
        <v>4</v>
      </c>
      <c r="HU41" s="10">
        <f t="shared" si="53"/>
        <v>0</v>
      </c>
      <c r="HY41" s="6">
        <v>0</v>
      </c>
      <c r="HZ41" s="6" t="s">
        <v>366</v>
      </c>
      <c r="IC41" s="6">
        <v>23.43</v>
      </c>
      <c r="ID41" s="6" t="s">
        <v>387</v>
      </c>
      <c r="IR41" s="2">
        <f t="shared" si="54"/>
        <v>0</v>
      </c>
      <c r="IS41" s="6" t="s">
        <v>264</v>
      </c>
      <c r="IW41" s="6" t="s">
        <v>37</v>
      </c>
      <c r="JA41" s="6">
        <v>45.14</v>
      </c>
      <c r="JB41" s="6" t="s">
        <v>144</v>
      </c>
      <c r="JD41" s="14">
        <f t="shared" si="56"/>
        <v>2</v>
      </c>
      <c r="JE41" s="1">
        <f t="shared" si="57"/>
        <v>5.9064807219031984E-2</v>
      </c>
      <c r="JI41" s="4">
        <v>3.78</v>
      </c>
      <c r="JJ41" s="6" t="s">
        <v>374</v>
      </c>
      <c r="JM41" s="6">
        <v>1.06</v>
      </c>
      <c r="JN41" s="6" t="s">
        <v>374</v>
      </c>
      <c r="JQ41" s="6">
        <v>44.41</v>
      </c>
      <c r="JR41" s="6" t="s">
        <v>377</v>
      </c>
      <c r="JU41" s="6">
        <v>76.34</v>
      </c>
      <c r="JV41" s="6" t="s">
        <v>377</v>
      </c>
      <c r="JX41" s="6">
        <v>2</v>
      </c>
      <c r="JY41" s="6" t="s">
        <v>388</v>
      </c>
      <c r="KB41" s="6">
        <v>8</v>
      </c>
      <c r="KC41" s="6" t="s">
        <v>226</v>
      </c>
      <c r="KD41" s="6" t="s">
        <v>375</v>
      </c>
      <c r="KF41" s="8">
        <f t="shared" si="58"/>
        <v>1</v>
      </c>
      <c r="KG41" s="1">
        <f t="shared" si="59"/>
        <v>0.16149756313690738</v>
      </c>
      <c r="KK41" s="6">
        <v>7.29</v>
      </c>
      <c r="KL41" s="6" t="s">
        <v>375</v>
      </c>
      <c r="KO41" s="15">
        <f t="shared" si="60"/>
        <v>45.14</v>
      </c>
      <c r="KP41" s="6" t="s">
        <v>144</v>
      </c>
    </row>
    <row r="42" spans="2:302" s="6" customFormat="1" ht="16.5" hidden="1" customHeight="1" x14ac:dyDescent="0.35">
      <c r="B42" s="6" t="s">
        <v>389</v>
      </c>
      <c r="C42" s="6" t="s">
        <v>390</v>
      </c>
      <c r="D42" s="6" t="s">
        <v>391</v>
      </c>
      <c r="E42" s="6" t="s">
        <v>197</v>
      </c>
      <c r="F42" s="6" t="s">
        <v>392</v>
      </c>
      <c r="G42" s="3" t="s">
        <v>199</v>
      </c>
      <c r="H42" s="16">
        <f>(113.47+1.53)/117.59</f>
        <v>0.97797431754400876</v>
      </c>
      <c r="L42" s="3">
        <v>4</v>
      </c>
      <c r="M42" s="6" t="s">
        <v>393</v>
      </c>
      <c r="P42" s="6" t="s">
        <v>126</v>
      </c>
      <c r="Q42" s="6" t="s">
        <v>394</v>
      </c>
      <c r="R42" s="6" t="s">
        <v>395</v>
      </c>
      <c r="T42" s="6" t="s">
        <v>129</v>
      </c>
      <c r="U42" s="16">
        <f>0.64*0.5331+0.1273</f>
        <v>0.46848400000000001</v>
      </c>
      <c r="X42" s="8">
        <f t="shared" si="25"/>
        <v>3</v>
      </c>
      <c r="Y42" s="1">
        <f t="shared" si="26"/>
        <v>3.796135833619424E-2</v>
      </c>
      <c r="AC42" s="21">
        <v>94.21</v>
      </c>
      <c r="AD42" s="6" t="s">
        <v>396</v>
      </c>
      <c r="AG42" s="4">
        <v>104.74</v>
      </c>
      <c r="AH42" s="6" t="s">
        <v>396</v>
      </c>
      <c r="AK42" s="6">
        <v>89.03</v>
      </c>
      <c r="AL42" s="6" t="s">
        <v>397</v>
      </c>
      <c r="AN42" s="8">
        <f t="shared" si="27"/>
        <v>3</v>
      </c>
      <c r="AO42" s="1">
        <f t="shared" si="28"/>
        <v>7.17466575915673E-2</v>
      </c>
      <c r="AS42" s="4">
        <v>49.48</v>
      </c>
      <c r="AT42" s="6" t="s">
        <v>397</v>
      </c>
      <c r="AW42" s="4">
        <v>48.77</v>
      </c>
      <c r="AX42" s="6" t="s">
        <v>397</v>
      </c>
      <c r="BA42" s="4">
        <v>43.2</v>
      </c>
      <c r="BB42" s="6" t="s">
        <v>396</v>
      </c>
      <c r="BD42" s="2">
        <f t="shared" si="5"/>
        <v>4</v>
      </c>
      <c r="BE42" s="8">
        <f t="shared" si="61"/>
        <v>94.21</v>
      </c>
      <c r="BI42" s="8">
        <f t="shared" si="29"/>
        <v>94.21</v>
      </c>
      <c r="BJ42" s="6" t="s">
        <v>396</v>
      </c>
      <c r="BL42" s="2">
        <f t="shared" si="7"/>
        <v>5</v>
      </c>
      <c r="BM42" s="8">
        <f t="shared" si="30"/>
        <v>49.48</v>
      </c>
      <c r="BQ42" s="8">
        <f t="shared" si="31"/>
        <v>49.48</v>
      </c>
      <c r="BR42" s="6" t="s">
        <v>397</v>
      </c>
      <c r="BT42" s="8">
        <f t="shared" si="8"/>
        <v>3</v>
      </c>
      <c r="BU42" s="6">
        <v>193</v>
      </c>
      <c r="BY42" s="6">
        <v>193</v>
      </c>
      <c r="BZ42" s="6" t="s">
        <v>398</v>
      </c>
      <c r="CB42" s="6">
        <v>1</v>
      </c>
      <c r="CC42" s="6" t="str">
        <f>CF42</f>
        <v>一级</v>
      </c>
      <c r="CF42" s="6" t="s">
        <v>132</v>
      </c>
      <c r="CG42" s="6" t="s">
        <v>399</v>
      </c>
      <c r="CH42" s="6" t="s">
        <v>400</v>
      </c>
      <c r="CJ42" s="8">
        <f t="shared" si="32"/>
        <v>0</v>
      </c>
      <c r="CK42" s="6" t="s">
        <v>37</v>
      </c>
      <c r="CO42" s="23" t="s">
        <v>222</v>
      </c>
      <c r="CS42" s="8">
        <f t="shared" si="34"/>
        <v>94.21</v>
      </c>
      <c r="CT42" s="6" t="s">
        <v>400</v>
      </c>
      <c r="CV42" s="8">
        <f t="shared" si="35"/>
        <v>5</v>
      </c>
      <c r="CW42" s="8">
        <f t="shared" si="36"/>
        <v>73.27</v>
      </c>
      <c r="DA42" s="6">
        <v>73.27</v>
      </c>
      <c r="DB42" s="6" t="s">
        <v>396</v>
      </c>
      <c r="DC42" s="6" t="s">
        <v>401</v>
      </c>
      <c r="DD42" s="8">
        <f t="shared" si="37"/>
        <v>3</v>
      </c>
      <c r="DE42" s="15">
        <f t="shared" si="38"/>
        <v>1.480800323362975</v>
      </c>
      <c r="DI42" s="8">
        <f t="shared" si="39"/>
        <v>49.48</v>
      </c>
      <c r="DJ42" s="6" t="s">
        <v>397</v>
      </c>
      <c r="DM42" s="13">
        <f t="shared" si="40"/>
        <v>73.27</v>
      </c>
      <c r="DN42" s="6" t="s">
        <v>397</v>
      </c>
      <c r="DO42" s="6" t="s">
        <v>402</v>
      </c>
      <c r="DP42" s="6">
        <v>5</v>
      </c>
      <c r="DQ42" s="6" t="s">
        <v>403</v>
      </c>
      <c r="DU42" s="117" t="s">
        <v>222</v>
      </c>
      <c r="DY42" s="16" t="s">
        <v>222</v>
      </c>
      <c r="EC42" s="16" t="s">
        <v>37</v>
      </c>
      <c r="EG42" s="16" t="s">
        <v>37</v>
      </c>
      <c r="EJ42" s="2">
        <f t="shared" si="41"/>
        <v>3</v>
      </c>
      <c r="EK42" s="8">
        <f t="shared" si="42"/>
        <v>43.22</v>
      </c>
      <c r="EO42" s="4">
        <v>43.22</v>
      </c>
      <c r="EP42" s="6" t="s">
        <v>396</v>
      </c>
      <c r="ER42" s="8">
        <f t="shared" si="43"/>
        <v>3</v>
      </c>
      <c r="ES42" s="6">
        <f t="shared" si="62"/>
        <v>48.7</v>
      </c>
      <c r="EW42" s="6">
        <v>48.7</v>
      </c>
      <c r="EX42" s="6" t="s">
        <v>397</v>
      </c>
      <c r="EZ42" s="8">
        <f t="shared" si="44"/>
        <v>1</v>
      </c>
      <c r="FA42" s="8">
        <f t="shared" si="45"/>
        <v>326.82</v>
      </c>
      <c r="FE42" s="3">
        <v>326.82</v>
      </c>
      <c r="FF42" s="6" t="s">
        <v>397</v>
      </c>
      <c r="FG42" s="6" t="s">
        <v>401</v>
      </c>
      <c r="FH42" s="6">
        <v>3</v>
      </c>
      <c r="FI42" s="6" t="s">
        <v>404</v>
      </c>
      <c r="FM42" s="3">
        <v>0</v>
      </c>
      <c r="FN42" s="6" t="s">
        <v>405</v>
      </c>
      <c r="FQ42" s="16">
        <v>0.69850000000000001</v>
      </c>
      <c r="FR42" s="6" t="s">
        <v>396</v>
      </c>
      <c r="FU42" s="16">
        <v>0.18140000000000001</v>
      </c>
      <c r="FV42" s="6" t="s">
        <v>397</v>
      </c>
      <c r="FY42" s="16">
        <v>0.1201</v>
      </c>
      <c r="FZ42" s="6" t="s">
        <v>397</v>
      </c>
      <c r="GB42" s="6">
        <v>2</v>
      </c>
      <c r="GC42" s="6" t="s">
        <v>406</v>
      </c>
      <c r="GG42" s="6" t="s">
        <v>406</v>
      </c>
      <c r="GH42" s="6" t="s">
        <v>397</v>
      </c>
      <c r="GJ42" s="8">
        <f t="shared" si="46"/>
        <v>4</v>
      </c>
      <c r="GK42" s="1">
        <f t="shared" si="47"/>
        <v>1.0885279360489837E-2</v>
      </c>
      <c r="GN42" s="6">
        <v>1.28</v>
      </c>
      <c r="GO42" s="6" t="s">
        <v>407</v>
      </c>
      <c r="GP42" s="6" t="s">
        <v>397</v>
      </c>
      <c r="GS42" s="6">
        <v>117.59</v>
      </c>
      <c r="GT42" s="6" t="s">
        <v>221</v>
      </c>
      <c r="GV42" s="8">
        <f t="shared" si="48"/>
        <v>3</v>
      </c>
      <c r="GW42" s="1">
        <f t="shared" si="49"/>
        <v>0.44062124143701309</v>
      </c>
      <c r="HA42" s="7">
        <v>168.52</v>
      </c>
      <c r="HB42" s="6" t="s">
        <v>408</v>
      </c>
      <c r="HE42" s="6">
        <v>382.46</v>
      </c>
      <c r="HF42" s="6" t="s">
        <v>221</v>
      </c>
      <c r="HH42" s="8">
        <f t="shared" si="50"/>
        <v>1</v>
      </c>
      <c r="HI42" s="1">
        <f t="shared" si="51"/>
        <v>5.8604155567394782E-3</v>
      </c>
      <c r="HM42" s="6">
        <v>0.11</v>
      </c>
      <c r="HN42" s="6" t="s">
        <v>408</v>
      </c>
      <c r="HQ42" s="6">
        <v>18.77</v>
      </c>
      <c r="HR42" s="6" t="s">
        <v>221</v>
      </c>
      <c r="HT42" s="8">
        <f t="shared" si="52"/>
        <v>4</v>
      </c>
      <c r="HU42" s="10">
        <f t="shared" si="53"/>
        <v>0</v>
      </c>
      <c r="HY42" s="6">
        <v>0</v>
      </c>
      <c r="HZ42" s="6" t="s">
        <v>408</v>
      </c>
      <c r="IC42" s="6">
        <v>45.33</v>
      </c>
      <c r="ID42" s="6" t="s">
        <v>144</v>
      </c>
      <c r="IR42" s="3">
        <f>IF(IS42="数据缺失",0,IF(IS42&lt;0%,0,IF(IS42&lt;=100%,4,IF(IS42&lt;200%,3,IF(IS42&lt;300%,2,1)))))</f>
        <v>4</v>
      </c>
      <c r="IS42" s="5">
        <f>IW42/JA42</f>
        <v>0.99131378935939196</v>
      </c>
      <c r="IW42" s="6">
        <v>91.3</v>
      </c>
      <c r="IX42" s="36" t="s">
        <v>1240</v>
      </c>
      <c r="IY42" s="36" t="s">
        <v>401</v>
      </c>
      <c r="JA42" s="6">
        <v>92.1</v>
      </c>
      <c r="JB42" s="6" t="s">
        <v>144</v>
      </c>
      <c r="JD42" s="14">
        <f t="shared" si="56"/>
        <v>4</v>
      </c>
      <c r="JE42" s="1">
        <f t="shared" si="57"/>
        <v>9.8746248041012577E-2</v>
      </c>
      <c r="JI42" s="6">
        <v>14.87</v>
      </c>
      <c r="JJ42" s="6" t="s">
        <v>397</v>
      </c>
      <c r="JM42" s="6">
        <v>1.88</v>
      </c>
      <c r="JN42" s="6" t="s">
        <v>400</v>
      </c>
      <c r="JQ42" s="6">
        <v>69.13</v>
      </c>
      <c r="JR42" s="6" t="s">
        <v>400</v>
      </c>
      <c r="JU42" s="6">
        <v>91.07</v>
      </c>
      <c r="JV42" s="6" t="s">
        <v>409</v>
      </c>
      <c r="JX42" s="6">
        <v>2</v>
      </c>
      <c r="JY42" s="6" t="s">
        <v>410</v>
      </c>
      <c r="KB42" s="6">
        <v>7</v>
      </c>
      <c r="KC42" s="6" t="s">
        <v>410</v>
      </c>
      <c r="KD42" s="6" t="s">
        <v>397</v>
      </c>
      <c r="KF42" s="8">
        <f t="shared" si="58"/>
        <v>1</v>
      </c>
      <c r="KG42" s="1">
        <f t="shared" si="59"/>
        <v>0</v>
      </c>
      <c r="KK42" s="3">
        <v>0</v>
      </c>
      <c r="KL42" s="6" t="s">
        <v>411</v>
      </c>
      <c r="KO42" s="15">
        <f t="shared" si="60"/>
        <v>92.1</v>
      </c>
      <c r="KP42" s="6" t="s">
        <v>412</v>
      </c>
    </row>
    <row r="43" spans="2:302" s="6" customFormat="1" ht="16.5" hidden="1" customHeight="1" x14ac:dyDescent="0.35">
      <c r="B43" s="6" t="s">
        <v>413</v>
      </c>
      <c r="C43" s="6" t="s">
        <v>324</v>
      </c>
      <c r="D43" s="6" t="s">
        <v>325</v>
      </c>
      <c r="E43" s="6" t="s">
        <v>414</v>
      </c>
      <c r="F43" s="6" t="s">
        <v>415</v>
      </c>
      <c r="G43" s="3" t="s">
        <v>174</v>
      </c>
      <c r="H43" s="16">
        <v>0.94710000000000005</v>
      </c>
      <c r="L43" s="3">
        <v>4</v>
      </c>
      <c r="M43" s="6" t="s">
        <v>416</v>
      </c>
      <c r="P43" s="6" t="s">
        <v>126</v>
      </c>
      <c r="Q43" s="6" t="s">
        <v>417</v>
      </c>
      <c r="R43" s="6" t="s">
        <v>418</v>
      </c>
      <c r="T43" s="6" t="s">
        <v>129</v>
      </c>
      <c r="U43" s="16">
        <f>0.8*0.5751</f>
        <v>0.46007999999999999</v>
      </c>
      <c r="X43" s="8">
        <f t="shared" si="25"/>
        <v>3</v>
      </c>
      <c r="Y43" s="1">
        <f t="shared" si="26"/>
        <v>3.6909799383604475E-2</v>
      </c>
      <c r="AC43" s="4">
        <v>104.97</v>
      </c>
      <c r="AD43" s="6" t="s">
        <v>419</v>
      </c>
      <c r="AG43" s="6">
        <v>95.76</v>
      </c>
      <c r="AH43" s="6" t="s">
        <v>418</v>
      </c>
      <c r="AK43" s="6">
        <v>97.95</v>
      </c>
      <c r="AL43" s="6" t="s">
        <v>420</v>
      </c>
      <c r="AN43" s="8">
        <f t="shared" si="27"/>
        <v>4</v>
      </c>
      <c r="AO43" s="1">
        <f t="shared" si="28"/>
        <v>-1.9834804791427768E-2</v>
      </c>
      <c r="AS43" s="6">
        <v>121.37</v>
      </c>
      <c r="AT43" s="6" t="s">
        <v>419</v>
      </c>
      <c r="AW43" s="4">
        <v>129.80000000000001</v>
      </c>
      <c r="AX43" s="6" t="s">
        <v>419</v>
      </c>
      <c r="BA43" s="4">
        <v>126.6</v>
      </c>
      <c r="BB43" s="6" t="s">
        <v>421</v>
      </c>
      <c r="BD43" s="2">
        <f t="shared" si="5"/>
        <v>3</v>
      </c>
      <c r="BE43" s="8">
        <f t="shared" si="61"/>
        <v>104.97</v>
      </c>
      <c r="BI43" s="8">
        <f t="shared" si="29"/>
        <v>104.97</v>
      </c>
      <c r="BJ43" s="6" t="s">
        <v>418</v>
      </c>
      <c r="BL43" s="2">
        <f t="shared" si="7"/>
        <v>3</v>
      </c>
      <c r="BM43" s="8">
        <f t="shared" si="30"/>
        <v>121.37</v>
      </c>
      <c r="BQ43" s="8">
        <f t="shared" si="31"/>
        <v>121.37</v>
      </c>
      <c r="BR43" s="6" t="s">
        <v>418</v>
      </c>
      <c r="BT43" s="8">
        <f t="shared" si="8"/>
        <v>3</v>
      </c>
      <c r="BU43" s="6">
        <v>120</v>
      </c>
      <c r="BY43" s="6">
        <v>120</v>
      </c>
      <c r="BZ43" s="6" t="s">
        <v>234</v>
      </c>
      <c r="CB43" s="6">
        <v>2</v>
      </c>
      <c r="CC43" s="6" t="s">
        <v>422</v>
      </c>
      <c r="CF43" s="6" t="s">
        <v>422</v>
      </c>
      <c r="CG43" s="6" t="s">
        <v>423</v>
      </c>
      <c r="CH43" s="6" t="s">
        <v>420</v>
      </c>
      <c r="CJ43" s="8">
        <f t="shared" si="32"/>
        <v>2</v>
      </c>
      <c r="CK43" s="12">
        <f t="shared" si="33"/>
        <v>0</v>
      </c>
      <c r="CO43" s="6">
        <v>0</v>
      </c>
      <c r="CP43" s="6" t="s">
        <v>418</v>
      </c>
      <c r="CS43" s="8">
        <f t="shared" si="34"/>
        <v>104.97</v>
      </c>
      <c r="CT43" s="6" t="s">
        <v>419</v>
      </c>
      <c r="CV43" s="8">
        <f t="shared" si="35"/>
        <v>3</v>
      </c>
      <c r="CW43" s="8">
        <f t="shared" si="36"/>
        <v>578.82000000000005</v>
      </c>
      <c r="DA43" s="6">
        <v>578.82000000000005</v>
      </c>
      <c r="DB43" s="6" t="s">
        <v>418</v>
      </c>
      <c r="DD43" s="8">
        <f t="shared" si="37"/>
        <v>1</v>
      </c>
      <c r="DE43" s="15">
        <f t="shared" si="38"/>
        <v>4.7690533080662441</v>
      </c>
      <c r="DI43" s="8">
        <f t="shared" si="39"/>
        <v>121.37</v>
      </c>
      <c r="DJ43" s="6" t="s">
        <v>418</v>
      </c>
      <c r="DM43" s="13">
        <f t="shared" si="40"/>
        <v>578.82000000000005</v>
      </c>
      <c r="DN43" s="6" t="s">
        <v>419</v>
      </c>
      <c r="DP43" s="6">
        <v>4</v>
      </c>
      <c r="DQ43" s="6" t="s">
        <v>424</v>
      </c>
      <c r="DU43" s="16">
        <v>0.1842</v>
      </c>
      <c r="DV43" s="6" t="s">
        <v>419</v>
      </c>
      <c r="DY43" s="16">
        <v>0.47399999999999998</v>
      </c>
      <c r="DZ43" s="6" t="s">
        <v>418</v>
      </c>
      <c r="EC43" s="16">
        <v>0.34179999999999999</v>
      </c>
      <c r="ED43" s="6" t="s">
        <v>419</v>
      </c>
      <c r="EG43" s="16">
        <v>0</v>
      </c>
      <c r="EH43" s="6" t="s">
        <v>418</v>
      </c>
      <c r="EJ43" s="2">
        <f t="shared" si="41"/>
        <v>2</v>
      </c>
      <c r="EK43" s="8">
        <f t="shared" si="42"/>
        <v>68.7</v>
      </c>
      <c r="EO43" s="4">
        <v>68.7</v>
      </c>
      <c r="EP43" s="6" t="s">
        <v>418</v>
      </c>
      <c r="ER43" s="8">
        <f t="shared" si="43"/>
        <v>1</v>
      </c>
      <c r="ES43" s="6">
        <f t="shared" si="62"/>
        <v>181.12</v>
      </c>
      <c r="EW43" s="6">
        <v>181.12</v>
      </c>
      <c r="EX43" s="6" t="s">
        <v>418</v>
      </c>
      <c r="EZ43" s="8">
        <f t="shared" si="44"/>
        <v>1</v>
      </c>
      <c r="FA43" s="8">
        <f t="shared" si="45"/>
        <v>267.79000000000002</v>
      </c>
      <c r="FE43" s="6">
        <v>267.79000000000002</v>
      </c>
      <c r="FF43" s="6" t="s">
        <v>419</v>
      </c>
      <c r="FH43" s="6">
        <v>3</v>
      </c>
      <c r="FI43" s="6" t="s">
        <v>425</v>
      </c>
      <c r="FM43" s="16">
        <v>7.9399999999999998E-2</v>
      </c>
      <c r="FN43" s="6" t="s">
        <v>426</v>
      </c>
      <c r="FQ43" s="16">
        <v>0.51100000000000001</v>
      </c>
      <c r="FR43" s="6" t="s">
        <v>146</v>
      </c>
      <c r="FU43" s="16">
        <v>0.1138</v>
      </c>
      <c r="FV43" s="6" t="s">
        <v>426</v>
      </c>
      <c r="FY43" s="16">
        <v>0.29580000000000001</v>
      </c>
      <c r="FZ43" s="6" t="s">
        <v>146</v>
      </c>
      <c r="GB43" s="6">
        <v>2</v>
      </c>
      <c r="GC43" s="6" t="s">
        <v>427</v>
      </c>
      <c r="GG43" s="6" t="s">
        <v>428</v>
      </c>
      <c r="GH43" s="6" t="s">
        <v>146</v>
      </c>
      <c r="GJ43" s="8">
        <f t="shared" si="46"/>
        <v>4</v>
      </c>
      <c r="GK43" s="1">
        <f t="shared" si="47"/>
        <v>1.8016833245660179E-2</v>
      </c>
      <c r="GN43" s="6">
        <v>1.37</v>
      </c>
      <c r="GO43" s="6" t="s">
        <v>429</v>
      </c>
      <c r="GP43" s="6" t="s">
        <v>146</v>
      </c>
      <c r="GS43" s="6">
        <v>76.040000000000006</v>
      </c>
      <c r="GT43" s="6" t="s">
        <v>430</v>
      </c>
      <c r="GV43" s="8">
        <f t="shared" si="48"/>
        <v>2</v>
      </c>
      <c r="GW43" s="1">
        <f t="shared" si="49"/>
        <v>0.25133057362507388</v>
      </c>
      <c r="HA43" s="6">
        <v>72.25</v>
      </c>
      <c r="HB43" s="6" t="s">
        <v>146</v>
      </c>
      <c r="HE43" s="6">
        <v>287.47000000000003</v>
      </c>
      <c r="HF43" s="6" t="s">
        <v>431</v>
      </c>
      <c r="HH43" s="8">
        <f t="shared" si="50"/>
        <v>1</v>
      </c>
      <c r="HI43" s="1">
        <f t="shared" si="51"/>
        <v>0.18328651685393257</v>
      </c>
      <c r="HM43" s="6">
        <v>2.61</v>
      </c>
      <c r="HN43" s="6" t="s">
        <v>426</v>
      </c>
      <c r="HQ43" s="6">
        <v>14.24</v>
      </c>
      <c r="HR43" s="6" t="s">
        <v>431</v>
      </c>
      <c r="HT43" s="8">
        <f t="shared" si="52"/>
        <v>4</v>
      </c>
      <c r="HU43" s="10">
        <f t="shared" si="53"/>
        <v>0</v>
      </c>
      <c r="HY43" s="6">
        <v>0</v>
      </c>
      <c r="HZ43" s="6" t="s">
        <v>408</v>
      </c>
      <c r="IC43" s="6">
        <v>21.16</v>
      </c>
      <c r="ID43" s="6" t="s">
        <v>431</v>
      </c>
      <c r="IR43" s="2">
        <f t="shared" si="54"/>
        <v>2</v>
      </c>
      <c r="IS43" s="1">
        <f t="shared" si="55"/>
        <v>2.3531237070748863</v>
      </c>
      <c r="IW43" s="6">
        <v>227.5</v>
      </c>
      <c r="IX43" s="6" t="s">
        <v>146</v>
      </c>
      <c r="JA43" s="6">
        <v>96.68</v>
      </c>
      <c r="JB43" s="6" t="s">
        <v>431</v>
      </c>
      <c r="JD43" s="14">
        <f t="shared" si="56"/>
        <v>4</v>
      </c>
      <c r="JE43" s="1">
        <f t="shared" si="57"/>
        <v>8.2634273361048491E-2</v>
      </c>
      <c r="JI43" s="6">
        <v>19.72</v>
      </c>
      <c r="JJ43" s="6" t="s">
        <v>418</v>
      </c>
      <c r="JM43" s="4">
        <v>3.99</v>
      </c>
      <c r="JN43" s="6" t="s">
        <v>418</v>
      </c>
      <c r="JQ43" s="6">
        <v>54.63</v>
      </c>
      <c r="JR43" s="6" t="s">
        <v>419</v>
      </c>
      <c r="JU43" s="6">
        <v>64.989999999999995</v>
      </c>
      <c r="JV43" s="6" t="s">
        <v>418</v>
      </c>
      <c r="JX43" s="6">
        <v>2</v>
      </c>
      <c r="JY43" s="6" t="s">
        <v>432</v>
      </c>
      <c r="KB43" s="6">
        <v>17</v>
      </c>
      <c r="KC43" s="6" t="s">
        <v>432</v>
      </c>
      <c r="KD43" s="6" t="s">
        <v>419</v>
      </c>
      <c r="KF43" s="8">
        <f t="shared" si="58"/>
        <v>3</v>
      </c>
      <c r="KG43" s="1">
        <f t="shared" si="59"/>
        <v>0.65804716590815049</v>
      </c>
      <c r="KK43" s="6">
        <v>63.62</v>
      </c>
      <c r="KL43" s="6" t="s">
        <v>146</v>
      </c>
      <c r="KO43" s="15">
        <f t="shared" si="60"/>
        <v>96.68</v>
      </c>
      <c r="KP43" s="6" t="s">
        <v>431</v>
      </c>
    </row>
    <row r="44" spans="2:302" s="6" customFormat="1" ht="16.5" hidden="1" customHeight="1" x14ac:dyDescent="0.35">
      <c r="B44" s="6" t="s">
        <v>433</v>
      </c>
      <c r="C44" s="6" t="s">
        <v>390</v>
      </c>
      <c r="D44" s="6" t="s">
        <v>391</v>
      </c>
      <c r="E44" s="6" t="s">
        <v>197</v>
      </c>
      <c r="F44" s="6" t="s">
        <v>434</v>
      </c>
      <c r="G44" s="3" t="s">
        <v>174</v>
      </c>
      <c r="H44" s="16">
        <v>0.99619999999999997</v>
      </c>
      <c r="L44" s="3">
        <v>4</v>
      </c>
      <c r="M44" s="6" t="s">
        <v>435</v>
      </c>
      <c r="P44" s="6" t="s">
        <v>319</v>
      </c>
      <c r="Q44" s="6" t="s">
        <v>436</v>
      </c>
      <c r="R44" s="6" t="s">
        <v>437</v>
      </c>
      <c r="T44" s="36" t="s">
        <v>203</v>
      </c>
      <c r="U44" s="18">
        <v>0.9</v>
      </c>
      <c r="X44" s="8">
        <f t="shared" si="25"/>
        <v>2</v>
      </c>
      <c r="Y44" s="1">
        <f t="shared" si="26"/>
        <v>0.16515142785004577</v>
      </c>
      <c r="AC44" s="4">
        <v>123.5</v>
      </c>
      <c r="AD44" s="6" t="s">
        <v>437</v>
      </c>
      <c r="AG44" s="6">
        <v>108.24</v>
      </c>
      <c r="AH44" s="6" t="s">
        <v>437</v>
      </c>
      <c r="AK44" s="6">
        <v>91.01</v>
      </c>
      <c r="AL44" s="6" t="s">
        <v>437</v>
      </c>
      <c r="AN44" s="8">
        <f t="shared" si="27"/>
        <v>2</v>
      </c>
      <c r="AO44" s="1">
        <f t="shared" si="28"/>
        <v>0.14178763977260267</v>
      </c>
      <c r="AS44" s="6">
        <v>167.48</v>
      </c>
      <c r="AT44" s="6" t="s">
        <v>437</v>
      </c>
      <c r="AW44" s="4">
        <v>152.9</v>
      </c>
      <c r="AX44" s="6" t="s">
        <v>437</v>
      </c>
      <c r="BA44" s="4">
        <v>128.68</v>
      </c>
      <c r="BB44" s="6" t="s">
        <v>437</v>
      </c>
      <c r="BD44" s="2">
        <f t="shared" si="5"/>
        <v>3</v>
      </c>
      <c r="BE44" s="8">
        <f t="shared" si="61"/>
        <v>123.5</v>
      </c>
      <c r="BI44" s="8">
        <f t="shared" si="29"/>
        <v>123.5</v>
      </c>
      <c r="BJ44" s="6" t="s">
        <v>437</v>
      </c>
      <c r="BL44" s="2">
        <f t="shared" si="7"/>
        <v>3</v>
      </c>
      <c r="BM44" s="8">
        <f t="shared" si="30"/>
        <v>167.48</v>
      </c>
      <c r="BQ44" s="8">
        <f t="shared" si="31"/>
        <v>167.48</v>
      </c>
      <c r="BR44" s="6" t="s">
        <v>437</v>
      </c>
      <c r="BT44" s="8">
        <f t="shared" si="8"/>
        <v>2</v>
      </c>
      <c r="BU44" s="6">
        <v>40</v>
      </c>
      <c r="BY44" s="6">
        <v>40</v>
      </c>
      <c r="BZ44" s="22" t="s">
        <v>131</v>
      </c>
      <c r="CA44" s="6" t="s">
        <v>438</v>
      </c>
      <c r="CB44" s="6">
        <v>1</v>
      </c>
      <c r="CC44" s="6" t="str">
        <f>CF44</f>
        <v>一级</v>
      </c>
      <c r="CF44" s="6" t="s">
        <v>132</v>
      </c>
      <c r="CG44" s="6" t="s">
        <v>439</v>
      </c>
      <c r="CH44" s="6" t="s">
        <v>437</v>
      </c>
      <c r="CJ44" s="8">
        <f t="shared" si="32"/>
        <v>2</v>
      </c>
      <c r="CK44" s="12">
        <f t="shared" si="33"/>
        <v>1.0202429149797571E-2</v>
      </c>
      <c r="CO44" s="6">
        <v>1.26</v>
      </c>
      <c r="CP44" s="6" t="s">
        <v>437</v>
      </c>
      <c r="CS44" s="8">
        <f t="shared" si="34"/>
        <v>123.5</v>
      </c>
      <c r="CT44" s="6" t="s">
        <v>437</v>
      </c>
      <c r="CV44" s="8">
        <f t="shared" si="35"/>
        <v>4</v>
      </c>
      <c r="CW44" s="8">
        <f t="shared" si="36"/>
        <v>476.87</v>
      </c>
      <c r="DA44" s="6">
        <v>476.87</v>
      </c>
      <c r="DB44" s="6" t="s">
        <v>437</v>
      </c>
      <c r="DC44" s="6" t="s">
        <v>440</v>
      </c>
      <c r="DD44" s="8">
        <f t="shared" si="37"/>
        <v>1</v>
      </c>
      <c r="DE44" s="15">
        <f t="shared" si="38"/>
        <v>2.8473250537377601</v>
      </c>
      <c r="DI44" s="8">
        <f t="shared" si="39"/>
        <v>167.48</v>
      </c>
      <c r="DJ44" s="6" t="s">
        <v>437</v>
      </c>
      <c r="DM44" s="13">
        <f t="shared" si="40"/>
        <v>476.87</v>
      </c>
      <c r="DN44" s="6" t="s">
        <v>437</v>
      </c>
      <c r="DP44" s="6">
        <v>6</v>
      </c>
      <c r="DQ44" s="6" t="s">
        <v>441</v>
      </c>
      <c r="DU44" s="16">
        <v>7.8299999999999995E-2</v>
      </c>
      <c r="DV44" s="6" t="s">
        <v>442</v>
      </c>
      <c r="DY44" s="16">
        <v>0.2392</v>
      </c>
      <c r="DZ44" s="6" t="s">
        <v>437</v>
      </c>
      <c r="EC44" s="16">
        <v>0.34029999999999999</v>
      </c>
      <c r="ED44" s="6" t="s">
        <v>437</v>
      </c>
      <c r="EG44" s="16">
        <v>0.3422</v>
      </c>
      <c r="EH44" s="6" t="s">
        <v>437</v>
      </c>
      <c r="EJ44" s="2">
        <f t="shared" si="41"/>
        <v>1</v>
      </c>
      <c r="EK44" s="8">
        <f t="shared" si="42"/>
        <v>219.81</v>
      </c>
      <c r="EO44" s="4">
        <v>219.81</v>
      </c>
      <c r="EP44" s="6" t="s">
        <v>443</v>
      </c>
      <c r="ER44" s="8">
        <f t="shared" si="43"/>
        <v>1</v>
      </c>
      <c r="ES44" s="6">
        <f t="shared" si="62"/>
        <v>194.37</v>
      </c>
      <c r="EW44" s="6">
        <v>194.37</v>
      </c>
      <c r="EX44" s="6" t="s">
        <v>437</v>
      </c>
      <c r="EZ44" s="8">
        <f t="shared" si="44"/>
        <v>1</v>
      </c>
      <c r="FA44" s="8">
        <f t="shared" si="45"/>
        <v>464.47</v>
      </c>
      <c r="FE44" s="6">
        <v>464.47</v>
      </c>
      <c r="FF44" s="6" t="s">
        <v>444</v>
      </c>
      <c r="FG44" s="6" t="s">
        <v>440</v>
      </c>
      <c r="FH44" s="6">
        <v>6</v>
      </c>
      <c r="FI44" s="6" t="s">
        <v>445</v>
      </c>
      <c r="FM44" s="16">
        <v>0.06</v>
      </c>
      <c r="FN44" s="6" t="s">
        <v>437</v>
      </c>
      <c r="FQ44" s="16">
        <v>0.2092</v>
      </c>
      <c r="FR44" s="6" t="s">
        <v>437</v>
      </c>
      <c r="FU44" s="16">
        <v>0.39429999999999998</v>
      </c>
      <c r="FV44" s="6" t="s">
        <v>437</v>
      </c>
      <c r="FY44" s="16">
        <v>0.33610000000000001</v>
      </c>
      <c r="FZ44" s="6" t="s">
        <v>443</v>
      </c>
      <c r="GB44" s="6">
        <v>2</v>
      </c>
      <c r="GC44" s="6" t="s">
        <v>446</v>
      </c>
      <c r="GG44" s="6" t="s">
        <v>446</v>
      </c>
      <c r="GH44" s="6" t="s">
        <v>443</v>
      </c>
      <c r="GJ44" s="8">
        <f t="shared" si="46"/>
        <v>4</v>
      </c>
      <c r="GK44" s="1">
        <f t="shared" si="47"/>
        <v>1.9609623241034952E-2</v>
      </c>
      <c r="GN44" s="6">
        <v>2.16</v>
      </c>
      <c r="GO44" s="6" t="s">
        <v>447</v>
      </c>
      <c r="GP44" s="6" t="s">
        <v>443</v>
      </c>
      <c r="GS44" s="6">
        <v>110.15</v>
      </c>
      <c r="GT44" s="6" t="s">
        <v>448</v>
      </c>
      <c r="GV44" s="8">
        <f t="shared" si="48"/>
        <v>2</v>
      </c>
      <c r="GW44" s="1">
        <f t="shared" si="49"/>
        <v>0.33186523410104635</v>
      </c>
      <c r="HA44" s="6">
        <v>118.3</v>
      </c>
      <c r="HB44" s="6" t="s">
        <v>449</v>
      </c>
      <c r="HE44" s="6">
        <v>356.47</v>
      </c>
      <c r="HF44" s="6" t="s">
        <v>431</v>
      </c>
      <c r="HH44" s="8">
        <f t="shared" si="50"/>
        <v>2</v>
      </c>
      <c r="HI44" s="1">
        <f t="shared" si="51"/>
        <v>0.22257243927216827</v>
      </c>
      <c r="HM44" s="17">
        <f>10.24*22.26%</f>
        <v>2.2794240000000001</v>
      </c>
      <c r="HN44" s="6" t="s">
        <v>442</v>
      </c>
      <c r="HQ44" s="4">
        <v>10.241268</v>
      </c>
      <c r="HR44" s="6" t="s">
        <v>450</v>
      </c>
      <c r="HT44" s="8">
        <f t="shared" si="52"/>
        <v>4</v>
      </c>
      <c r="HU44" s="10">
        <f t="shared" si="53"/>
        <v>0</v>
      </c>
      <c r="HY44" s="6">
        <v>0</v>
      </c>
      <c r="HZ44" s="6" t="s">
        <v>449</v>
      </c>
      <c r="IC44" s="6">
        <v>65.36</v>
      </c>
      <c r="ID44" s="6" t="s">
        <v>431</v>
      </c>
      <c r="IR44" s="2">
        <f t="shared" si="54"/>
        <v>3</v>
      </c>
      <c r="IS44" s="1">
        <f t="shared" si="55"/>
        <v>1.287415513356936</v>
      </c>
      <c r="IW44" s="6">
        <v>120</v>
      </c>
      <c r="IX44" s="6" t="s">
        <v>437</v>
      </c>
      <c r="JA44" s="6">
        <v>93.21</v>
      </c>
      <c r="JB44" s="6" t="s">
        <v>431</v>
      </c>
      <c r="JD44" s="14">
        <f t="shared" si="56"/>
        <v>4</v>
      </c>
      <c r="JE44" s="1">
        <f t="shared" si="57"/>
        <v>0.13472312703583061</v>
      </c>
      <c r="JI44" s="6">
        <v>15.51</v>
      </c>
      <c r="JJ44" s="6" t="s">
        <v>437</v>
      </c>
      <c r="JM44" s="4">
        <v>1</v>
      </c>
      <c r="JN44" s="6" t="s">
        <v>437</v>
      </c>
      <c r="JQ44" s="6">
        <v>85.07</v>
      </c>
      <c r="JR44" s="6" t="s">
        <v>437</v>
      </c>
      <c r="JU44" s="6">
        <v>145.18</v>
      </c>
      <c r="JV44" s="6" t="s">
        <v>437</v>
      </c>
      <c r="JX44" s="6">
        <v>2</v>
      </c>
      <c r="JY44" s="6" t="s">
        <v>451</v>
      </c>
      <c r="KB44" s="6">
        <v>26</v>
      </c>
      <c r="KC44" s="6" t="s">
        <v>451</v>
      </c>
      <c r="KD44" s="6" t="s">
        <v>449</v>
      </c>
      <c r="KF44" s="8">
        <f t="shared" si="58"/>
        <v>3</v>
      </c>
      <c r="KG44" s="1">
        <f t="shared" si="59"/>
        <v>0.5860959124557451</v>
      </c>
      <c r="KK44" s="6">
        <f>52.97+1.66</f>
        <v>54.629999999999995</v>
      </c>
      <c r="KL44" s="6" t="s">
        <v>452</v>
      </c>
      <c r="KO44" s="15">
        <f t="shared" si="60"/>
        <v>93.21</v>
      </c>
      <c r="KP44" s="6" t="s">
        <v>448</v>
      </c>
    </row>
    <row r="45" spans="2:302" s="6" customFormat="1" ht="16.5" hidden="1" customHeight="1" x14ac:dyDescent="0.35">
      <c r="B45" s="6" t="s">
        <v>453</v>
      </c>
      <c r="C45" s="6" t="s">
        <v>170</v>
      </c>
      <c r="D45" s="6" t="s">
        <v>171</v>
      </c>
      <c r="E45" s="6" t="s">
        <v>228</v>
      </c>
      <c r="F45" s="6" t="s">
        <v>454</v>
      </c>
      <c r="G45" s="3" t="s">
        <v>199</v>
      </c>
      <c r="H45" s="16">
        <f>20.48/52.75</f>
        <v>0.38824644549763032</v>
      </c>
      <c r="I45" s="16" t="s">
        <v>516</v>
      </c>
      <c r="J45" s="6" t="s">
        <v>455</v>
      </c>
      <c r="L45" s="3"/>
      <c r="X45" s="8"/>
      <c r="Y45" s="1"/>
      <c r="AN45" s="8"/>
      <c r="AO45" s="1"/>
      <c r="BD45" s="2">
        <f t="shared" si="5"/>
        <v>5</v>
      </c>
      <c r="BE45" s="8">
        <f t="shared" si="61"/>
        <v>0</v>
      </c>
      <c r="BI45" s="8"/>
      <c r="BL45" s="2">
        <f t="shared" si="7"/>
        <v>5</v>
      </c>
      <c r="BM45" s="8"/>
      <c r="BQ45" s="8"/>
      <c r="BT45" s="8">
        <f t="shared" si="8"/>
        <v>1</v>
      </c>
      <c r="CJ45" s="8"/>
      <c r="CK45" s="12"/>
      <c r="CS45" s="8"/>
      <c r="CV45" s="8"/>
      <c r="CW45" s="8"/>
      <c r="DD45" s="8"/>
      <c r="DE45" s="15"/>
      <c r="DI45" s="8"/>
      <c r="DM45" s="13"/>
      <c r="DU45" s="16"/>
      <c r="DY45" s="16"/>
      <c r="EC45" s="16"/>
      <c r="EG45" s="16"/>
      <c r="EJ45" s="2"/>
      <c r="EK45" s="8"/>
      <c r="ER45" s="8"/>
      <c r="EZ45" s="8"/>
      <c r="FA45" s="8"/>
      <c r="GJ45" s="8"/>
      <c r="GK45" s="1"/>
      <c r="GV45" s="8"/>
      <c r="GW45" s="1"/>
      <c r="HH45" s="8"/>
      <c r="HI45" s="1"/>
      <c r="HT45" s="8"/>
      <c r="HU45" s="10"/>
      <c r="IR45" s="2"/>
      <c r="IS45" s="1"/>
      <c r="JD45" s="14"/>
      <c r="JE45" s="1"/>
      <c r="KF45" s="8"/>
      <c r="KG45" s="1"/>
      <c r="KO45" s="15"/>
    </row>
    <row r="46" spans="2:302" s="6" customFormat="1" ht="16.5" hidden="1" customHeight="1" x14ac:dyDescent="0.35">
      <c r="B46" s="6" t="s">
        <v>456</v>
      </c>
      <c r="C46" s="6" t="s">
        <v>170</v>
      </c>
      <c r="D46" s="6" t="s">
        <v>171</v>
      </c>
      <c r="E46" s="6" t="s">
        <v>289</v>
      </c>
      <c r="F46" s="6" t="s">
        <v>457</v>
      </c>
      <c r="G46" s="3" t="s">
        <v>199</v>
      </c>
      <c r="H46" s="16">
        <v>0.96099999999999997</v>
      </c>
      <c r="I46" s="16"/>
      <c r="L46" s="159">
        <v>4</v>
      </c>
      <c r="M46" s="6" t="s">
        <v>458</v>
      </c>
      <c r="P46" s="6" t="s">
        <v>126</v>
      </c>
      <c r="Q46" s="6" t="s">
        <v>459</v>
      </c>
      <c r="R46" s="6" t="s">
        <v>460</v>
      </c>
      <c r="T46" s="6" t="s">
        <v>203</v>
      </c>
      <c r="U46" s="16">
        <v>0.64229999999999998</v>
      </c>
      <c r="V46" s="16"/>
      <c r="X46" s="8">
        <f t="shared" si="25"/>
        <v>2</v>
      </c>
      <c r="Y46" s="1">
        <f t="shared" si="26"/>
        <v>0.17757178577492286</v>
      </c>
      <c r="AC46" s="6">
        <v>1085.75</v>
      </c>
      <c r="AD46" s="6" t="s">
        <v>461</v>
      </c>
      <c r="AG46" s="6">
        <v>876.97</v>
      </c>
      <c r="AH46" s="6" t="s">
        <v>461</v>
      </c>
      <c r="AK46" s="6">
        <v>785.06</v>
      </c>
      <c r="AL46" s="6" t="s">
        <v>461</v>
      </c>
      <c r="AN46" s="8">
        <f t="shared" si="27"/>
        <v>3</v>
      </c>
      <c r="AO46" s="1">
        <f t="shared" si="28"/>
        <v>6.8781822258954739E-2</v>
      </c>
      <c r="AS46" s="6">
        <v>1537.24</v>
      </c>
      <c r="AT46" s="6" t="s">
        <v>461</v>
      </c>
      <c r="AW46" s="6">
        <v>1289.6500000000001</v>
      </c>
      <c r="AX46" s="6" t="s">
        <v>461</v>
      </c>
      <c r="BA46" s="6">
        <v>1363.87</v>
      </c>
      <c r="BB46" s="6" t="s">
        <v>461</v>
      </c>
      <c r="BD46" s="2">
        <f t="shared" si="5"/>
        <v>1</v>
      </c>
      <c r="BE46" s="8">
        <f t="shared" si="61"/>
        <v>1085.75</v>
      </c>
      <c r="BI46" s="8">
        <f t="shared" si="29"/>
        <v>1085.75</v>
      </c>
      <c r="BJ46" s="6" t="s">
        <v>461</v>
      </c>
      <c r="BL46" s="2">
        <f t="shared" si="7"/>
        <v>1</v>
      </c>
      <c r="BM46" s="8">
        <f t="shared" si="30"/>
        <v>1537.24</v>
      </c>
      <c r="BQ46" s="8">
        <f t="shared" si="31"/>
        <v>1537.24</v>
      </c>
      <c r="BR46" s="6" t="s">
        <v>461</v>
      </c>
      <c r="BT46" s="8">
        <f t="shared" si="8"/>
        <v>1</v>
      </c>
      <c r="BU46" s="6">
        <v>2</v>
      </c>
      <c r="BY46" s="6">
        <v>2</v>
      </c>
      <c r="BZ46" s="6" t="s">
        <v>234</v>
      </c>
      <c r="CA46" s="22"/>
      <c r="CB46" s="6">
        <v>1</v>
      </c>
      <c r="CC46" s="6" t="str">
        <f>CF46</f>
        <v>一级</v>
      </c>
      <c r="CF46" s="6" t="s">
        <v>132</v>
      </c>
      <c r="CG46" s="6" t="s">
        <v>259</v>
      </c>
      <c r="CH46" s="6" t="s">
        <v>460</v>
      </c>
      <c r="CJ46" s="8">
        <f t="shared" si="32"/>
        <v>2</v>
      </c>
      <c r="CK46" s="12">
        <f t="shared" si="33"/>
        <v>1.7677181671655537</v>
      </c>
      <c r="CO46" s="6">
        <v>1919.3</v>
      </c>
      <c r="CP46" s="6" t="s">
        <v>462</v>
      </c>
      <c r="CS46" s="8">
        <f t="shared" si="34"/>
        <v>1085.75</v>
      </c>
      <c r="CT46" s="6" t="s">
        <v>461</v>
      </c>
      <c r="CV46" s="8">
        <f t="shared" si="35"/>
        <v>0</v>
      </c>
      <c r="CW46" s="8" t="str">
        <f t="shared" si="36"/>
        <v>数据缺失</v>
      </c>
      <c r="DA46" s="6" t="s">
        <v>37</v>
      </c>
      <c r="DD46" s="8">
        <f t="shared" si="37"/>
        <v>0</v>
      </c>
      <c r="DE46" s="15" t="s">
        <v>537</v>
      </c>
      <c r="DI46" s="8">
        <f t="shared" si="39"/>
        <v>1537.24</v>
      </c>
      <c r="DJ46" s="6" t="s">
        <v>461</v>
      </c>
      <c r="DM46" s="13" t="str">
        <f t="shared" si="40"/>
        <v>数据缺失</v>
      </c>
      <c r="DN46" s="26"/>
      <c r="DO46" s="23"/>
      <c r="DP46" s="6">
        <v>6</v>
      </c>
      <c r="DQ46" s="6" t="s">
        <v>463</v>
      </c>
      <c r="DR46" s="6" t="s">
        <v>462</v>
      </c>
      <c r="DU46" s="16" t="s">
        <v>37</v>
      </c>
      <c r="DY46" s="16" t="s">
        <v>312</v>
      </c>
      <c r="EC46" s="16" t="s">
        <v>37</v>
      </c>
      <c r="EG46" s="16" t="s">
        <v>37</v>
      </c>
      <c r="EJ46" s="2">
        <f t="shared" si="41"/>
        <v>1</v>
      </c>
      <c r="EK46" s="8">
        <f t="shared" si="42"/>
        <v>1896.77</v>
      </c>
      <c r="EO46" s="6">
        <v>1896.77</v>
      </c>
      <c r="EP46" s="6" t="s">
        <v>461</v>
      </c>
      <c r="ER46" s="8">
        <f t="shared" si="43"/>
        <v>1</v>
      </c>
      <c r="ES46" s="6">
        <f t="shared" si="62"/>
        <v>1836.92</v>
      </c>
      <c r="EW46" s="6">
        <v>1836.92</v>
      </c>
      <c r="EX46" s="6" t="s">
        <v>464</v>
      </c>
      <c r="EZ46" s="8">
        <f t="shared" si="44"/>
        <v>1</v>
      </c>
      <c r="FA46" s="8">
        <f t="shared" si="45"/>
        <v>3553.86</v>
      </c>
      <c r="FE46" s="6">
        <v>3553.86</v>
      </c>
      <c r="FF46" s="6" t="s">
        <v>461</v>
      </c>
      <c r="FH46" s="6">
        <v>5</v>
      </c>
      <c r="FI46" s="6" t="s">
        <v>465</v>
      </c>
      <c r="FJ46" s="6" t="s">
        <v>461</v>
      </c>
      <c r="FM46" s="6" t="s">
        <v>297</v>
      </c>
      <c r="FQ46" s="6" t="s">
        <v>37</v>
      </c>
      <c r="FU46" s="6" t="s">
        <v>297</v>
      </c>
      <c r="FY46" s="6" t="s">
        <v>297</v>
      </c>
      <c r="GB46" s="6">
        <v>2</v>
      </c>
      <c r="GC46" s="6" t="s">
        <v>466</v>
      </c>
      <c r="GG46" s="6" t="s">
        <v>466</v>
      </c>
      <c r="GH46" s="6" t="s">
        <v>467</v>
      </c>
      <c r="GJ46" s="8">
        <f t="shared" si="46"/>
        <v>4</v>
      </c>
      <c r="GK46" s="1">
        <f t="shared" si="47"/>
        <v>1.337711050347134E-2</v>
      </c>
      <c r="GL46" s="5"/>
      <c r="GN46" s="6">
        <v>13.16</v>
      </c>
      <c r="GO46" s="6" t="s">
        <v>468</v>
      </c>
      <c r="GP46" s="6" t="s">
        <v>460</v>
      </c>
      <c r="GS46" s="6">
        <v>983.77</v>
      </c>
      <c r="GT46" s="6" t="s">
        <v>431</v>
      </c>
      <c r="GV46" s="8">
        <f t="shared" si="48"/>
        <v>2</v>
      </c>
      <c r="GW46" s="1">
        <f t="shared" si="49"/>
        <v>0.30647030317637614</v>
      </c>
      <c r="HA46" s="17">
        <v>1353.4396999999999</v>
      </c>
      <c r="HB46" s="6" t="s">
        <v>469</v>
      </c>
      <c r="HE46" s="17">
        <v>4416.2181</v>
      </c>
      <c r="HF46" s="6" t="s">
        <v>431</v>
      </c>
      <c r="HH46" s="8">
        <f t="shared" si="50"/>
        <v>3</v>
      </c>
      <c r="HI46" s="1">
        <f t="shared" si="51"/>
        <v>0.5209465577203628</v>
      </c>
      <c r="HM46" s="17">
        <v>282.387</v>
      </c>
      <c r="HN46" s="6" t="s">
        <v>460</v>
      </c>
      <c r="HQ46" s="17">
        <v>542.0652</v>
      </c>
      <c r="HR46" s="6" t="s">
        <v>470</v>
      </c>
      <c r="HT46" s="8">
        <f t="shared" si="52"/>
        <v>4</v>
      </c>
      <c r="HU46" s="10">
        <f t="shared" si="53"/>
        <v>0</v>
      </c>
      <c r="HY46" s="6">
        <v>0</v>
      </c>
      <c r="HZ46" s="6" t="s">
        <v>146</v>
      </c>
      <c r="IC46" s="6">
        <v>1010.74</v>
      </c>
      <c r="ID46" s="6" t="s">
        <v>431</v>
      </c>
      <c r="IR46" s="2">
        <f t="shared" si="54"/>
        <v>2</v>
      </c>
      <c r="IS46" s="1">
        <f t="shared" si="55"/>
        <v>2.8575204924451656</v>
      </c>
      <c r="IW46" s="6">
        <v>1496.08</v>
      </c>
      <c r="IX46" s="6" t="s">
        <v>469</v>
      </c>
      <c r="JA46" s="17">
        <v>523.55880000000002</v>
      </c>
      <c r="JB46" s="6" t="s">
        <v>431</v>
      </c>
      <c r="JD46" s="14">
        <f t="shared" si="56"/>
        <v>4</v>
      </c>
      <c r="JE46" s="1">
        <f t="shared" si="57"/>
        <v>9.6197277582529758E-2</v>
      </c>
      <c r="JI46" s="6">
        <v>253.63</v>
      </c>
      <c r="JJ46" s="6" t="s">
        <v>464</v>
      </c>
      <c r="JM46" s="6">
        <v>1.74</v>
      </c>
      <c r="JN46" s="6" t="s">
        <v>464</v>
      </c>
      <c r="JQ46" s="6">
        <v>1945.33</v>
      </c>
      <c r="JR46" s="6" t="s">
        <v>461</v>
      </c>
      <c r="JS46" s="6" t="s">
        <v>471</v>
      </c>
      <c r="JU46" s="6">
        <v>1085.2</v>
      </c>
      <c r="JV46" s="6" t="s">
        <v>464</v>
      </c>
      <c r="JW46" s="6" t="s">
        <v>471</v>
      </c>
      <c r="JX46" s="6">
        <v>1</v>
      </c>
      <c r="JY46" s="6" t="s">
        <v>246</v>
      </c>
      <c r="KB46" s="6">
        <v>1</v>
      </c>
      <c r="KC46" s="6" t="s">
        <v>472</v>
      </c>
      <c r="KD46" s="6" t="s">
        <v>460</v>
      </c>
      <c r="KF46" s="8">
        <f t="shared" si="58"/>
        <v>4</v>
      </c>
      <c r="KG46" s="1">
        <f t="shared" si="59"/>
        <v>1.5887804769970442</v>
      </c>
      <c r="KK46" s="6">
        <v>831.82</v>
      </c>
      <c r="KL46" s="6" t="s">
        <v>460</v>
      </c>
      <c r="KO46" s="15">
        <f t="shared" si="60"/>
        <v>523.55880000000002</v>
      </c>
      <c r="KP46" s="27" t="s">
        <v>431</v>
      </c>
    </row>
    <row r="47" spans="2:302" s="6" customFormat="1" ht="16.5" hidden="1" customHeight="1" x14ac:dyDescent="0.35">
      <c r="B47" s="6" t="s">
        <v>456</v>
      </c>
      <c r="C47" s="6" t="s">
        <v>170</v>
      </c>
      <c r="D47" s="6" t="s">
        <v>171</v>
      </c>
      <c r="E47" s="6" t="s">
        <v>228</v>
      </c>
      <c r="F47" s="6" t="s">
        <v>457</v>
      </c>
      <c r="G47" s="3" t="s">
        <v>249</v>
      </c>
      <c r="H47" s="16">
        <v>0.97170000000000001</v>
      </c>
      <c r="L47" s="159">
        <v>4</v>
      </c>
      <c r="M47" s="6" t="s">
        <v>458</v>
      </c>
      <c r="P47" s="6" t="s">
        <v>126</v>
      </c>
      <c r="Q47" s="6" t="s">
        <v>459</v>
      </c>
      <c r="R47" s="6" t="s">
        <v>460</v>
      </c>
      <c r="T47" s="6" t="s">
        <v>203</v>
      </c>
      <c r="U47" s="16">
        <v>0.64229999999999998</v>
      </c>
      <c r="W47" s="6" t="s">
        <v>473</v>
      </c>
      <c r="X47" s="6">
        <f>IF(Y47="数据缺失",0,IF(Y47&lt;-30%,6,IF(Y47&lt;-10%,5,IF(Y47&lt;0%,4,IF(Y47&lt;10%,3,IF(Y47&lt;30%,2,1))))))</f>
        <v>1</v>
      </c>
      <c r="Y47" s="5">
        <f>(AC46-AK46)/AK46</f>
        <v>0.38301531093164864</v>
      </c>
      <c r="AC47" s="6">
        <v>876.97</v>
      </c>
      <c r="AD47" s="6" t="s">
        <v>461</v>
      </c>
      <c r="AG47" s="6">
        <v>785.06</v>
      </c>
      <c r="AH47" s="6" t="s">
        <v>461</v>
      </c>
      <c r="AK47" s="6" t="s">
        <v>37</v>
      </c>
      <c r="AN47" s="6">
        <f>IF(AO47="数据缺失",0,IF(AO47&lt;-30%,6,IF(AO47&lt;-10%,5,IF(AO47&lt;0%,4,IF(AO47&lt;10%,3,IF(AO47&lt;30%,2,1))))))</f>
        <v>4</v>
      </c>
      <c r="AO47" s="16">
        <f>(AS47-AW47)/AW47</f>
        <v>-5.4418676266799478E-2</v>
      </c>
      <c r="AS47" s="6">
        <v>1289.6500000000001</v>
      </c>
      <c r="AT47" s="6" t="s">
        <v>461</v>
      </c>
      <c r="AW47" s="6">
        <v>1363.87</v>
      </c>
      <c r="AX47" s="6" t="s">
        <v>461</v>
      </c>
      <c r="BA47" s="6" t="s">
        <v>222</v>
      </c>
      <c r="BD47" s="2">
        <f t="shared" si="5"/>
        <v>1</v>
      </c>
      <c r="BE47" s="8">
        <f t="shared" si="61"/>
        <v>876.97</v>
      </c>
      <c r="BI47" s="8">
        <f t="shared" si="29"/>
        <v>876.97</v>
      </c>
      <c r="BJ47" s="6" t="s">
        <v>461</v>
      </c>
      <c r="BL47" s="2">
        <f t="shared" si="7"/>
        <v>1</v>
      </c>
      <c r="BM47" s="8">
        <f t="shared" si="30"/>
        <v>1289.6500000000001</v>
      </c>
      <c r="BQ47" s="8">
        <f t="shared" si="31"/>
        <v>1289.6500000000001</v>
      </c>
      <c r="BR47" s="6" t="s">
        <v>461</v>
      </c>
      <c r="BT47" s="8">
        <f t="shared" si="8"/>
        <v>1</v>
      </c>
      <c r="BU47" s="6">
        <v>2</v>
      </c>
      <c r="BY47" s="6">
        <v>2</v>
      </c>
      <c r="BZ47" s="6" t="s">
        <v>258</v>
      </c>
      <c r="CB47" s="6">
        <v>1</v>
      </c>
      <c r="CC47" s="6" t="str">
        <f>CF47</f>
        <v>一级</v>
      </c>
      <c r="CF47" s="6" t="s">
        <v>132</v>
      </c>
      <c r="CG47" s="6" t="s">
        <v>475</v>
      </c>
      <c r="CH47" s="6" t="s">
        <v>460</v>
      </c>
      <c r="CJ47" s="8">
        <f t="shared" si="32"/>
        <v>2</v>
      </c>
      <c r="CK47" s="12">
        <f t="shared" si="33"/>
        <v>1.9765328346465669</v>
      </c>
      <c r="CO47" s="6">
        <v>1733.36</v>
      </c>
      <c r="CP47" s="6" t="s">
        <v>476</v>
      </c>
      <c r="CS47" s="8">
        <f t="shared" si="34"/>
        <v>876.97</v>
      </c>
      <c r="CT47" s="6" t="s">
        <v>477</v>
      </c>
      <c r="CV47" s="8">
        <f t="shared" si="35"/>
        <v>0</v>
      </c>
      <c r="CW47" s="8" t="str">
        <f t="shared" si="36"/>
        <v>数据缺失</v>
      </c>
      <c r="DA47" s="6" t="s">
        <v>37</v>
      </c>
      <c r="DD47" s="8">
        <f t="shared" si="37"/>
        <v>0</v>
      </c>
      <c r="DE47" s="15" t="s">
        <v>537</v>
      </c>
      <c r="DI47" s="8">
        <f t="shared" si="39"/>
        <v>1289.6500000000001</v>
      </c>
      <c r="DJ47" s="6" t="s">
        <v>461</v>
      </c>
      <c r="DM47" s="13" t="str">
        <f t="shared" si="40"/>
        <v>数据缺失</v>
      </c>
      <c r="DP47" s="6">
        <v>5</v>
      </c>
      <c r="DQ47" s="6" t="s">
        <v>478</v>
      </c>
      <c r="DR47" s="6" t="s">
        <v>479</v>
      </c>
      <c r="DU47" s="16" t="s">
        <v>37</v>
      </c>
      <c r="DY47" s="16" t="s">
        <v>37</v>
      </c>
      <c r="EC47" s="16" t="s">
        <v>37</v>
      </c>
      <c r="EG47" s="16" t="s">
        <v>37</v>
      </c>
      <c r="EJ47" s="2">
        <f t="shared" si="41"/>
        <v>1</v>
      </c>
      <c r="EK47" s="8">
        <f t="shared" si="42"/>
        <v>1710.46</v>
      </c>
      <c r="EO47" s="6">
        <v>1710.46</v>
      </c>
      <c r="EP47" s="6" t="s">
        <v>461</v>
      </c>
      <c r="ER47" s="8">
        <f t="shared" si="43"/>
        <v>1</v>
      </c>
      <c r="ES47" s="6">
        <f t="shared" si="62"/>
        <v>1769</v>
      </c>
      <c r="EW47" s="6">
        <v>1769</v>
      </c>
      <c r="EX47" s="6" t="s">
        <v>461</v>
      </c>
      <c r="EZ47" s="8">
        <f t="shared" si="44"/>
        <v>1</v>
      </c>
      <c r="FA47" s="8">
        <f t="shared" si="45"/>
        <v>3494.01</v>
      </c>
      <c r="FE47" s="6">
        <v>3494.01</v>
      </c>
      <c r="FF47" s="6" t="s">
        <v>461</v>
      </c>
      <c r="FH47" s="6">
        <v>5</v>
      </c>
      <c r="FI47" s="6" t="s">
        <v>480</v>
      </c>
      <c r="FJ47" s="6" t="s">
        <v>481</v>
      </c>
      <c r="FM47" s="6" t="s">
        <v>474</v>
      </c>
      <c r="FQ47" s="6" t="s">
        <v>474</v>
      </c>
      <c r="FU47" s="6" t="s">
        <v>37</v>
      </c>
      <c r="FY47" s="6" t="s">
        <v>482</v>
      </c>
      <c r="GB47" s="6">
        <v>2</v>
      </c>
      <c r="GC47" s="6" t="s">
        <v>483</v>
      </c>
      <c r="GG47" s="6" t="s">
        <v>483</v>
      </c>
      <c r="GH47" s="6" t="s">
        <v>484</v>
      </c>
      <c r="GJ47" s="8">
        <f t="shared" si="46"/>
        <v>3</v>
      </c>
      <c r="GK47" s="1">
        <f t="shared" si="47"/>
        <v>5.1524780361995939E-2</v>
      </c>
      <c r="GN47" s="6">
        <v>43.48</v>
      </c>
      <c r="GO47" s="6" t="s">
        <v>485</v>
      </c>
      <c r="GP47" s="6" t="s">
        <v>476</v>
      </c>
      <c r="GS47" s="17">
        <v>843.86580000000004</v>
      </c>
      <c r="GT47" s="6" t="s">
        <v>486</v>
      </c>
      <c r="GV47" s="8">
        <f t="shared" si="48"/>
        <v>0</v>
      </c>
      <c r="GW47" s="6" t="s">
        <v>222</v>
      </c>
      <c r="HA47" s="6" t="s">
        <v>37</v>
      </c>
      <c r="HE47" s="17">
        <v>3031.4729000000002</v>
      </c>
      <c r="HF47" s="6" t="s">
        <v>487</v>
      </c>
      <c r="HH47" s="8">
        <f t="shared" si="50"/>
        <v>0</v>
      </c>
      <c r="HI47" s="6" t="s">
        <v>37</v>
      </c>
      <c r="HM47" s="6" t="s">
        <v>37</v>
      </c>
      <c r="HQ47" s="17">
        <v>409.5489</v>
      </c>
      <c r="HR47" s="6" t="s">
        <v>487</v>
      </c>
      <c r="HT47" s="8">
        <f t="shared" si="52"/>
        <v>4</v>
      </c>
      <c r="HU47" s="10">
        <f t="shared" si="53"/>
        <v>0</v>
      </c>
      <c r="HY47" s="6">
        <v>0</v>
      </c>
      <c r="HZ47" s="6" t="s">
        <v>469</v>
      </c>
      <c r="IC47" s="17">
        <v>662.91899999999998</v>
      </c>
      <c r="ID47" s="6" t="s">
        <v>431</v>
      </c>
      <c r="IR47" s="2">
        <f t="shared" si="54"/>
        <v>0</v>
      </c>
      <c r="IS47" s="6" t="s">
        <v>264</v>
      </c>
      <c r="IW47" s="6" t="s">
        <v>474</v>
      </c>
      <c r="JA47" s="17">
        <v>447.12490000000003</v>
      </c>
      <c r="JB47" s="6" t="s">
        <v>431</v>
      </c>
      <c r="JD47" s="14">
        <f t="shared" si="56"/>
        <v>3</v>
      </c>
      <c r="JE47" s="1">
        <f t="shared" si="57"/>
        <v>7.9027167841348445E-2</v>
      </c>
      <c r="JI47" s="6">
        <v>184.2</v>
      </c>
      <c r="JJ47" s="6" t="s">
        <v>461</v>
      </c>
      <c r="JM47" s="6">
        <v>3.04</v>
      </c>
      <c r="JN47" s="6" t="s">
        <v>461</v>
      </c>
      <c r="JQ47" s="6">
        <v>1085.2</v>
      </c>
      <c r="JR47" s="6" t="s">
        <v>481</v>
      </c>
      <c r="JS47" s="6" t="s">
        <v>471</v>
      </c>
      <c r="JU47" s="6">
        <v>448.25</v>
      </c>
      <c r="JV47" s="6" t="s">
        <v>461</v>
      </c>
      <c r="JW47" s="6" t="s">
        <v>471</v>
      </c>
      <c r="JX47" s="6">
        <v>1</v>
      </c>
      <c r="JY47" s="6" t="s">
        <v>246</v>
      </c>
      <c r="KB47" s="6">
        <v>1</v>
      </c>
      <c r="KC47" s="6" t="s">
        <v>246</v>
      </c>
      <c r="KD47" s="6" t="s">
        <v>484</v>
      </c>
      <c r="KF47" s="8">
        <f t="shared" si="58"/>
        <v>0</v>
      </c>
      <c r="KG47" s="6" t="s">
        <v>37</v>
      </c>
      <c r="KK47" s="6" t="s">
        <v>37</v>
      </c>
      <c r="KO47" s="15">
        <f t="shared" si="60"/>
        <v>447.12490000000003</v>
      </c>
      <c r="KP47" s="6" t="s">
        <v>487</v>
      </c>
    </row>
    <row r="48" spans="2:302" s="6" customFormat="1" ht="16.5" hidden="1" customHeight="1" x14ac:dyDescent="0.35">
      <c r="B48" s="6" t="s">
        <v>488</v>
      </c>
      <c r="C48" s="6" t="s">
        <v>170</v>
      </c>
      <c r="D48" s="6" t="s">
        <v>489</v>
      </c>
      <c r="E48" s="6" t="s">
        <v>228</v>
      </c>
      <c r="F48" s="6" t="s">
        <v>490</v>
      </c>
      <c r="G48" s="3" t="s">
        <v>174</v>
      </c>
      <c r="H48" s="16">
        <v>0.88959999999999995</v>
      </c>
      <c r="L48" s="3">
        <v>4</v>
      </c>
      <c r="M48" s="6" t="s">
        <v>1234</v>
      </c>
      <c r="P48" s="28" t="s">
        <v>117</v>
      </c>
      <c r="Q48" s="6" t="s">
        <v>1233</v>
      </c>
      <c r="R48" s="6" t="s">
        <v>491</v>
      </c>
      <c r="T48" s="6" t="s">
        <v>129</v>
      </c>
      <c r="U48" s="16">
        <v>0.26019999999999999</v>
      </c>
      <c r="X48" s="8">
        <f t="shared" si="25"/>
        <v>1</v>
      </c>
      <c r="Y48" s="1">
        <f t="shared" si="26"/>
        <v>0.32612272641314499</v>
      </c>
      <c r="AC48" s="6">
        <v>84.77</v>
      </c>
      <c r="AD48" s="6" t="s">
        <v>491</v>
      </c>
      <c r="AG48" s="6">
        <v>61.19</v>
      </c>
      <c r="AH48" s="6" t="s">
        <v>492</v>
      </c>
      <c r="AK48" s="17">
        <v>48.299441000000002</v>
      </c>
      <c r="AL48" s="6" t="s">
        <v>493</v>
      </c>
      <c r="AN48" s="8">
        <f t="shared" si="27"/>
        <v>1</v>
      </c>
      <c r="AO48" s="1">
        <f t="shared" si="28"/>
        <v>0.52451712365610559</v>
      </c>
      <c r="AS48" s="6">
        <v>103.89</v>
      </c>
      <c r="AT48" s="6" t="s">
        <v>491</v>
      </c>
      <c r="AW48" s="6">
        <v>56.91</v>
      </c>
      <c r="AX48" s="6" t="s">
        <v>491</v>
      </c>
      <c r="BA48" s="17">
        <v>46.513328000000001</v>
      </c>
      <c r="BB48" s="6" t="s">
        <v>493</v>
      </c>
      <c r="BD48" s="2">
        <f t="shared" si="5"/>
        <v>4</v>
      </c>
      <c r="BE48" s="8">
        <f t="shared" si="61"/>
        <v>84.77</v>
      </c>
      <c r="BI48" s="8">
        <f t="shared" si="29"/>
        <v>84.77</v>
      </c>
      <c r="BJ48" s="6" t="s">
        <v>491</v>
      </c>
      <c r="BL48" s="2">
        <f t="shared" si="7"/>
        <v>3</v>
      </c>
      <c r="BM48" s="8">
        <f t="shared" si="30"/>
        <v>103.89</v>
      </c>
      <c r="BQ48" s="8">
        <f t="shared" si="31"/>
        <v>103.89</v>
      </c>
      <c r="BR48" s="6" t="s">
        <v>491</v>
      </c>
      <c r="BT48" s="8">
        <f t="shared" si="8"/>
        <v>3</v>
      </c>
      <c r="BU48" s="6">
        <v>149</v>
      </c>
      <c r="BY48" s="6">
        <v>149</v>
      </c>
      <c r="BZ48" s="6" t="s">
        <v>234</v>
      </c>
      <c r="CA48" s="6" t="s">
        <v>494</v>
      </c>
      <c r="CB48" s="36">
        <v>1</v>
      </c>
      <c r="CC48" s="36" t="s">
        <v>133</v>
      </c>
      <c r="CD48" s="36"/>
      <c r="CE48" s="36"/>
      <c r="CF48" s="36" t="s">
        <v>133</v>
      </c>
      <c r="CG48" s="36" t="s">
        <v>698</v>
      </c>
      <c r="CH48" s="47" t="s">
        <v>699</v>
      </c>
      <c r="CI48" s="6" t="s">
        <v>1245</v>
      </c>
      <c r="CJ48" s="8">
        <f t="shared" si="32"/>
        <v>0</v>
      </c>
      <c r="CK48" s="39" t="s">
        <v>1147</v>
      </c>
      <c r="CO48" s="6" t="s">
        <v>37</v>
      </c>
      <c r="CS48" s="8">
        <f t="shared" si="34"/>
        <v>84.77</v>
      </c>
      <c r="CT48" s="6" t="s">
        <v>491</v>
      </c>
      <c r="CV48" s="8">
        <f t="shared" si="35"/>
        <v>3</v>
      </c>
      <c r="CW48" s="8">
        <f t="shared" si="36"/>
        <v>767.12</v>
      </c>
      <c r="DA48" s="6">
        <v>767.12</v>
      </c>
      <c r="DB48" s="6" t="s">
        <v>491</v>
      </c>
      <c r="DD48" s="8">
        <f t="shared" si="37"/>
        <v>2</v>
      </c>
      <c r="DE48" s="15">
        <f t="shared" si="38"/>
        <v>7.3839638078737124</v>
      </c>
      <c r="DI48" s="8">
        <f t="shared" si="39"/>
        <v>103.89</v>
      </c>
      <c r="DJ48" s="6" t="str">
        <f>AT48</f>
        <v>评级20160620</v>
      </c>
      <c r="DM48" s="13">
        <f t="shared" si="40"/>
        <v>767.12</v>
      </c>
      <c r="DN48" s="23" t="str">
        <f>DB48</f>
        <v>评级20160620</v>
      </c>
      <c r="DP48" s="6">
        <v>3</v>
      </c>
      <c r="DQ48" s="6" t="s">
        <v>495</v>
      </c>
      <c r="DU48" s="16">
        <v>0.02</v>
      </c>
      <c r="DV48" s="6" t="s">
        <v>146</v>
      </c>
      <c r="DY48" s="16">
        <v>0.75839999999999996</v>
      </c>
      <c r="DZ48" s="6" t="s">
        <v>146</v>
      </c>
      <c r="EC48" s="16">
        <v>0</v>
      </c>
      <c r="ED48" s="6" t="s">
        <v>146</v>
      </c>
      <c r="EG48" s="16">
        <v>0.22159999999999999</v>
      </c>
      <c r="EH48" s="6" t="s">
        <v>496</v>
      </c>
      <c r="EJ48" s="2">
        <f t="shared" si="41"/>
        <v>3</v>
      </c>
      <c r="EK48" s="8">
        <f t="shared" si="42"/>
        <v>43.55</v>
      </c>
      <c r="EO48" s="6">
        <v>43.55</v>
      </c>
      <c r="EP48" s="6" t="s">
        <v>497</v>
      </c>
      <c r="ER48" s="8">
        <f t="shared" si="43"/>
        <v>1</v>
      </c>
      <c r="ES48" s="6">
        <f t="shared" si="62"/>
        <v>126.67</v>
      </c>
      <c r="EW48" s="6">
        <v>126.67</v>
      </c>
      <c r="EX48" s="6" t="s">
        <v>491</v>
      </c>
      <c r="EZ48" s="8">
        <f t="shared" si="44"/>
        <v>1</v>
      </c>
      <c r="FA48" s="8">
        <f t="shared" si="45"/>
        <v>234.78</v>
      </c>
      <c r="FE48" s="6">
        <v>234.78</v>
      </c>
      <c r="FF48" s="6" t="s">
        <v>491</v>
      </c>
      <c r="FH48" s="6">
        <v>3</v>
      </c>
      <c r="FI48" s="6" t="s">
        <v>498</v>
      </c>
      <c r="FM48" s="6" t="s">
        <v>37</v>
      </c>
      <c r="FQ48" s="6" t="s">
        <v>37</v>
      </c>
      <c r="FU48" s="6" t="s">
        <v>37</v>
      </c>
      <c r="FY48" s="6" t="s">
        <v>474</v>
      </c>
      <c r="GB48" s="6">
        <v>2</v>
      </c>
      <c r="GC48" s="6" t="s">
        <v>499</v>
      </c>
      <c r="GG48" s="6" t="s">
        <v>500</v>
      </c>
      <c r="GH48" s="6" t="s">
        <v>146</v>
      </c>
      <c r="GJ48" s="8">
        <f t="shared" si="46"/>
        <v>0</v>
      </c>
      <c r="GK48" s="6" t="s">
        <v>37</v>
      </c>
      <c r="GN48" s="6" t="s">
        <v>37</v>
      </c>
      <c r="GO48" s="6" t="s">
        <v>474</v>
      </c>
      <c r="GS48" s="17">
        <v>80.288697073199998</v>
      </c>
      <c r="GT48" s="6" t="s">
        <v>431</v>
      </c>
      <c r="GV48" s="8">
        <f t="shared" si="48"/>
        <v>1</v>
      </c>
      <c r="GW48" s="1">
        <f t="shared" si="49"/>
        <v>5.0757461990871479E-2</v>
      </c>
      <c r="HA48" s="17">
        <v>19.996005220000001</v>
      </c>
      <c r="HB48" s="6" t="s">
        <v>146</v>
      </c>
      <c r="HE48" s="17">
        <v>393.95203061170002</v>
      </c>
      <c r="HF48" s="6" t="s">
        <v>431</v>
      </c>
      <c r="HH48" s="8">
        <f t="shared" si="50"/>
        <v>1</v>
      </c>
      <c r="HI48" s="1">
        <f t="shared" si="51"/>
        <v>0.16946380087548363</v>
      </c>
      <c r="HM48" s="17">
        <v>10.36626</v>
      </c>
      <c r="HN48" s="6" t="s">
        <v>146</v>
      </c>
      <c r="HQ48" s="17">
        <v>61.170940026399997</v>
      </c>
      <c r="HR48" s="6" t="s">
        <v>431</v>
      </c>
      <c r="HT48" s="8">
        <f t="shared" si="52"/>
        <v>4</v>
      </c>
      <c r="HU48" s="10">
        <f t="shared" si="53"/>
        <v>2.6755328326520788E-2</v>
      </c>
      <c r="HY48" s="6">
        <v>1.6</v>
      </c>
      <c r="HZ48" s="6" t="s">
        <v>496</v>
      </c>
      <c r="IC48" s="17">
        <v>59.80117233</v>
      </c>
      <c r="ID48" s="6" t="s">
        <v>487</v>
      </c>
      <c r="IR48" s="2">
        <f t="shared" si="54"/>
        <v>3</v>
      </c>
      <c r="IS48" s="1">
        <f t="shared" si="55"/>
        <v>1.0941310597301031</v>
      </c>
      <c r="IW48" s="6">
        <v>118.08</v>
      </c>
      <c r="IX48" s="6" t="s">
        <v>501</v>
      </c>
      <c r="JA48" s="17">
        <v>107.92125765</v>
      </c>
      <c r="JB48" s="6" t="s">
        <v>487</v>
      </c>
      <c r="JD48" s="14">
        <f t="shared" si="56"/>
        <v>4</v>
      </c>
      <c r="JE48" s="1">
        <f t="shared" si="57"/>
        <v>9.2665021176375262E-2</v>
      </c>
      <c r="JI48" s="6">
        <v>14.18</v>
      </c>
      <c r="JJ48" s="6" t="s">
        <v>497</v>
      </c>
      <c r="JM48" s="6">
        <v>0.99</v>
      </c>
      <c r="JN48" s="6" t="s">
        <v>502</v>
      </c>
      <c r="JQ48" s="6">
        <v>169.32</v>
      </c>
      <c r="JR48" s="6" t="s">
        <v>502</v>
      </c>
      <c r="JS48" s="6" t="s">
        <v>471</v>
      </c>
      <c r="JU48" s="6">
        <v>139.82</v>
      </c>
      <c r="JV48" s="6" t="s">
        <v>497</v>
      </c>
      <c r="JW48" s="6" t="s">
        <v>503</v>
      </c>
      <c r="JX48" s="6">
        <v>2</v>
      </c>
      <c r="JY48" s="6" t="s">
        <v>504</v>
      </c>
      <c r="KB48" s="6">
        <v>11</v>
      </c>
      <c r="KC48" s="6" t="s">
        <v>504</v>
      </c>
      <c r="KD48" s="6" t="s">
        <v>496</v>
      </c>
      <c r="KF48" s="8">
        <f t="shared" si="58"/>
        <v>1</v>
      </c>
      <c r="KG48" s="1">
        <f t="shared" si="59"/>
        <v>0.18298726710585178</v>
      </c>
      <c r="KK48" s="17">
        <v>19.748215999999999</v>
      </c>
      <c r="KL48" s="6" t="s">
        <v>496</v>
      </c>
      <c r="KO48" s="15">
        <f t="shared" si="60"/>
        <v>107.92125765</v>
      </c>
      <c r="KP48" s="6" t="s">
        <v>487</v>
      </c>
    </row>
    <row r="49" spans="2:302" s="6" customFormat="1" ht="16.5" hidden="1" customHeight="1" x14ac:dyDescent="0.35">
      <c r="B49" s="6" t="s">
        <v>488</v>
      </c>
      <c r="C49" s="6" t="s">
        <v>170</v>
      </c>
      <c r="D49" s="6" t="s">
        <v>171</v>
      </c>
      <c r="E49" s="6" t="s">
        <v>228</v>
      </c>
      <c r="F49" s="6" t="s">
        <v>505</v>
      </c>
      <c r="G49" s="3" t="s">
        <v>249</v>
      </c>
      <c r="H49" s="16">
        <v>0.7671</v>
      </c>
      <c r="L49" s="3">
        <v>4</v>
      </c>
      <c r="M49" s="6" t="s">
        <v>1234</v>
      </c>
      <c r="P49" s="28" t="s">
        <v>117</v>
      </c>
      <c r="Q49" s="6" t="s">
        <v>506</v>
      </c>
      <c r="R49" s="6" t="s">
        <v>366</v>
      </c>
      <c r="T49" s="6" t="s">
        <v>129</v>
      </c>
      <c r="U49" s="16">
        <v>0.26019999999999999</v>
      </c>
      <c r="X49" s="8">
        <f t="shared" si="25"/>
        <v>5</v>
      </c>
      <c r="Y49" s="1">
        <f t="shared" si="26"/>
        <v>-0.13352065744551689</v>
      </c>
      <c r="AC49" s="17">
        <v>48.299441000000002</v>
      </c>
      <c r="AD49" s="6" t="s">
        <v>493</v>
      </c>
      <c r="AG49" s="17">
        <v>66.822400000000002</v>
      </c>
      <c r="AH49" s="6" t="s">
        <v>493</v>
      </c>
      <c r="AK49" s="17">
        <v>66.150604999999999</v>
      </c>
      <c r="AL49" s="6" t="s">
        <v>493</v>
      </c>
      <c r="AN49" s="8">
        <f t="shared" si="27"/>
        <v>5</v>
      </c>
      <c r="AO49" s="1">
        <f t="shared" si="28"/>
        <v>-0.17443111388108451</v>
      </c>
      <c r="AS49" s="17">
        <v>46.513328000000001</v>
      </c>
      <c r="AT49" s="6" t="s">
        <v>493</v>
      </c>
      <c r="AW49" s="6">
        <v>73.341250000000002</v>
      </c>
      <c r="AX49" s="6" t="s">
        <v>493</v>
      </c>
      <c r="BA49" s="6">
        <v>72.12</v>
      </c>
      <c r="BB49" s="6" t="s">
        <v>493</v>
      </c>
      <c r="BD49" s="2">
        <f t="shared" si="5"/>
        <v>5</v>
      </c>
      <c r="BE49" s="8">
        <f t="shared" si="61"/>
        <v>48.299441000000002</v>
      </c>
      <c r="BI49" s="8">
        <f t="shared" si="29"/>
        <v>48.299441000000002</v>
      </c>
      <c r="BJ49" s="6" t="s">
        <v>493</v>
      </c>
      <c r="BL49" s="2">
        <f t="shared" si="7"/>
        <v>5</v>
      </c>
      <c r="BM49" s="8">
        <f t="shared" si="30"/>
        <v>46.513328000000001</v>
      </c>
      <c r="BQ49" s="8">
        <f t="shared" si="31"/>
        <v>46.513328000000001</v>
      </c>
      <c r="BR49" s="6" t="s">
        <v>493</v>
      </c>
      <c r="BT49" s="8">
        <f t="shared" si="8"/>
        <v>3</v>
      </c>
      <c r="BU49" s="182">
        <v>126</v>
      </c>
      <c r="BV49" s="182"/>
      <c r="BW49" s="182"/>
      <c r="BX49" s="182"/>
      <c r="BY49" s="159">
        <v>126</v>
      </c>
      <c r="BZ49" s="182" t="s">
        <v>1238</v>
      </c>
      <c r="CA49" s="182" t="s">
        <v>494</v>
      </c>
      <c r="CB49" s="36">
        <v>1</v>
      </c>
      <c r="CC49" s="36" t="s">
        <v>133</v>
      </c>
      <c r="CD49" s="36"/>
      <c r="CE49" s="36"/>
      <c r="CF49" s="36" t="s">
        <v>133</v>
      </c>
      <c r="CG49" s="36" t="s">
        <v>698</v>
      </c>
      <c r="CH49" s="47" t="s">
        <v>699</v>
      </c>
      <c r="CI49" s="6" t="s">
        <v>1245</v>
      </c>
      <c r="CJ49" s="8">
        <f t="shared" si="32"/>
        <v>0</v>
      </c>
      <c r="CK49" s="39" t="s">
        <v>1147</v>
      </c>
      <c r="CO49" s="6" t="s">
        <v>37</v>
      </c>
      <c r="CS49" s="8">
        <f t="shared" si="34"/>
        <v>48.299441000000002</v>
      </c>
      <c r="CT49" s="6" t="s">
        <v>493</v>
      </c>
      <c r="CV49" s="8">
        <f t="shared" si="35"/>
        <v>4</v>
      </c>
      <c r="CW49" s="8">
        <f t="shared" si="36"/>
        <v>317.08</v>
      </c>
      <c r="DA49" s="6">
        <v>317.08</v>
      </c>
      <c r="DB49" s="6" t="s">
        <v>507</v>
      </c>
      <c r="DD49" s="8">
        <f t="shared" si="37"/>
        <v>2</v>
      </c>
      <c r="DE49" s="15">
        <f t="shared" si="38"/>
        <v>6.8169708260823647</v>
      </c>
      <c r="DI49" s="8">
        <f t="shared" si="39"/>
        <v>46.513328000000001</v>
      </c>
      <c r="DJ49" s="6" t="s">
        <v>493</v>
      </c>
      <c r="DM49" s="13">
        <f t="shared" si="40"/>
        <v>317.08</v>
      </c>
      <c r="DN49" s="6" t="s">
        <v>507</v>
      </c>
      <c r="DP49" s="6">
        <v>3</v>
      </c>
      <c r="DQ49" s="6" t="s">
        <v>508</v>
      </c>
      <c r="DU49" s="16">
        <v>2.0799999999999999E-2</v>
      </c>
      <c r="DV49" s="23" t="s">
        <v>507</v>
      </c>
      <c r="DY49" s="16">
        <v>0.77710000000000001</v>
      </c>
      <c r="DZ49" s="6" t="s">
        <v>507</v>
      </c>
      <c r="EC49" s="16">
        <v>0</v>
      </c>
      <c r="ED49" s="6" t="s">
        <v>507</v>
      </c>
      <c r="EG49" s="16">
        <v>0.20219999999999999</v>
      </c>
      <c r="EH49" s="6" t="s">
        <v>507</v>
      </c>
      <c r="EJ49" s="2">
        <f t="shared" si="41"/>
        <v>2</v>
      </c>
      <c r="EK49" s="8">
        <f t="shared" si="42"/>
        <v>83</v>
      </c>
      <c r="EO49" s="6">
        <v>83</v>
      </c>
      <c r="EP49" s="6" t="s">
        <v>502</v>
      </c>
      <c r="ER49" s="8">
        <f t="shared" si="43"/>
        <v>2</v>
      </c>
      <c r="ES49" s="6">
        <f t="shared" si="62"/>
        <v>89</v>
      </c>
      <c r="EW49" s="6">
        <v>89</v>
      </c>
      <c r="EX49" s="6" t="s">
        <v>502</v>
      </c>
      <c r="EZ49" s="8">
        <f t="shared" si="44"/>
        <v>1</v>
      </c>
      <c r="FA49" s="8">
        <f t="shared" si="45"/>
        <v>337</v>
      </c>
      <c r="FE49" s="6">
        <v>337</v>
      </c>
      <c r="FF49" s="6" t="s">
        <v>502</v>
      </c>
      <c r="FH49" s="6">
        <v>3</v>
      </c>
      <c r="FI49" s="6" t="s">
        <v>509</v>
      </c>
      <c r="FM49" s="6" t="s">
        <v>37</v>
      </c>
      <c r="FQ49" s="6" t="s">
        <v>37</v>
      </c>
      <c r="FU49" s="6" t="s">
        <v>37</v>
      </c>
      <c r="FY49" s="6" t="s">
        <v>37</v>
      </c>
      <c r="GB49" s="6">
        <v>2</v>
      </c>
      <c r="GC49" s="6" t="s">
        <v>510</v>
      </c>
      <c r="GG49" s="6" t="s">
        <v>510</v>
      </c>
      <c r="GH49" s="6" t="s">
        <v>366</v>
      </c>
      <c r="GJ49" s="8">
        <f t="shared" si="46"/>
        <v>0</v>
      </c>
      <c r="GK49" s="6" t="s">
        <v>37</v>
      </c>
      <c r="GN49" s="6" t="s">
        <v>37</v>
      </c>
      <c r="GO49" s="6" t="s">
        <v>37</v>
      </c>
      <c r="GS49" s="17">
        <v>76.626824065999998</v>
      </c>
      <c r="GT49" s="6" t="s">
        <v>431</v>
      </c>
      <c r="GV49" s="8">
        <f t="shared" si="48"/>
        <v>0</v>
      </c>
      <c r="GW49" s="6" t="s">
        <v>37</v>
      </c>
      <c r="HA49" s="6" t="s">
        <v>37</v>
      </c>
      <c r="HE49" s="17">
        <v>271.10988725250002</v>
      </c>
      <c r="HF49" s="6" t="s">
        <v>431</v>
      </c>
      <c r="HH49" s="8">
        <f t="shared" si="50"/>
        <v>2</v>
      </c>
      <c r="HI49" s="1">
        <f t="shared" si="51"/>
        <v>0.28447699602049803</v>
      </c>
      <c r="HM49" s="6">
        <v>6.9130900000000004</v>
      </c>
      <c r="HN49" s="6" t="s">
        <v>366</v>
      </c>
      <c r="HQ49" s="17">
        <v>24.301051040000001</v>
      </c>
      <c r="HR49" s="6" t="s">
        <v>431</v>
      </c>
      <c r="HT49" s="8">
        <f t="shared" si="52"/>
        <v>4</v>
      </c>
      <c r="HU49" s="10">
        <f t="shared" si="53"/>
        <v>0</v>
      </c>
      <c r="HY49" s="6">
        <v>0</v>
      </c>
      <c r="HZ49" s="6" t="s">
        <v>366</v>
      </c>
      <c r="IC49" s="6">
        <v>53.05</v>
      </c>
      <c r="ID49" s="6" t="s">
        <v>431</v>
      </c>
      <c r="IR49" s="2">
        <f t="shared" si="54"/>
        <v>3</v>
      </c>
      <c r="IS49" s="1">
        <f t="shared" si="55"/>
        <v>1.5669306243387102</v>
      </c>
      <c r="IW49" s="6">
        <v>139.47999999999999</v>
      </c>
      <c r="IX49" s="6" t="s">
        <v>511</v>
      </c>
      <c r="JA49" s="17">
        <v>89.014789699999994</v>
      </c>
      <c r="JB49" s="6" t="s">
        <v>431</v>
      </c>
      <c r="JD49" s="14">
        <f t="shared" si="56"/>
        <v>4</v>
      </c>
      <c r="JE49" s="1">
        <f t="shared" si="57"/>
        <v>8.7864521847209789E-2</v>
      </c>
      <c r="JI49" s="6">
        <v>13.17</v>
      </c>
      <c r="JJ49" s="6" t="s">
        <v>502</v>
      </c>
      <c r="JM49" s="6">
        <v>1.87</v>
      </c>
      <c r="JN49" s="6" t="s">
        <v>502</v>
      </c>
      <c r="JQ49" s="6">
        <v>86.01</v>
      </c>
      <c r="JR49" s="6" t="s">
        <v>502</v>
      </c>
      <c r="JS49" s="6" t="s">
        <v>471</v>
      </c>
      <c r="JU49" s="6">
        <v>74.3</v>
      </c>
      <c r="JV49" s="6" t="s">
        <v>512</v>
      </c>
      <c r="JW49" s="6" t="s">
        <v>513</v>
      </c>
      <c r="JX49" s="6">
        <v>2</v>
      </c>
      <c r="JY49" s="6" t="s">
        <v>514</v>
      </c>
      <c r="KB49" s="6">
        <v>12</v>
      </c>
      <c r="KC49" s="6" t="s">
        <v>514</v>
      </c>
      <c r="KD49" s="6" t="s">
        <v>366</v>
      </c>
      <c r="KF49" s="8">
        <f t="shared" si="58"/>
        <v>1</v>
      </c>
      <c r="KG49" s="1">
        <f t="shared" si="59"/>
        <v>0.15949962975646956</v>
      </c>
      <c r="KK49" s="17">
        <v>14.197825999999999</v>
      </c>
      <c r="KL49" s="6" t="s">
        <v>366</v>
      </c>
      <c r="KO49" s="15">
        <f t="shared" si="60"/>
        <v>89.014789699999994</v>
      </c>
      <c r="KP49" s="6" t="s">
        <v>431</v>
      </c>
    </row>
    <row r="50" spans="2:302" s="36" customFormat="1" ht="16.5" hidden="1" customHeight="1" x14ac:dyDescent="0.35">
      <c r="B50" s="39" t="s">
        <v>858</v>
      </c>
      <c r="C50" s="36" t="s">
        <v>859</v>
      </c>
      <c r="D50" s="36" t="s">
        <v>860</v>
      </c>
      <c r="E50" s="36" t="s">
        <v>861</v>
      </c>
      <c r="F50" s="36" t="s">
        <v>862</v>
      </c>
      <c r="G50" s="3" t="s">
        <v>199</v>
      </c>
      <c r="H50" s="40">
        <f>(122.96+1.24)/124.74</f>
        <v>0.9956709956709956</v>
      </c>
      <c r="L50" s="42">
        <v>3</v>
      </c>
      <c r="M50" s="39" t="s">
        <v>863</v>
      </c>
      <c r="N50" s="39"/>
      <c r="O50" s="39"/>
      <c r="P50" s="39" t="s">
        <v>864</v>
      </c>
      <c r="Q50" s="39" t="s">
        <v>865</v>
      </c>
      <c r="R50" s="39" t="s">
        <v>866</v>
      </c>
      <c r="T50" s="39" t="s">
        <v>203</v>
      </c>
      <c r="U50" s="40">
        <f>0.45346+0.4638*0.54654</f>
        <v>0.70694525199999991</v>
      </c>
      <c r="X50" s="8">
        <f t="shared" si="25"/>
        <v>3</v>
      </c>
      <c r="Y50" s="1">
        <f t="shared" si="26"/>
        <v>9.1353853776103638E-2</v>
      </c>
      <c r="AC50" s="83">
        <v>98.62</v>
      </c>
      <c r="AD50" s="39" t="s">
        <v>866</v>
      </c>
      <c r="AG50" s="83">
        <v>112.2</v>
      </c>
      <c r="AH50" s="39" t="s">
        <v>866</v>
      </c>
      <c r="AK50" s="36">
        <v>86.06</v>
      </c>
      <c r="AL50" s="39" t="s">
        <v>867</v>
      </c>
      <c r="AN50" s="8">
        <f t="shared" si="27"/>
        <v>4</v>
      </c>
      <c r="AO50" s="1">
        <f t="shared" si="28"/>
        <v>-5.0681885710053262E-2</v>
      </c>
      <c r="AS50" s="83">
        <v>59.94</v>
      </c>
      <c r="AT50" s="39" t="s">
        <v>866</v>
      </c>
      <c r="AW50" s="83">
        <v>77.19</v>
      </c>
      <c r="AX50" s="39" t="s">
        <v>866</v>
      </c>
      <c r="BA50" s="4">
        <v>68.790000000000006</v>
      </c>
      <c r="BB50" s="39" t="s">
        <v>867</v>
      </c>
      <c r="BD50" s="2">
        <f t="shared" si="5"/>
        <v>4</v>
      </c>
      <c r="BE50" s="8">
        <f t="shared" si="61"/>
        <v>98.62</v>
      </c>
      <c r="BI50" s="83">
        <v>98.62</v>
      </c>
      <c r="BJ50" s="39" t="s">
        <v>867</v>
      </c>
      <c r="BL50" s="2">
        <f t="shared" si="7"/>
        <v>4</v>
      </c>
      <c r="BM50" s="8">
        <f t="shared" si="30"/>
        <v>59.94</v>
      </c>
      <c r="BQ50" s="83">
        <v>59.94</v>
      </c>
      <c r="BR50" s="39" t="s">
        <v>866</v>
      </c>
      <c r="BT50" s="8">
        <f t="shared" si="8"/>
        <v>2</v>
      </c>
      <c r="BU50" s="36">
        <v>36</v>
      </c>
      <c r="BY50" s="36">
        <v>36</v>
      </c>
      <c r="BZ50" s="36" t="s">
        <v>398</v>
      </c>
      <c r="CB50" s="39">
        <v>1</v>
      </c>
      <c r="CC50" s="39" t="str">
        <f>CF50</f>
        <v>一级</v>
      </c>
      <c r="CD50" s="39"/>
      <c r="CE50" s="39"/>
      <c r="CF50" s="39" t="s">
        <v>132</v>
      </c>
      <c r="CG50" s="39" t="s">
        <v>868</v>
      </c>
      <c r="CH50" s="39" t="s">
        <v>869</v>
      </c>
      <c r="CJ50" s="8">
        <f t="shared" si="32"/>
        <v>2</v>
      </c>
      <c r="CK50" s="12">
        <f t="shared" si="33"/>
        <v>0.10348331664998332</v>
      </c>
      <c r="CO50" s="38">
        <f>6.82*90.95%</f>
        <v>6.2027900000000002</v>
      </c>
      <c r="CP50" s="36" t="s">
        <v>869</v>
      </c>
      <c r="CQ50" s="39" t="s">
        <v>870</v>
      </c>
      <c r="CS50" s="83">
        <v>59.94</v>
      </c>
      <c r="CT50" s="36" t="s">
        <v>869</v>
      </c>
      <c r="CV50" s="8">
        <f t="shared" si="35"/>
        <v>0</v>
      </c>
      <c r="CW50" s="8" t="str">
        <f t="shared" si="36"/>
        <v>数据缺失</v>
      </c>
      <c r="DA50" s="35" t="s">
        <v>871</v>
      </c>
      <c r="DD50" s="3">
        <f>IF(DE50="数据缺失",0,IF(DE50&lt;0,0,IF(DE50&lt;2,3,IF(DE50&lt;=5,1,2))))</f>
        <v>0</v>
      </c>
      <c r="DE50" s="69" t="s">
        <v>871</v>
      </c>
      <c r="DI50" s="83">
        <v>59.94</v>
      </c>
      <c r="DJ50" s="36" t="s">
        <v>869</v>
      </c>
      <c r="DM50" s="39" t="s">
        <v>871</v>
      </c>
      <c r="DP50" s="36">
        <v>4</v>
      </c>
      <c r="DQ50" s="36" t="s">
        <v>872</v>
      </c>
      <c r="DR50" s="39" t="s">
        <v>869</v>
      </c>
      <c r="DU50" s="117" t="s">
        <v>871</v>
      </c>
      <c r="DY50" s="117" t="s">
        <v>871</v>
      </c>
      <c r="EC50" s="117" t="s">
        <v>871</v>
      </c>
      <c r="EG50" s="117" t="s">
        <v>871</v>
      </c>
      <c r="EJ50" s="2">
        <f t="shared" si="41"/>
        <v>0</v>
      </c>
      <c r="EK50" s="8" t="str">
        <f t="shared" si="42"/>
        <v>数据缺失</v>
      </c>
      <c r="EL50" s="39"/>
      <c r="EM50" s="39"/>
      <c r="EN50" s="39"/>
      <c r="EO50" s="39" t="s">
        <v>871</v>
      </c>
      <c r="ER50" s="8">
        <f t="shared" si="43"/>
        <v>1</v>
      </c>
      <c r="ES50" s="6">
        <f t="shared" si="62"/>
        <v>101.07</v>
      </c>
      <c r="EW50" s="83">
        <v>101.07</v>
      </c>
      <c r="EX50" s="39" t="s">
        <v>869</v>
      </c>
      <c r="EZ50" s="8">
        <f t="shared" si="44"/>
        <v>1</v>
      </c>
      <c r="FA50" s="8">
        <f t="shared" si="45"/>
        <v>309</v>
      </c>
      <c r="FB50" s="39"/>
      <c r="FC50" s="39"/>
      <c r="FD50" s="39"/>
      <c r="FE50" s="39">
        <v>309</v>
      </c>
      <c r="FF50" s="39" t="s">
        <v>869</v>
      </c>
      <c r="FH50" s="36">
        <v>4</v>
      </c>
      <c r="FI50" s="36" t="s">
        <v>873</v>
      </c>
      <c r="FJ50" s="39" t="s">
        <v>869</v>
      </c>
      <c r="FM50" s="39" t="s">
        <v>871</v>
      </c>
      <c r="FN50" s="39"/>
      <c r="FO50" s="39"/>
      <c r="FP50" s="39"/>
      <c r="FQ50" s="39" t="s">
        <v>871</v>
      </c>
      <c r="FR50" s="39"/>
      <c r="FS50" s="39"/>
      <c r="FT50" s="39"/>
      <c r="FU50" s="39" t="s">
        <v>871</v>
      </c>
      <c r="FV50" s="39"/>
      <c r="FW50" s="39"/>
      <c r="FX50" s="39"/>
      <c r="FY50" s="39" t="s">
        <v>871</v>
      </c>
      <c r="GB50" s="39">
        <v>2</v>
      </c>
      <c r="GC50" s="39" t="s">
        <v>874</v>
      </c>
      <c r="GG50" s="39" t="s">
        <v>874</v>
      </c>
      <c r="GH50" s="39" t="s">
        <v>869</v>
      </c>
      <c r="GJ50" s="8">
        <f t="shared" si="46"/>
        <v>4</v>
      </c>
      <c r="GK50" s="1">
        <f t="shared" si="47"/>
        <v>9.9406766073432736E-3</v>
      </c>
      <c r="GN50" s="36">
        <v>1.24</v>
      </c>
      <c r="GO50" s="36" t="s">
        <v>875</v>
      </c>
      <c r="GP50" s="36" t="s">
        <v>869</v>
      </c>
      <c r="GS50" s="36">
        <v>124.74</v>
      </c>
      <c r="GT50" s="36" t="s">
        <v>876</v>
      </c>
      <c r="GV50" s="8">
        <f t="shared" si="48"/>
        <v>2</v>
      </c>
      <c r="GW50" s="1">
        <f t="shared" si="49"/>
        <v>0.32480710284325126</v>
      </c>
      <c r="HA50" s="36">
        <v>122.92</v>
      </c>
      <c r="HB50" s="36" t="s">
        <v>877</v>
      </c>
      <c r="HE50" s="36">
        <v>378.44</v>
      </c>
      <c r="HF50" s="36" t="s">
        <v>876</v>
      </c>
      <c r="HH50" s="39">
        <f>IF(HI50="数据缺失",0,IF(HI50&lt;20%,1,IF(HI50&lt;40%,2,IF(HI50&lt;60%,3,IF(HI50&lt;80%,4,IF(HI50&lt;=100%,5,0))))))</f>
        <v>1</v>
      </c>
      <c r="HI50" s="1">
        <f t="shared" si="51"/>
        <v>3.1795552223142287E-2</v>
      </c>
      <c r="HJ50" s="39"/>
      <c r="HK50" s="39"/>
      <c r="HL50" s="39"/>
      <c r="HM50" s="39">
        <v>0.34</v>
      </c>
      <c r="HN50" s="39" t="s">
        <v>877</v>
      </c>
      <c r="HQ50" s="78">
        <v>10.693319544</v>
      </c>
      <c r="HR50" s="36" t="s">
        <v>876</v>
      </c>
      <c r="HT50" s="8">
        <f t="shared" si="52"/>
        <v>4</v>
      </c>
      <c r="HU50" s="10">
        <f t="shared" si="53"/>
        <v>0</v>
      </c>
      <c r="HV50" s="39"/>
      <c r="HW50" s="39"/>
      <c r="HX50" s="39"/>
      <c r="HY50" s="39">
        <v>0</v>
      </c>
      <c r="HZ50" s="39" t="s">
        <v>877</v>
      </c>
      <c r="IC50" s="6">
        <v>92.05</v>
      </c>
      <c r="ID50" s="36" t="s">
        <v>876</v>
      </c>
      <c r="IR50" s="3">
        <f>IF(IS50="数据缺失",0,IF(IS50&lt;0%,0,IF(IS50&lt;=100%,4,IF(IS50&lt;200%,3,IF(IS50&lt;300%,2,1)))))</f>
        <v>1</v>
      </c>
      <c r="IS50" s="1">
        <f t="shared" si="55"/>
        <v>3.0599372889532077</v>
      </c>
      <c r="IW50" s="7">
        <v>253.73</v>
      </c>
      <c r="IX50" s="36" t="s">
        <v>869</v>
      </c>
      <c r="JA50" s="83">
        <v>82.92</v>
      </c>
      <c r="JB50" s="36" t="s">
        <v>876</v>
      </c>
      <c r="JD50" s="36">
        <f>IF(JE50="数据缺失",0,IF(JE50&lt;0%,0,IF(JE50&lt;4%,1,IF(JE50&lt;6%,2,IF(JE50&lt;8%,3,4)))))</f>
        <v>4</v>
      </c>
      <c r="JE50" s="5">
        <f>JI50/JM50/(JQ50+JU50)*2</f>
        <v>8.6092205136823238E-2</v>
      </c>
      <c r="JI50" s="83">
        <v>24.59</v>
      </c>
      <c r="JJ50" s="36" t="s">
        <v>869</v>
      </c>
      <c r="JM50" s="83">
        <v>2.4</v>
      </c>
      <c r="JN50" s="36" t="s">
        <v>869</v>
      </c>
      <c r="JQ50" s="83">
        <v>142.16999999999999</v>
      </c>
      <c r="JR50" s="36" t="s">
        <v>869</v>
      </c>
      <c r="JU50" s="36">
        <v>95.85</v>
      </c>
      <c r="JV50" s="36" t="s">
        <v>869</v>
      </c>
      <c r="JX50" s="36">
        <v>2</v>
      </c>
      <c r="JY50" s="36" t="s">
        <v>878</v>
      </c>
      <c r="KB50" s="36">
        <v>10</v>
      </c>
      <c r="KC50" s="36" t="s">
        <v>878</v>
      </c>
      <c r="KD50" s="36" t="s">
        <v>869</v>
      </c>
      <c r="KF50" s="8">
        <f t="shared" si="58"/>
        <v>3</v>
      </c>
      <c r="KG50" s="1">
        <f t="shared" si="59"/>
        <v>0.7134587554269175</v>
      </c>
      <c r="KH50" s="39"/>
      <c r="KI50" s="39"/>
      <c r="KJ50" s="39"/>
      <c r="KK50" s="39">
        <v>59.16</v>
      </c>
      <c r="KL50" s="36" t="s">
        <v>877</v>
      </c>
      <c r="KM50" s="36" t="s">
        <v>879</v>
      </c>
      <c r="KO50" s="83">
        <v>82.92</v>
      </c>
      <c r="KP50" s="36" t="s">
        <v>876</v>
      </c>
    </row>
    <row r="51" spans="2:302" s="81" customFormat="1" ht="16.5" hidden="1" customHeight="1" x14ac:dyDescent="0.35">
      <c r="B51" s="39" t="s">
        <v>880</v>
      </c>
      <c r="C51" s="36" t="s">
        <v>859</v>
      </c>
      <c r="D51" s="36" t="s">
        <v>881</v>
      </c>
      <c r="E51" s="36" t="s">
        <v>882</v>
      </c>
      <c r="F51" s="36" t="s">
        <v>883</v>
      </c>
      <c r="G51" s="3" t="s">
        <v>199</v>
      </c>
      <c r="H51" s="41">
        <v>1</v>
      </c>
      <c r="L51" s="42">
        <v>3</v>
      </c>
      <c r="M51" s="39" t="s">
        <v>884</v>
      </c>
      <c r="N51" s="39"/>
      <c r="O51" s="39"/>
      <c r="P51" s="39" t="s">
        <v>603</v>
      </c>
      <c r="Q51" s="39" t="s">
        <v>885</v>
      </c>
      <c r="R51" s="36" t="s">
        <v>886</v>
      </c>
      <c r="T51" s="39" t="s">
        <v>203</v>
      </c>
      <c r="U51" s="40">
        <v>0.61719999999999997</v>
      </c>
      <c r="X51" s="8">
        <f t="shared" si="25"/>
        <v>0</v>
      </c>
      <c r="Y51" s="39" t="s">
        <v>871</v>
      </c>
      <c r="Z51" s="39"/>
      <c r="AA51" s="39"/>
      <c r="AB51" s="39"/>
      <c r="AC51" s="39">
        <v>18.16</v>
      </c>
      <c r="AD51" s="39" t="s">
        <v>888</v>
      </c>
      <c r="AE51" s="39"/>
      <c r="AF51" s="39"/>
      <c r="AG51" s="39" t="s">
        <v>887</v>
      </c>
      <c r="AH51" s="39"/>
      <c r="AI51" s="39"/>
      <c r="AJ51" s="39"/>
      <c r="AK51" s="39" t="s">
        <v>889</v>
      </c>
      <c r="AN51" s="8">
        <f t="shared" si="27"/>
        <v>4</v>
      </c>
      <c r="AO51" s="1">
        <f t="shared" si="28"/>
        <v>-1.2053571428571497E-2</v>
      </c>
      <c r="AS51" s="39">
        <v>8.51</v>
      </c>
      <c r="AT51" s="39" t="s">
        <v>886</v>
      </c>
      <c r="AW51" s="83">
        <v>7.4</v>
      </c>
      <c r="AX51" s="36" t="s">
        <v>890</v>
      </c>
      <c r="AY51" s="36"/>
      <c r="AZ51" s="36"/>
      <c r="BA51" s="4">
        <v>8.9600000000000009</v>
      </c>
      <c r="BB51" s="36" t="s">
        <v>890</v>
      </c>
      <c r="BD51" s="2">
        <f t="shared" si="5"/>
        <v>5</v>
      </c>
      <c r="BE51" s="8">
        <f t="shared" si="61"/>
        <v>18.16</v>
      </c>
      <c r="BF51" s="39"/>
      <c r="BG51" s="39"/>
      <c r="BH51" s="39"/>
      <c r="BI51" s="39">
        <f>AC51</f>
        <v>18.16</v>
      </c>
      <c r="BJ51" s="39" t="s">
        <v>891</v>
      </c>
      <c r="BL51" s="2">
        <f t="shared" si="7"/>
        <v>5</v>
      </c>
      <c r="BM51" s="8">
        <f t="shared" si="30"/>
        <v>8.51</v>
      </c>
      <c r="BN51" s="39"/>
      <c r="BO51" s="39"/>
      <c r="BP51" s="39"/>
      <c r="BQ51" s="39">
        <f>AS51</f>
        <v>8.51</v>
      </c>
      <c r="BR51" s="39" t="s">
        <v>888</v>
      </c>
      <c r="BT51" s="8">
        <f t="shared" si="8"/>
        <v>4</v>
      </c>
      <c r="BU51" s="36">
        <v>322</v>
      </c>
      <c r="BV51" s="36"/>
      <c r="BW51" s="36"/>
      <c r="BX51" s="36"/>
      <c r="BY51" s="36">
        <v>322</v>
      </c>
      <c r="BZ51" s="36" t="s">
        <v>398</v>
      </c>
      <c r="CA51" s="36"/>
      <c r="CB51" s="36">
        <v>1</v>
      </c>
      <c r="CC51" s="36" t="s">
        <v>892</v>
      </c>
      <c r="CD51" s="36"/>
      <c r="CE51" s="36"/>
      <c r="CF51" s="36" t="s">
        <v>893</v>
      </c>
      <c r="CG51" s="36" t="s">
        <v>894</v>
      </c>
      <c r="CH51" s="47" t="s">
        <v>895</v>
      </c>
      <c r="CJ51" s="8">
        <f t="shared" si="32"/>
        <v>0</v>
      </c>
      <c r="CK51" s="39" t="s">
        <v>1147</v>
      </c>
      <c r="CL51" s="39"/>
      <c r="CM51" s="39"/>
      <c r="CN51" s="39"/>
      <c r="CO51" s="39" t="s">
        <v>887</v>
      </c>
      <c r="CP51" s="39"/>
      <c r="CQ51" s="39"/>
      <c r="CR51" s="39"/>
      <c r="CS51" s="39">
        <f>AC51</f>
        <v>18.16</v>
      </c>
      <c r="CT51" s="39" t="s">
        <v>888</v>
      </c>
      <c r="CV51" s="8">
        <f t="shared" si="35"/>
        <v>5</v>
      </c>
      <c r="CW51" s="8">
        <f t="shared" si="36"/>
        <v>61.72</v>
      </c>
      <c r="DA51" s="36">
        <v>61.72</v>
      </c>
      <c r="DB51" s="36" t="s">
        <v>888</v>
      </c>
      <c r="DD51" s="3">
        <f>IF(DE51="数据缺失",0,IF(DE51&lt;0,0,IF(DE51&lt;2,3,IF(DE51&lt;=5,1,2))))</f>
        <v>2</v>
      </c>
      <c r="DE51" s="15">
        <f t="shared" si="38"/>
        <v>7.2526439482961225</v>
      </c>
      <c r="DI51" s="39">
        <f>AS51</f>
        <v>8.51</v>
      </c>
      <c r="DJ51" s="39" t="s">
        <v>888</v>
      </c>
      <c r="DM51" s="36">
        <v>61.72</v>
      </c>
      <c r="DN51" s="36" t="s">
        <v>888</v>
      </c>
      <c r="DP51" s="36">
        <v>4</v>
      </c>
      <c r="DQ51" s="36" t="s">
        <v>896</v>
      </c>
      <c r="DR51" s="36"/>
      <c r="DS51" s="36"/>
      <c r="DT51" s="36"/>
      <c r="DU51" s="117">
        <v>0</v>
      </c>
      <c r="DV51" s="36" t="s">
        <v>888</v>
      </c>
      <c r="DW51" s="36"/>
      <c r="DX51" s="36"/>
      <c r="DY51" s="41">
        <v>0.2495</v>
      </c>
      <c r="DZ51" s="36" t="s">
        <v>886</v>
      </c>
      <c r="EA51" s="36"/>
      <c r="EB51" s="36"/>
      <c r="EC51" s="41">
        <v>0.75049999999999994</v>
      </c>
      <c r="ED51" s="36" t="s">
        <v>886</v>
      </c>
      <c r="EE51" s="36"/>
      <c r="EF51" s="36"/>
      <c r="EG51" s="41">
        <v>0</v>
      </c>
      <c r="EH51" s="36" t="s">
        <v>886</v>
      </c>
      <c r="EJ51" s="2">
        <f t="shared" si="41"/>
        <v>0</v>
      </c>
      <c r="EK51" s="8" t="str">
        <f t="shared" si="42"/>
        <v>数据缺失</v>
      </c>
      <c r="EL51" s="39"/>
      <c r="EM51" s="39"/>
      <c r="EN51" s="39"/>
      <c r="EO51" s="39" t="s">
        <v>887</v>
      </c>
      <c r="ER51" s="8">
        <f t="shared" si="43"/>
        <v>3</v>
      </c>
      <c r="ES51" s="6">
        <f t="shared" si="62"/>
        <v>22.7</v>
      </c>
      <c r="ET51" s="39"/>
      <c r="EU51" s="39"/>
      <c r="EV51" s="39"/>
      <c r="EW51" s="39">
        <v>22.7</v>
      </c>
      <c r="EX51" s="39" t="s">
        <v>888</v>
      </c>
      <c r="EZ51" s="8">
        <f t="shared" si="44"/>
        <v>3</v>
      </c>
      <c r="FA51" s="8">
        <f t="shared" si="45"/>
        <v>71.55</v>
      </c>
      <c r="FB51" s="36"/>
      <c r="FC51" s="36"/>
      <c r="FD51" s="36"/>
      <c r="FE51" s="7">
        <v>71.55</v>
      </c>
      <c r="FF51" s="36" t="s">
        <v>888</v>
      </c>
      <c r="FH51" s="81">
        <v>4</v>
      </c>
      <c r="FI51" s="39" t="s">
        <v>897</v>
      </c>
      <c r="FM51" s="3">
        <v>0</v>
      </c>
      <c r="FN51" s="36" t="s">
        <v>888</v>
      </c>
      <c r="FO51" s="36"/>
      <c r="FP51" s="36"/>
      <c r="FQ51" s="41">
        <v>0.41649999999999998</v>
      </c>
      <c r="FR51" s="36" t="s">
        <v>888</v>
      </c>
      <c r="FS51" s="36"/>
      <c r="FT51" s="36"/>
      <c r="FU51" s="41">
        <v>0.58350000000000002</v>
      </c>
      <c r="FV51" s="36" t="s">
        <v>888</v>
      </c>
      <c r="FY51" s="36">
        <v>0</v>
      </c>
      <c r="FZ51" s="36" t="s">
        <v>888</v>
      </c>
      <c r="GB51" s="39">
        <v>2</v>
      </c>
      <c r="GC51" s="39" t="s">
        <v>898</v>
      </c>
      <c r="GD51" s="39"/>
      <c r="GE51" s="39"/>
      <c r="GF51" s="39"/>
      <c r="GG51" s="39" t="s">
        <v>899</v>
      </c>
      <c r="GH51" s="39" t="s">
        <v>900</v>
      </c>
      <c r="GJ51" s="8">
        <f t="shared" si="46"/>
        <v>4</v>
      </c>
      <c r="GK51" s="1">
        <f t="shared" si="47"/>
        <v>7.1077091306724991E-3</v>
      </c>
      <c r="GN51" s="36">
        <v>0.13</v>
      </c>
      <c r="GO51" s="36" t="s">
        <v>901</v>
      </c>
      <c r="GP51" s="39" t="s">
        <v>900</v>
      </c>
      <c r="GS51" s="36">
        <v>18.29</v>
      </c>
      <c r="GT51" s="36" t="s">
        <v>902</v>
      </c>
      <c r="GV51" s="8">
        <f t="shared" si="48"/>
        <v>2</v>
      </c>
      <c r="GW51" s="1">
        <f t="shared" si="49"/>
        <v>0.29930119625725449</v>
      </c>
      <c r="GX51" s="39"/>
      <c r="GY51" s="39"/>
      <c r="GZ51" s="39"/>
      <c r="HA51" s="39">
        <v>25.27</v>
      </c>
      <c r="HB51" s="39" t="s">
        <v>900</v>
      </c>
      <c r="HE51" s="36">
        <v>84.43</v>
      </c>
      <c r="HF51" s="36" t="s">
        <v>902</v>
      </c>
      <c r="HH51" s="39">
        <f>IF(HI51="数据缺失",0,IF(HI51&lt;20%,1,IF(HI51&lt;40%,2,IF(HI51&lt;60%,3,IF(HI51&lt;80%,4,IF(HI51&lt;=100%,5,0))))))</f>
        <v>1</v>
      </c>
      <c r="HI51" s="1">
        <f t="shared" si="51"/>
        <v>7.9255833326849958E-3</v>
      </c>
      <c r="HJ51" s="39"/>
      <c r="HK51" s="39"/>
      <c r="HL51" s="39"/>
      <c r="HM51" s="39">
        <v>0.11</v>
      </c>
      <c r="HN51" s="39" t="s">
        <v>900</v>
      </c>
      <c r="HO51" s="39"/>
      <c r="HP51" s="39"/>
      <c r="HQ51" s="78">
        <v>13.879104588599999</v>
      </c>
      <c r="HR51" s="36" t="s">
        <v>902</v>
      </c>
      <c r="HT51" s="8">
        <f t="shared" si="52"/>
        <v>4</v>
      </c>
      <c r="HU51" s="10">
        <f t="shared" si="53"/>
        <v>0</v>
      </c>
      <c r="HV51" s="39"/>
      <c r="HW51" s="39"/>
      <c r="HX51" s="39"/>
      <c r="HY51" s="39">
        <v>0</v>
      </c>
      <c r="HZ51" s="39" t="s">
        <v>900</v>
      </c>
      <c r="IC51" s="6">
        <v>8.9600000000000009</v>
      </c>
      <c r="ID51" s="36" t="s">
        <v>902</v>
      </c>
      <c r="IR51" s="42">
        <f>IF(IS51="数据缺失",0,IF(IS51&lt;0%,0,IF(IS51&lt;=100%,4,IF(IS51&lt;200%,3,IF(IS51&lt;300%,2,1)))))</f>
        <v>4</v>
      </c>
      <c r="IS51" s="1">
        <f t="shared" si="55"/>
        <v>0</v>
      </c>
      <c r="IW51" s="7">
        <v>0</v>
      </c>
      <c r="IX51" s="36" t="s">
        <v>888</v>
      </c>
      <c r="JA51" s="83">
        <v>24.08</v>
      </c>
      <c r="JB51" s="36" t="s">
        <v>902</v>
      </c>
      <c r="JD51" s="36">
        <f>IF(JE51="数据缺失",0,IF(JE51&lt;0%,0,IF(JE51&lt;4%,1,IF(JE51&lt;6%,2,IF(JE51&lt;8%,3,4)))))</f>
        <v>4</v>
      </c>
      <c r="JE51" s="5">
        <f>JI51/JM51/(JQ51+JU51)*2</f>
        <v>0.12283685834919041</v>
      </c>
      <c r="JF51" s="36"/>
      <c r="JG51" s="36"/>
      <c r="JH51" s="36"/>
      <c r="JI51" s="83">
        <v>4.38</v>
      </c>
      <c r="JJ51" s="36" t="s">
        <v>867</v>
      </c>
      <c r="JK51" s="36"/>
      <c r="JL51" s="36"/>
      <c r="JM51" s="83">
        <v>1.43</v>
      </c>
      <c r="JN51" s="36" t="s">
        <v>888</v>
      </c>
      <c r="JO51" s="36"/>
      <c r="JP51" s="36"/>
      <c r="JQ51" s="83">
        <v>27.5</v>
      </c>
      <c r="JR51" s="36" t="s">
        <v>888</v>
      </c>
      <c r="JS51" s="36"/>
      <c r="JT51" s="36"/>
      <c r="JU51" s="36">
        <v>22.37</v>
      </c>
      <c r="JV51" s="36" t="s">
        <v>888</v>
      </c>
      <c r="JX51" s="36">
        <v>2</v>
      </c>
      <c r="JY51" s="36" t="s">
        <v>903</v>
      </c>
      <c r="JZ51" s="36"/>
      <c r="KA51" s="36"/>
      <c r="KB51" s="36">
        <v>5</v>
      </c>
      <c r="KC51" s="36" t="s">
        <v>903</v>
      </c>
      <c r="KD51" s="36" t="s">
        <v>888</v>
      </c>
      <c r="KF51" s="8">
        <f t="shared" si="58"/>
        <v>1</v>
      </c>
      <c r="KG51" s="101">
        <f t="shared" si="59"/>
        <v>2.6578073089701001E-2</v>
      </c>
      <c r="KK51" s="3">
        <v>0.64</v>
      </c>
      <c r="KL51" s="39" t="s">
        <v>900</v>
      </c>
      <c r="KM51" s="36" t="s">
        <v>904</v>
      </c>
      <c r="KO51" s="83">
        <v>24.08</v>
      </c>
      <c r="KP51" s="36" t="s">
        <v>902</v>
      </c>
    </row>
    <row r="52" spans="2:302" s="39" customFormat="1" ht="16.5" hidden="1" customHeight="1" x14ac:dyDescent="0.35">
      <c r="B52" s="39" t="s">
        <v>905</v>
      </c>
      <c r="C52" s="36" t="s">
        <v>906</v>
      </c>
      <c r="D52" s="39" t="s">
        <v>907</v>
      </c>
      <c r="E52" s="39" t="s">
        <v>908</v>
      </c>
      <c r="F52" s="36" t="s">
        <v>909</v>
      </c>
      <c r="G52" s="3" t="s">
        <v>174</v>
      </c>
      <c r="H52" s="40">
        <v>0.95374000000000003</v>
      </c>
      <c r="L52" s="42">
        <v>3</v>
      </c>
      <c r="M52" s="39" t="s">
        <v>910</v>
      </c>
      <c r="P52" s="39" t="s">
        <v>603</v>
      </c>
      <c r="Q52" s="39" t="s">
        <v>911</v>
      </c>
      <c r="R52" s="39" t="s">
        <v>912</v>
      </c>
      <c r="T52" s="39" t="s">
        <v>203</v>
      </c>
      <c r="U52" s="40">
        <v>0.52930999999999995</v>
      </c>
      <c r="X52" s="8">
        <f t="shared" si="25"/>
        <v>2</v>
      </c>
      <c r="Y52" s="1">
        <f t="shared" si="26"/>
        <v>0.24314439056058484</v>
      </c>
      <c r="AC52" s="39">
        <v>34.56</v>
      </c>
      <c r="AD52" s="39" t="s">
        <v>912</v>
      </c>
      <c r="AG52" s="39">
        <v>32.44</v>
      </c>
      <c r="AH52" s="39" t="s">
        <v>912</v>
      </c>
      <c r="AK52" s="39">
        <v>22.83</v>
      </c>
      <c r="AL52" s="39" t="s">
        <v>912</v>
      </c>
      <c r="AN52" s="8">
        <f t="shared" si="27"/>
        <v>2</v>
      </c>
      <c r="AO52" s="1">
        <f t="shared" si="28"/>
        <v>0.22636227231496886</v>
      </c>
      <c r="AS52" s="39">
        <v>50.97</v>
      </c>
      <c r="AT52" s="39" t="s">
        <v>912</v>
      </c>
      <c r="AW52" s="39">
        <v>48.62</v>
      </c>
      <c r="AX52" s="39" t="s">
        <v>912</v>
      </c>
      <c r="BA52" s="39">
        <v>34.619999999999997</v>
      </c>
      <c r="BB52" s="39" t="s">
        <v>912</v>
      </c>
      <c r="BD52" s="2">
        <f t="shared" si="5"/>
        <v>5</v>
      </c>
      <c r="BE52" s="8">
        <f t="shared" si="61"/>
        <v>34.56</v>
      </c>
      <c r="BI52" s="39">
        <v>34.56</v>
      </c>
      <c r="BJ52" s="39" t="s">
        <v>912</v>
      </c>
      <c r="BL52" s="2">
        <f t="shared" si="7"/>
        <v>4</v>
      </c>
      <c r="BM52" s="8">
        <f t="shared" si="30"/>
        <v>50.97</v>
      </c>
      <c r="BQ52" s="39">
        <v>50.97</v>
      </c>
      <c r="BR52" s="39" t="s">
        <v>912</v>
      </c>
      <c r="BT52" s="8">
        <f t="shared" si="8"/>
        <v>4</v>
      </c>
      <c r="BU52" s="36">
        <v>356</v>
      </c>
      <c r="BV52" s="36"/>
      <c r="BW52" s="36"/>
      <c r="BX52" s="36"/>
      <c r="BY52" s="36">
        <v>356</v>
      </c>
      <c r="BZ52" s="36" t="s">
        <v>234</v>
      </c>
      <c r="CA52" s="36" t="s">
        <v>913</v>
      </c>
      <c r="CB52" s="39">
        <v>2</v>
      </c>
      <c r="CC52" s="39" t="s">
        <v>914</v>
      </c>
      <c r="CF52" s="39" t="s">
        <v>914</v>
      </c>
      <c r="CG52" s="39" t="s">
        <v>915</v>
      </c>
      <c r="CH52" s="39" t="s">
        <v>916</v>
      </c>
      <c r="CI52" s="39" t="s">
        <v>917</v>
      </c>
      <c r="CJ52" s="8">
        <f t="shared" si="32"/>
        <v>2</v>
      </c>
      <c r="CK52" s="12">
        <f t="shared" si="33"/>
        <v>3.9641203703703706E-2</v>
      </c>
      <c r="CO52" s="39">
        <v>1.37</v>
      </c>
      <c r="CP52" s="39" t="s">
        <v>912</v>
      </c>
      <c r="CS52" s="39">
        <v>34.56</v>
      </c>
      <c r="CT52" s="39" t="s">
        <v>912</v>
      </c>
      <c r="CV52" s="8">
        <f t="shared" si="35"/>
        <v>4</v>
      </c>
      <c r="CW52" s="8">
        <f t="shared" si="36"/>
        <v>204.04</v>
      </c>
      <c r="DA52" s="39">
        <v>204.04</v>
      </c>
      <c r="DB52" s="39" t="s">
        <v>912</v>
      </c>
      <c r="DD52" s="42">
        <v>1</v>
      </c>
      <c r="DE52" s="15">
        <f t="shared" si="38"/>
        <v>4.0031391014322146</v>
      </c>
      <c r="DI52" s="39">
        <v>50.97</v>
      </c>
      <c r="DJ52" s="39" t="s">
        <v>912</v>
      </c>
      <c r="DM52" s="39">
        <v>204.04</v>
      </c>
      <c r="DN52" s="39" t="s">
        <v>912</v>
      </c>
      <c r="DP52" s="36">
        <v>3</v>
      </c>
      <c r="DQ52" s="36" t="s">
        <v>918</v>
      </c>
      <c r="DR52" s="36"/>
      <c r="DS52" s="36"/>
      <c r="DT52" s="36"/>
      <c r="DU52" s="41">
        <v>0</v>
      </c>
      <c r="DV52" s="39" t="s">
        <v>912</v>
      </c>
      <c r="DW52" s="36"/>
      <c r="DX52" s="36"/>
      <c r="DY52" s="41">
        <v>0.77229999999999999</v>
      </c>
      <c r="DZ52" s="36" t="s">
        <v>912</v>
      </c>
      <c r="EA52" s="36"/>
      <c r="EB52" s="36"/>
      <c r="EC52" s="41">
        <v>0.12989999999999999</v>
      </c>
      <c r="ED52" s="36" t="s">
        <v>912</v>
      </c>
      <c r="EE52" s="36"/>
      <c r="EF52" s="36"/>
      <c r="EG52" s="41">
        <v>9.7799999999999998E-2</v>
      </c>
      <c r="EH52" s="36" t="s">
        <v>912</v>
      </c>
      <c r="EJ52" s="2">
        <f t="shared" si="41"/>
        <v>2</v>
      </c>
      <c r="EK52" s="8">
        <f t="shared" si="42"/>
        <v>66.849999999999994</v>
      </c>
      <c r="EO52" s="39">
        <v>66.849999999999994</v>
      </c>
      <c r="EP52" s="39" t="s">
        <v>912</v>
      </c>
      <c r="ER52" s="8">
        <f t="shared" si="43"/>
        <v>2</v>
      </c>
      <c r="ES52" s="6">
        <f t="shared" si="62"/>
        <v>56.89</v>
      </c>
      <c r="EW52" s="39">
        <v>56.89</v>
      </c>
      <c r="EX52" s="39" t="s">
        <v>912</v>
      </c>
      <c r="EZ52" s="8">
        <f t="shared" si="44"/>
        <v>1</v>
      </c>
      <c r="FA52" s="8">
        <f t="shared" si="45"/>
        <v>534.63</v>
      </c>
      <c r="FE52" s="39">
        <v>534.63</v>
      </c>
      <c r="FF52" s="39" t="s">
        <v>912</v>
      </c>
      <c r="FH52" s="39">
        <v>3</v>
      </c>
      <c r="FI52" s="39" t="s">
        <v>919</v>
      </c>
      <c r="FM52" s="39" t="s">
        <v>871</v>
      </c>
      <c r="FQ52" s="39" t="s">
        <v>871</v>
      </c>
      <c r="FU52" s="39" t="s">
        <v>871</v>
      </c>
      <c r="FY52" s="39" t="s">
        <v>871</v>
      </c>
      <c r="GB52" s="36">
        <v>2</v>
      </c>
      <c r="GC52" s="36" t="s">
        <v>920</v>
      </c>
      <c r="GD52" s="36"/>
      <c r="GE52" s="36"/>
      <c r="GF52" s="36"/>
      <c r="GG52" s="36" t="s">
        <v>920</v>
      </c>
      <c r="GH52" s="39" t="s">
        <v>595</v>
      </c>
      <c r="GJ52" s="8">
        <f t="shared" si="46"/>
        <v>4</v>
      </c>
      <c r="GK52" s="1">
        <f t="shared" si="47"/>
        <v>0</v>
      </c>
      <c r="GL52" s="36"/>
      <c r="GM52" s="36"/>
      <c r="GN52" s="36">
        <v>0</v>
      </c>
      <c r="GO52" s="36" t="s">
        <v>921</v>
      </c>
      <c r="GP52" s="39" t="s">
        <v>922</v>
      </c>
      <c r="GS52" s="69">
        <v>29.29507607</v>
      </c>
      <c r="GT52" s="39" t="s">
        <v>876</v>
      </c>
      <c r="GV52" s="8">
        <f t="shared" si="48"/>
        <v>2</v>
      </c>
      <c r="GW52" s="1">
        <f t="shared" si="49"/>
        <v>0.22126147331163179</v>
      </c>
      <c r="HA52" s="69">
        <v>24.724786999999999</v>
      </c>
      <c r="HB52" s="39" t="s">
        <v>595</v>
      </c>
      <c r="HE52" s="69">
        <v>111.74465499999999</v>
      </c>
      <c r="HF52" s="39" t="s">
        <v>595</v>
      </c>
      <c r="HH52" s="39">
        <v>1</v>
      </c>
      <c r="HI52" s="1">
        <f t="shared" si="51"/>
        <v>9.6935042400215655E-3</v>
      </c>
      <c r="HM52" s="69">
        <v>0.23385300000000001</v>
      </c>
      <c r="HN52" s="39" t="s">
        <v>595</v>
      </c>
      <c r="HQ52" s="69">
        <v>24.124712200000001</v>
      </c>
      <c r="HR52" s="39" t="s">
        <v>595</v>
      </c>
      <c r="HT52" s="8">
        <f t="shared" si="52"/>
        <v>4</v>
      </c>
      <c r="HU52" s="10">
        <f t="shared" si="53"/>
        <v>0</v>
      </c>
      <c r="HY52" s="39">
        <v>0</v>
      </c>
      <c r="HZ52" s="39" t="s">
        <v>595</v>
      </c>
      <c r="IC52" s="39">
        <v>14.23</v>
      </c>
      <c r="ID52" s="39" t="s">
        <v>876</v>
      </c>
      <c r="IR52" s="42">
        <v>4</v>
      </c>
      <c r="IS52" s="1">
        <f t="shared" si="55"/>
        <v>0.18572880206519363</v>
      </c>
      <c r="IW52" s="39">
        <v>6.5</v>
      </c>
      <c r="IX52" s="39" t="s">
        <v>595</v>
      </c>
      <c r="JA52" s="69">
        <v>34.997264440000002</v>
      </c>
      <c r="JB52" s="39" t="s">
        <v>876</v>
      </c>
      <c r="JD52" s="39">
        <v>4</v>
      </c>
      <c r="JE52" s="40">
        <f>JI52/JM52/(JQ52+JU52)*2</f>
        <v>8.0051440998186563E-2</v>
      </c>
      <c r="JI52" s="39">
        <v>5.54</v>
      </c>
      <c r="JJ52" s="39" t="s">
        <v>912</v>
      </c>
      <c r="JM52" s="39">
        <v>1.69</v>
      </c>
      <c r="JN52" s="39" t="s">
        <v>912</v>
      </c>
      <c r="JQ52" s="39">
        <v>38.619999999999997</v>
      </c>
      <c r="JR52" s="39" t="s">
        <v>912</v>
      </c>
      <c r="JS52" s="39" t="s">
        <v>471</v>
      </c>
      <c r="JU52" s="39">
        <v>43.28</v>
      </c>
      <c r="JV52" s="39" t="s">
        <v>912</v>
      </c>
      <c r="JW52" s="39" t="s">
        <v>471</v>
      </c>
      <c r="JX52" s="39">
        <v>2</v>
      </c>
      <c r="JY52" s="39" t="s">
        <v>155</v>
      </c>
      <c r="KB52" s="39">
        <v>2</v>
      </c>
      <c r="KC52" s="39" t="s">
        <v>155</v>
      </c>
      <c r="KD52" s="39" t="s">
        <v>595</v>
      </c>
      <c r="KF52" s="8">
        <f t="shared" si="58"/>
        <v>3</v>
      </c>
      <c r="KG52" s="1">
        <f t="shared" si="59"/>
        <v>0.78977601370491557</v>
      </c>
      <c r="KK52" s="39">
        <f>25.49+2.15</f>
        <v>27.639999999999997</v>
      </c>
      <c r="KL52" s="39" t="s">
        <v>595</v>
      </c>
      <c r="KO52" s="69">
        <v>34.997264440000002</v>
      </c>
      <c r="KP52" s="39" t="s">
        <v>876</v>
      </c>
    </row>
    <row r="53" spans="2:302" s="36" customFormat="1" ht="16.5" hidden="1" customHeight="1" x14ac:dyDescent="0.35">
      <c r="B53" s="36" t="s">
        <v>923</v>
      </c>
      <c r="C53" s="36" t="s">
        <v>924</v>
      </c>
      <c r="D53" s="36" t="s">
        <v>925</v>
      </c>
      <c r="E53" s="36" t="s">
        <v>908</v>
      </c>
      <c r="F53" s="36" t="s">
        <v>926</v>
      </c>
      <c r="G53" s="3" t="s">
        <v>174</v>
      </c>
      <c r="H53" s="41">
        <f>0.370685/6.7248261757</f>
        <v>5.5121870858084253E-2</v>
      </c>
      <c r="I53" s="36" t="s">
        <v>927</v>
      </c>
      <c r="J53" s="36" t="s">
        <v>928</v>
      </c>
      <c r="L53" s="85"/>
      <c r="U53" s="41"/>
      <c r="X53" s="8"/>
      <c r="Y53" s="1" t="e">
        <f t="shared" si="26"/>
        <v>#DIV/0!</v>
      </c>
      <c r="AC53" s="83"/>
      <c r="AG53" s="83"/>
      <c r="AK53" s="83"/>
      <c r="AN53" s="8"/>
      <c r="AO53" s="1"/>
      <c r="AS53" s="83"/>
      <c r="AW53" s="83"/>
      <c r="BA53" s="83"/>
      <c r="BD53" s="2">
        <f t="shared" si="5"/>
        <v>5</v>
      </c>
      <c r="BE53" s="8"/>
      <c r="BI53" s="83"/>
      <c r="BL53" s="2">
        <f t="shared" si="7"/>
        <v>5</v>
      </c>
      <c r="BM53" s="8"/>
      <c r="BQ53" s="83"/>
      <c r="BT53" s="8">
        <f t="shared" si="8"/>
        <v>1</v>
      </c>
      <c r="CJ53" s="8"/>
      <c r="CK53" s="12"/>
      <c r="CO53" s="83"/>
      <c r="CS53" s="83"/>
      <c r="CV53" s="8"/>
      <c r="CW53" s="8"/>
      <c r="DA53" s="83"/>
      <c r="DE53" s="15"/>
      <c r="DI53" s="83"/>
      <c r="DU53" s="41"/>
      <c r="DY53" s="41"/>
      <c r="EC53" s="41"/>
      <c r="EG53" s="41"/>
      <c r="EJ53" s="2"/>
      <c r="EK53" s="8">
        <f t="shared" si="42"/>
        <v>0</v>
      </c>
      <c r="EO53" s="83"/>
      <c r="ER53" s="8"/>
      <c r="ES53" s="6"/>
      <c r="EW53" s="83"/>
      <c r="EZ53" s="8"/>
      <c r="FA53" s="8"/>
      <c r="FE53" s="83"/>
      <c r="GJ53" s="8"/>
      <c r="GK53" s="1"/>
      <c r="GS53" s="38"/>
      <c r="GV53" s="8"/>
      <c r="GW53" s="1"/>
      <c r="HE53" s="38"/>
      <c r="HI53" s="1"/>
      <c r="HQ53" s="83"/>
      <c r="HT53" s="8"/>
      <c r="HU53" s="10"/>
      <c r="IR53" s="3"/>
      <c r="IS53" s="1"/>
      <c r="IW53" s="83"/>
      <c r="JA53" s="38"/>
      <c r="JE53" s="5"/>
      <c r="JM53" s="83"/>
      <c r="KD53" s="47"/>
      <c r="KF53" s="8"/>
      <c r="KG53" s="1"/>
    </row>
    <row r="54" spans="2:302" s="36" customFormat="1" ht="16.5" hidden="1" customHeight="1" x14ac:dyDescent="0.35">
      <c r="B54" s="36" t="s">
        <v>929</v>
      </c>
      <c r="C54" s="36" t="s">
        <v>930</v>
      </c>
      <c r="D54" s="36" t="s">
        <v>859</v>
      </c>
      <c r="E54" s="36" t="s">
        <v>931</v>
      </c>
      <c r="F54" s="36" t="s">
        <v>932</v>
      </c>
      <c r="G54" s="3" t="s">
        <v>174</v>
      </c>
      <c r="H54" s="41">
        <f>1007.55/2072.57</f>
        <v>0.48613557081304848</v>
      </c>
      <c r="J54" s="36" t="s">
        <v>933</v>
      </c>
      <c r="L54" s="3">
        <v>4</v>
      </c>
      <c r="M54" s="36" t="s">
        <v>934</v>
      </c>
      <c r="N54" s="36" t="s">
        <v>935</v>
      </c>
      <c r="P54" s="36" t="s">
        <v>936</v>
      </c>
      <c r="Q54" s="36" t="s">
        <v>936</v>
      </c>
      <c r="R54" s="36" t="s">
        <v>935</v>
      </c>
      <c r="T54" s="36" t="s">
        <v>936</v>
      </c>
      <c r="U54" s="36" t="s">
        <v>936</v>
      </c>
      <c r="X54" s="8">
        <f t="shared" si="25"/>
        <v>2</v>
      </c>
      <c r="Y54" s="1">
        <f t="shared" si="26"/>
        <v>0.22699101939505223</v>
      </c>
      <c r="AC54" s="36">
        <v>2301</v>
      </c>
      <c r="AD54" s="36" t="s">
        <v>935</v>
      </c>
      <c r="AG54" s="36">
        <v>2407.88</v>
      </c>
      <c r="AH54" s="36" t="s">
        <v>937</v>
      </c>
      <c r="AK54" s="36">
        <v>1607</v>
      </c>
      <c r="AL54" s="36" t="s">
        <v>937</v>
      </c>
      <c r="AN54" s="8">
        <f t="shared" si="27"/>
        <v>2</v>
      </c>
      <c r="AO54" s="1">
        <f t="shared" si="28"/>
        <v>0.16341500542366091</v>
      </c>
      <c r="AS54" s="36">
        <v>2175.6999999999998</v>
      </c>
      <c r="AT54" s="36" t="s">
        <v>935</v>
      </c>
      <c r="AW54" s="36">
        <v>2115.46</v>
      </c>
      <c r="AX54" s="36" t="s">
        <v>937</v>
      </c>
      <c r="BA54" s="36">
        <v>1629.34</v>
      </c>
      <c r="BB54" s="36" t="s">
        <v>937</v>
      </c>
      <c r="BD54" s="2">
        <f t="shared" si="5"/>
        <v>1</v>
      </c>
      <c r="BE54" s="8">
        <f t="shared" si="61"/>
        <v>2301</v>
      </c>
      <c r="BI54" s="36">
        <f>AC54</f>
        <v>2301</v>
      </c>
      <c r="BJ54" s="36" t="s">
        <v>935</v>
      </c>
      <c r="BL54" s="2">
        <f t="shared" si="7"/>
        <v>1</v>
      </c>
      <c r="BM54" s="8">
        <f t="shared" si="30"/>
        <v>2175.6999999999998</v>
      </c>
      <c r="BQ54" s="36">
        <f>AS54</f>
        <v>2175.6999999999998</v>
      </c>
      <c r="BR54" s="36" t="s">
        <v>935</v>
      </c>
      <c r="BT54" s="8">
        <f t="shared" si="8"/>
        <v>1</v>
      </c>
      <c r="BU54" s="36">
        <v>3</v>
      </c>
      <c r="BY54" s="36">
        <v>3</v>
      </c>
      <c r="BZ54" s="47" t="s">
        <v>131</v>
      </c>
      <c r="CB54" s="36">
        <v>1</v>
      </c>
      <c r="CC54" s="36" t="s">
        <v>938</v>
      </c>
      <c r="CF54" s="36" t="s">
        <v>938</v>
      </c>
      <c r="CG54" s="39" t="s">
        <v>698</v>
      </c>
      <c r="CH54" s="47" t="s">
        <v>939</v>
      </c>
      <c r="CJ54" s="8">
        <f t="shared" si="32"/>
        <v>2</v>
      </c>
      <c r="CK54" s="12">
        <f t="shared" si="33"/>
        <v>0.21034332898739677</v>
      </c>
      <c r="CO54" s="83">
        <v>484</v>
      </c>
      <c r="CP54" s="36" t="s">
        <v>935</v>
      </c>
      <c r="CS54" s="36">
        <f>AC54</f>
        <v>2301</v>
      </c>
      <c r="CT54" s="36" t="s">
        <v>940</v>
      </c>
      <c r="CV54" s="8">
        <f t="shared" si="35"/>
        <v>1</v>
      </c>
      <c r="CW54" s="8">
        <f t="shared" si="36"/>
        <v>4392.08</v>
      </c>
      <c r="DA54" s="36">
        <v>4392.08</v>
      </c>
      <c r="DB54" s="36" t="s">
        <v>940</v>
      </c>
      <c r="DC54" s="36" t="s">
        <v>941</v>
      </c>
      <c r="DD54" s="36">
        <f>IF(DE54="数据缺失",0,IF(DE54&lt;0,0,IF(DE54&lt;2,3,IF(DE54&lt;=5,1,2))))</f>
        <v>1</v>
      </c>
      <c r="DE54" s="15">
        <f t="shared" si="38"/>
        <v>2.018697430711955</v>
      </c>
      <c r="DI54" s="36">
        <f>AS54</f>
        <v>2175.6999999999998</v>
      </c>
      <c r="DJ54" s="36" t="s">
        <v>935</v>
      </c>
      <c r="DM54" s="36">
        <v>4392.08</v>
      </c>
      <c r="DN54" s="36" t="s">
        <v>935</v>
      </c>
      <c r="DO54" s="36" t="s">
        <v>942</v>
      </c>
      <c r="DP54" s="36">
        <v>3</v>
      </c>
      <c r="DQ54" s="36" t="s">
        <v>943</v>
      </c>
      <c r="DU54" s="41">
        <v>6.4699999999999994E-2</v>
      </c>
      <c r="DV54" s="36" t="s">
        <v>935</v>
      </c>
      <c r="DY54" s="41">
        <v>0.51329999999999998</v>
      </c>
      <c r="DZ54" s="36" t="s">
        <v>935</v>
      </c>
      <c r="EC54" s="41">
        <v>0.36530000000000001</v>
      </c>
      <c r="ED54" s="36" t="s">
        <v>944</v>
      </c>
      <c r="EG54" s="41">
        <v>0</v>
      </c>
      <c r="EH54" s="36" t="s">
        <v>944</v>
      </c>
      <c r="EJ54" s="2">
        <f t="shared" si="41"/>
        <v>1</v>
      </c>
      <c r="EK54" s="8">
        <f t="shared" si="42"/>
        <v>1785</v>
      </c>
      <c r="EO54" s="36">
        <v>1785</v>
      </c>
      <c r="EP54" s="36" t="s">
        <v>935</v>
      </c>
      <c r="ER54" s="8">
        <f t="shared" si="43"/>
        <v>1</v>
      </c>
      <c r="ES54" s="6">
        <f t="shared" si="62"/>
        <v>1831</v>
      </c>
      <c r="EW54" s="36">
        <v>1831</v>
      </c>
      <c r="EX54" s="36" t="s">
        <v>945</v>
      </c>
      <c r="EZ54" s="8">
        <f t="shared" si="44"/>
        <v>1</v>
      </c>
      <c r="FA54" s="8">
        <f t="shared" si="45"/>
        <v>6359</v>
      </c>
      <c r="FE54" s="36">
        <v>6359</v>
      </c>
      <c r="FF54" s="36" t="s">
        <v>935</v>
      </c>
      <c r="FH54" s="36">
        <v>4</v>
      </c>
      <c r="FI54" s="36" t="s">
        <v>946</v>
      </c>
      <c r="FJ54" s="36" t="s">
        <v>935</v>
      </c>
      <c r="FM54" s="36" t="s">
        <v>887</v>
      </c>
      <c r="FQ54" s="36" t="s">
        <v>887</v>
      </c>
      <c r="FU54" s="36" t="s">
        <v>887</v>
      </c>
      <c r="FY54" s="36" t="s">
        <v>947</v>
      </c>
      <c r="GB54" s="36">
        <v>1</v>
      </c>
      <c r="GC54" s="36" t="s">
        <v>948</v>
      </c>
      <c r="GG54" s="36" t="s">
        <v>949</v>
      </c>
      <c r="GH54" s="36" t="s">
        <v>945</v>
      </c>
      <c r="GJ54" s="8">
        <f t="shared" si="46"/>
        <v>4</v>
      </c>
      <c r="GK54" s="1">
        <f t="shared" si="47"/>
        <v>5.6837757135799662E-3</v>
      </c>
      <c r="GN54" s="36">
        <v>11.78</v>
      </c>
      <c r="GO54" s="36" t="s">
        <v>950</v>
      </c>
      <c r="GP54" s="36" t="s">
        <v>945</v>
      </c>
      <c r="GS54" s="38">
        <v>2072.5659479937999</v>
      </c>
      <c r="GT54" s="36" t="s">
        <v>902</v>
      </c>
      <c r="GV54" s="8">
        <f t="shared" si="48"/>
        <v>2</v>
      </c>
      <c r="GW54" s="1">
        <f t="shared" si="49"/>
        <v>0.38210062869349581</v>
      </c>
      <c r="HA54" s="36">
        <v>2294.27</v>
      </c>
      <c r="HB54" s="36" t="s">
        <v>951</v>
      </c>
      <c r="HE54" s="38">
        <v>6004.3607042593003</v>
      </c>
      <c r="HF54" s="39" t="s">
        <v>902</v>
      </c>
      <c r="HH54" s="36">
        <f t="shared" ref="HH54:HH61" si="63">IF(HI54="数据缺失",0,IF(HI54&lt;20%,1,IF(HI54&lt;40%,2,IF(HI54&lt;60%,3,IF(HI54&lt;80%,4,IF(HI54&lt;=100%,5,0))))))</f>
        <v>1</v>
      </c>
      <c r="HI54" s="1">
        <f t="shared" si="51"/>
        <v>9.5688757828855206E-2</v>
      </c>
      <c r="HM54" s="36">
        <v>41.92</v>
      </c>
      <c r="HN54" s="36" t="s">
        <v>922</v>
      </c>
      <c r="HQ54" s="83">
        <v>438.08699110690003</v>
      </c>
      <c r="HR54" s="36" t="s">
        <v>876</v>
      </c>
      <c r="HT54" s="8">
        <f t="shared" si="52"/>
        <v>0</v>
      </c>
      <c r="HU54" s="36" t="s">
        <v>222</v>
      </c>
      <c r="HY54" s="36" t="s">
        <v>222</v>
      </c>
      <c r="IC54" s="36">
        <v>1419.73</v>
      </c>
      <c r="ID54" s="36" t="s">
        <v>876</v>
      </c>
      <c r="IR54" s="3">
        <f>IF(IS54="数据缺失",0,IF(IS54&lt;0%,0,IF(IS54&lt;=100%,4,IF(IS54&lt;200%,3,IF(IS54&lt;300%,2,1)))))</f>
        <v>1</v>
      </c>
      <c r="IS54" s="1">
        <f t="shared" si="55"/>
        <v>3.9237853584271289</v>
      </c>
      <c r="IW54" s="36">
        <v>2642</v>
      </c>
      <c r="IX54" s="36" t="s">
        <v>922</v>
      </c>
      <c r="JA54" s="38">
        <v>673.32938952070003</v>
      </c>
      <c r="JB54" s="36" t="s">
        <v>876</v>
      </c>
      <c r="JD54" s="36">
        <f t="shared" ref="JD54:JD62" si="64">IF(JE54="数据缺失",0,IF(JE54&lt;0%,0,IF(JE54&lt;4%,1,IF(JE54&lt;6%,2,IF(JE54&lt;8%,3,4)))))</f>
        <v>3</v>
      </c>
      <c r="JE54" s="5">
        <f>JI54/JM54/(JQ54+JU54)*2</f>
        <v>6.6410796307648554E-2</v>
      </c>
      <c r="JI54" s="160">
        <v>146.51</v>
      </c>
      <c r="JJ54" s="160" t="s">
        <v>2830</v>
      </c>
      <c r="JM54" s="180">
        <v>1.02</v>
      </c>
      <c r="JN54" s="160" t="s">
        <v>2830</v>
      </c>
      <c r="JQ54" s="36">
        <v>2406.27</v>
      </c>
      <c r="JR54" s="36" t="s">
        <v>940</v>
      </c>
      <c r="JU54" s="36">
        <v>1919.45</v>
      </c>
      <c r="JV54" s="36" t="s">
        <v>940</v>
      </c>
      <c r="JX54" s="36">
        <v>2</v>
      </c>
      <c r="JY54" s="36" t="s">
        <v>952</v>
      </c>
      <c r="KB54" s="36">
        <v>2</v>
      </c>
      <c r="KC54" s="36" t="s">
        <v>952</v>
      </c>
      <c r="KD54" s="36" t="s">
        <v>922</v>
      </c>
      <c r="KF54" s="8">
        <f t="shared" si="58"/>
        <v>1</v>
      </c>
      <c r="KG54" s="1">
        <f t="shared" si="59"/>
        <v>6.0148867152270526E-3</v>
      </c>
      <c r="KK54" s="36">
        <f>3.15+0.2+0.08+0.5+0.06+0.06</f>
        <v>4.05</v>
      </c>
      <c r="KL54" s="36" t="s">
        <v>922</v>
      </c>
      <c r="KO54" s="38">
        <v>673.32938952070003</v>
      </c>
      <c r="KP54" s="36" t="s">
        <v>876</v>
      </c>
    </row>
    <row r="55" spans="2:302" s="36" customFormat="1" ht="16.5" hidden="1" customHeight="1" x14ac:dyDescent="0.35">
      <c r="B55" s="36" t="s">
        <v>953</v>
      </c>
      <c r="C55" s="36" t="s">
        <v>924</v>
      </c>
      <c r="D55" s="36" t="s">
        <v>925</v>
      </c>
      <c r="E55" s="36" t="s">
        <v>908</v>
      </c>
      <c r="F55" s="36" t="s">
        <v>954</v>
      </c>
      <c r="G55" s="3" t="s">
        <v>249</v>
      </c>
      <c r="H55" s="41">
        <f>934.7/2520.25</f>
        <v>0.37087590516813812</v>
      </c>
      <c r="J55" s="36" t="s">
        <v>933</v>
      </c>
      <c r="L55" s="3">
        <v>4</v>
      </c>
      <c r="M55" s="36" t="s">
        <v>955</v>
      </c>
      <c r="N55" s="36" t="s">
        <v>956</v>
      </c>
      <c r="P55" s="36" t="s">
        <v>957</v>
      </c>
      <c r="Q55" s="36" t="s">
        <v>957</v>
      </c>
      <c r="R55" s="36" t="s">
        <v>1251</v>
      </c>
      <c r="T55" s="36" t="s">
        <v>957</v>
      </c>
      <c r="U55" s="36" t="s">
        <v>957</v>
      </c>
      <c r="X55" s="8">
        <f t="shared" si="25"/>
        <v>1</v>
      </c>
      <c r="Y55" s="1">
        <f t="shared" si="26"/>
        <v>0.45473853812387455</v>
      </c>
      <c r="AC55" s="83">
        <v>1607</v>
      </c>
      <c r="AD55" s="36" t="s">
        <v>958</v>
      </c>
      <c r="AG55" s="83">
        <v>1050.77</v>
      </c>
      <c r="AH55" s="36" t="s">
        <v>958</v>
      </c>
      <c r="AK55" s="83">
        <v>761.36</v>
      </c>
      <c r="AL55" s="36" t="s">
        <v>958</v>
      </c>
      <c r="AN55" s="8">
        <f t="shared" si="27"/>
        <v>1</v>
      </c>
      <c r="AO55" s="1">
        <f t="shared" si="28"/>
        <v>0.4077122473460626</v>
      </c>
      <c r="AS55" s="36">
        <v>1629.34</v>
      </c>
      <c r="AT55" s="36" t="s">
        <v>937</v>
      </c>
      <c r="AW55" s="83">
        <v>1179.5</v>
      </c>
      <c r="AX55" s="36" t="s">
        <v>958</v>
      </c>
      <c r="BA55" s="83">
        <v>822.5</v>
      </c>
      <c r="BB55" s="36" t="s">
        <v>958</v>
      </c>
      <c r="BD55" s="2">
        <f t="shared" si="5"/>
        <v>1</v>
      </c>
      <c r="BE55" s="8">
        <f t="shared" si="61"/>
        <v>1607</v>
      </c>
      <c r="BI55" s="83">
        <v>1607</v>
      </c>
      <c r="BJ55" s="36" t="s">
        <v>958</v>
      </c>
      <c r="BL55" s="2">
        <f t="shared" si="7"/>
        <v>1</v>
      </c>
      <c r="BM55" s="8">
        <f t="shared" si="30"/>
        <v>1629</v>
      </c>
      <c r="BQ55" s="83">
        <v>1629</v>
      </c>
      <c r="BR55" s="36" t="s">
        <v>958</v>
      </c>
      <c r="BT55" s="8">
        <f t="shared" si="8"/>
        <v>1</v>
      </c>
      <c r="BU55" s="36">
        <v>4</v>
      </c>
      <c r="BY55" s="36">
        <v>4</v>
      </c>
      <c r="BZ55" s="36" t="s">
        <v>258</v>
      </c>
      <c r="CB55" s="36">
        <v>1</v>
      </c>
      <c r="CC55" s="36" t="s">
        <v>959</v>
      </c>
      <c r="CF55" s="36" t="s">
        <v>959</v>
      </c>
      <c r="CG55" s="39" t="s">
        <v>698</v>
      </c>
      <c r="CH55" s="47" t="s">
        <v>960</v>
      </c>
      <c r="CJ55" s="8">
        <f t="shared" si="32"/>
        <v>2</v>
      </c>
      <c r="CK55" s="12">
        <f t="shared" si="33"/>
        <v>0.54387056627255759</v>
      </c>
      <c r="CO55" s="83">
        <v>874</v>
      </c>
      <c r="CP55" s="36" t="s">
        <v>958</v>
      </c>
      <c r="CS55" s="83">
        <v>1607</v>
      </c>
      <c r="CT55" s="36" t="s">
        <v>958</v>
      </c>
      <c r="CV55" s="8">
        <f t="shared" si="35"/>
        <v>0</v>
      </c>
      <c r="CW55" s="8" t="str">
        <f t="shared" si="36"/>
        <v>数据缺失</v>
      </c>
      <c r="DA55" s="36" t="s">
        <v>871</v>
      </c>
      <c r="DD55" s="36">
        <v>0</v>
      </c>
      <c r="DE55" s="69" t="s">
        <v>871</v>
      </c>
      <c r="DI55" s="83">
        <v>1607</v>
      </c>
      <c r="DJ55" s="36" t="s">
        <v>956</v>
      </c>
      <c r="DM55" s="36" t="s">
        <v>871</v>
      </c>
      <c r="DP55" s="36">
        <v>2</v>
      </c>
      <c r="DQ55" s="36" t="s">
        <v>961</v>
      </c>
      <c r="DR55" s="36" t="s">
        <v>956</v>
      </c>
      <c r="DU55" s="41" t="s">
        <v>871</v>
      </c>
      <c r="DY55" s="41" t="s">
        <v>871</v>
      </c>
      <c r="EC55" s="41" t="s">
        <v>871</v>
      </c>
      <c r="EG55" s="41" t="s">
        <v>871</v>
      </c>
      <c r="EJ55" s="2">
        <f t="shared" si="41"/>
        <v>1</v>
      </c>
      <c r="EK55" s="8">
        <f t="shared" si="42"/>
        <v>2914</v>
      </c>
      <c r="EO55" s="36">
        <v>2914</v>
      </c>
      <c r="EP55" s="36" t="s">
        <v>956</v>
      </c>
      <c r="ER55" s="8">
        <f t="shared" si="43"/>
        <v>1</v>
      </c>
      <c r="ES55" s="6">
        <f t="shared" si="62"/>
        <v>1443</v>
      </c>
      <c r="EW55" s="36">
        <v>1443</v>
      </c>
      <c r="EX55" s="36" t="s">
        <v>956</v>
      </c>
      <c r="EZ55" s="8">
        <f t="shared" si="44"/>
        <v>0</v>
      </c>
      <c r="FA55" s="8" t="str">
        <f t="shared" si="45"/>
        <v>数据缺失</v>
      </c>
      <c r="FE55" s="83" t="s">
        <v>871</v>
      </c>
      <c r="FH55" s="36">
        <v>2</v>
      </c>
      <c r="FI55" s="36" t="s">
        <v>961</v>
      </c>
      <c r="FJ55" s="36" t="s">
        <v>956</v>
      </c>
      <c r="FM55" s="36" t="s">
        <v>871</v>
      </c>
      <c r="FQ55" s="36" t="s">
        <v>871</v>
      </c>
      <c r="FU55" s="36" t="s">
        <v>871</v>
      </c>
      <c r="FY55" s="36" t="s">
        <v>871</v>
      </c>
      <c r="GB55" s="36">
        <v>3</v>
      </c>
      <c r="GC55" s="36" t="s">
        <v>1252</v>
      </c>
      <c r="GG55" s="36" t="s">
        <v>1253</v>
      </c>
      <c r="GH55" s="36" t="s">
        <v>956</v>
      </c>
      <c r="GJ55" s="8">
        <f t="shared" si="46"/>
        <v>4</v>
      </c>
      <c r="GK55" s="1">
        <f t="shared" si="47"/>
        <v>4.6185980688661305E-3</v>
      </c>
      <c r="GN55" s="36">
        <f>7.99+3.65</f>
        <v>11.64</v>
      </c>
      <c r="GO55" s="36" t="s">
        <v>962</v>
      </c>
      <c r="GP55" s="36" t="s">
        <v>963</v>
      </c>
      <c r="GS55" s="38">
        <v>2520.2452836207999</v>
      </c>
      <c r="GT55" s="36" t="s">
        <v>876</v>
      </c>
      <c r="GV55" s="8">
        <f t="shared" si="48"/>
        <v>2</v>
      </c>
      <c r="GW55" s="1">
        <f t="shared" si="49"/>
        <v>0.32220299914109779</v>
      </c>
      <c r="HA55" s="36">
        <v>1184.67</v>
      </c>
      <c r="HB55" s="36" t="s">
        <v>956</v>
      </c>
      <c r="HE55" s="38">
        <v>3676.7814177956002</v>
      </c>
      <c r="HF55" s="39" t="s">
        <v>876</v>
      </c>
      <c r="HH55" s="36">
        <f t="shared" si="63"/>
        <v>1</v>
      </c>
      <c r="HI55" s="1">
        <f t="shared" si="51"/>
        <v>0.13756357154982415</v>
      </c>
      <c r="HM55" s="36">
        <v>38.99</v>
      </c>
      <c r="HN55" s="36" t="s">
        <v>956</v>
      </c>
      <c r="HQ55" s="83">
        <v>283.43259455049997</v>
      </c>
      <c r="HR55" s="36" t="s">
        <v>876</v>
      </c>
      <c r="HT55" s="8">
        <f t="shared" si="52"/>
        <v>2</v>
      </c>
      <c r="HU55" s="10">
        <f t="shared" si="53"/>
        <v>0.16163254356335435</v>
      </c>
      <c r="HY55" s="36">
        <v>132.55000000000001</v>
      </c>
      <c r="HZ55" s="36" t="s">
        <v>964</v>
      </c>
      <c r="IC55" s="36">
        <v>820.07</v>
      </c>
      <c r="ID55" s="36" t="s">
        <v>876</v>
      </c>
      <c r="IR55" s="3">
        <f>IF(IS55="数据缺失",0,IF(IS55&lt;0%,0,IF(IS55&lt;=100%,4,IF(IS55&lt;200%,3,IF(IS55&lt;300%,2,1)))))</f>
        <v>2</v>
      </c>
      <c r="IS55" s="1">
        <f t="shared" si="55"/>
        <v>2.7782910184322107</v>
      </c>
      <c r="IW55" s="83">
        <v>1305</v>
      </c>
      <c r="IX55" s="36" t="s">
        <v>963</v>
      </c>
      <c r="JA55" s="38">
        <v>469.71321267000002</v>
      </c>
      <c r="JB55" s="36" t="s">
        <v>876</v>
      </c>
      <c r="JD55" s="36">
        <f t="shared" si="64"/>
        <v>0</v>
      </c>
      <c r="JE55" s="36" t="s">
        <v>887</v>
      </c>
      <c r="JI55" s="36">
        <v>154.05000000000001</v>
      </c>
      <c r="JJ55" s="36" t="s">
        <v>956</v>
      </c>
      <c r="JM55" s="36" t="s">
        <v>887</v>
      </c>
      <c r="JQ55" s="84">
        <v>1315.82</v>
      </c>
      <c r="JR55" s="36" t="s">
        <v>956</v>
      </c>
      <c r="JU55" s="84">
        <v>800.25</v>
      </c>
      <c r="JV55" s="36" t="s">
        <v>956</v>
      </c>
      <c r="JX55" s="36">
        <v>2</v>
      </c>
      <c r="JY55" s="36" t="s">
        <v>952</v>
      </c>
      <c r="KB55" s="36">
        <v>3</v>
      </c>
      <c r="KC55" s="36" t="s">
        <v>952</v>
      </c>
      <c r="KD55" s="36" t="s">
        <v>956</v>
      </c>
      <c r="KF55" s="8">
        <f t="shared" si="58"/>
        <v>1</v>
      </c>
      <c r="KG55" s="1">
        <f t="shared" si="59"/>
        <v>2.435528678227164E-2</v>
      </c>
      <c r="KK55" s="36">
        <v>11.44</v>
      </c>
      <c r="KL55" s="36" t="s">
        <v>956</v>
      </c>
      <c r="KM55" s="36" t="s">
        <v>965</v>
      </c>
      <c r="KO55" s="38">
        <v>469.71321267000002</v>
      </c>
      <c r="KP55" s="36" t="s">
        <v>876</v>
      </c>
    </row>
    <row r="56" spans="2:302" s="36" customFormat="1" ht="16.5" hidden="1" customHeight="1" x14ac:dyDescent="0.35">
      <c r="B56" s="36" t="s">
        <v>966</v>
      </c>
      <c r="C56" s="36" t="s">
        <v>860</v>
      </c>
      <c r="D56" s="36" t="s">
        <v>967</v>
      </c>
      <c r="E56" s="36" t="s">
        <v>861</v>
      </c>
      <c r="F56" s="36" t="s">
        <v>968</v>
      </c>
      <c r="G56" s="3" t="s">
        <v>174</v>
      </c>
      <c r="H56" s="86">
        <v>1</v>
      </c>
      <c r="L56" s="85">
        <v>2</v>
      </c>
      <c r="M56" s="36" t="s">
        <v>969</v>
      </c>
      <c r="P56" s="60" t="s">
        <v>970</v>
      </c>
      <c r="Q56" s="36" t="s">
        <v>971</v>
      </c>
      <c r="R56" s="36" t="s">
        <v>972</v>
      </c>
      <c r="T56" s="60" t="s">
        <v>973</v>
      </c>
      <c r="U56" s="41">
        <v>0.4168</v>
      </c>
      <c r="X56" s="8">
        <f t="shared" si="25"/>
        <v>1</v>
      </c>
      <c r="Y56" s="1">
        <f t="shared" si="26"/>
        <v>0.36129486013714962</v>
      </c>
      <c r="AC56" s="83">
        <v>27.72</v>
      </c>
      <c r="AD56" s="36" t="s">
        <v>972</v>
      </c>
      <c r="AG56" s="83">
        <v>24.73</v>
      </c>
      <c r="AH56" s="36" t="s">
        <v>972</v>
      </c>
      <c r="AK56" s="83">
        <v>15.44</v>
      </c>
      <c r="AL56" s="36" t="s">
        <v>972</v>
      </c>
      <c r="AN56" s="8">
        <f t="shared" si="27"/>
        <v>2</v>
      </c>
      <c r="AO56" s="1">
        <f t="shared" si="28"/>
        <v>0.19245280408599649</v>
      </c>
      <c r="AS56" s="83">
        <v>18.55</v>
      </c>
      <c r="AT56" s="36" t="s">
        <v>972</v>
      </c>
      <c r="AW56" s="83">
        <v>17.510000000000002</v>
      </c>
      <c r="AX56" s="36" t="s">
        <v>972</v>
      </c>
      <c r="BA56" s="83">
        <v>13.21</v>
      </c>
      <c r="BB56" s="36" t="s">
        <v>972</v>
      </c>
      <c r="BD56" s="2">
        <f t="shared" si="5"/>
        <v>5</v>
      </c>
      <c r="BE56" s="8">
        <f t="shared" si="61"/>
        <v>27.72</v>
      </c>
      <c r="BI56" s="83">
        <v>27.72</v>
      </c>
      <c r="BJ56" s="36" t="s">
        <v>974</v>
      </c>
      <c r="BL56" s="2">
        <f t="shared" si="7"/>
        <v>5</v>
      </c>
      <c r="BM56" s="8">
        <f t="shared" si="30"/>
        <v>18.55</v>
      </c>
      <c r="BQ56" s="83">
        <v>18.55</v>
      </c>
      <c r="BR56" s="36" t="s">
        <v>974</v>
      </c>
      <c r="BT56" s="8">
        <f t="shared" si="8"/>
        <v>4</v>
      </c>
      <c r="BU56" s="160">
        <f>BY56</f>
        <v>354</v>
      </c>
      <c r="BV56" s="160"/>
      <c r="BW56" s="160"/>
      <c r="BX56" s="160"/>
      <c r="BY56" s="160">
        <v>354</v>
      </c>
      <c r="BZ56" s="36" t="s">
        <v>234</v>
      </c>
      <c r="CB56" s="36">
        <v>1</v>
      </c>
      <c r="CC56" s="36" t="s">
        <v>959</v>
      </c>
      <c r="CF56" s="36" t="s">
        <v>959</v>
      </c>
      <c r="CG56" s="36" t="s">
        <v>976</v>
      </c>
      <c r="CH56" s="36" t="s">
        <v>974</v>
      </c>
      <c r="CJ56" s="8">
        <f t="shared" si="32"/>
        <v>2</v>
      </c>
      <c r="CK56" s="12">
        <f t="shared" si="33"/>
        <v>0</v>
      </c>
      <c r="CO56" s="83">
        <v>0</v>
      </c>
      <c r="CP56" s="36" t="s">
        <v>974</v>
      </c>
      <c r="CS56" s="83">
        <v>27.72</v>
      </c>
      <c r="CT56" s="36" t="s">
        <v>974</v>
      </c>
      <c r="CV56" s="8">
        <f t="shared" si="35"/>
        <v>0</v>
      </c>
      <c r="CW56" s="8" t="str">
        <f t="shared" si="36"/>
        <v>数据缺失</v>
      </c>
      <c r="DA56" s="36" t="s">
        <v>871</v>
      </c>
      <c r="DD56" s="36">
        <v>0</v>
      </c>
      <c r="DE56" s="69" t="s">
        <v>871</v>
      </c>
      <c r="DI56" s="83">
        <v>18.55</v>
      </c>
      <c r="DJ56" s="36" t="s">
        <v>974</v>
      </c>
      <c r="DM56" s="36" t="s">
        <v>871</v>
      </c>
      <c r="DP56" s="36">
        <v>5</v>
      </c>
      <c r="DQ56" s="6" t="s">
        <v>977</v>
      </c>
      <c r="DR56" s="36" t="s">
        <v>974</v>
      </c>
      <c r="DU56" s="41" t="s">
        <v>871</v>
      </c>
      <c r="DY56" s="41" t="s">
        <v>871</v>
      </c>
      <c r="EC56" s="41" t="s">
        <v>871</v>
      </c>
      <c r="EG56" s="41" t="s">
        <v>871</v>
      </c>
      <c r="EJ56" s="2">
        <f t="shared" si="41"/>
        <v>0</v>
      </c>
      <c r="EK56" s="8" t="str">
        <f t="shared" si="42"/>
        <v>数据缺失</v>
      </c>
      <c r="EO56" s="36" t="s">
        <v>871</v>
      </c>
      <c r="ER56" s="8">
        <f t="shared" si="43"/>
        <v>2</v>
      </c>
      <c r="ES56" s="6">
        <f t="shared" si="62"/>
        <v>50.59</v>
      </c>
      <c r="EW56" s="83">
        <v>50.59</v>
      </c>
      <c r="EX56" s="36" t="s">
        <v>974</v>
      </c>
      <c r="EZ56" s="8">
        <f t="shared" si="44"/>
        <v>2</v>
      </c>
      <c r="FA56" s="8">
        <f t="shared" si="45"/>
        <v>117.79</v>
      </c>
      <c r="FE56" s="83">
        <v>117.79</v>
      </c>
      <c r="FF56" s="36" t="s">
        <v>974</v>
      </c>
      <c r="FH56" s="36">
        <v>5</v>
      </c>
      <c r="FI56" s="36" t="s">
        <v>978</v>
      </c>
      <c r="FM56" s="36" t="s">
        <v>871</v>
      </c>
      <c r="FQ56" s="36" t="s">
        <v>871</v>
      </c>
      <c r="FU56" s="36" t="s">
        <v>871</v>
      </c>
      <c r="FY56" s="36" t="s">
        <v>871</v>
      </c>
      <c r="GB56" s="36">
        <v>2</v>
      </c>
      <c r="GC56" s="36" t="s">
        <v>979</v>
      </c>
      <c r="GG56" s="36" t="s">
        <v>979</v>
      </c>
      <c r="GH56" s="36" t="s">
        <v>974</v>
      </c>
      <c r="GJ56" s="8">
        <f t="shared" si="46"/>
        <v>3</v>
      </c>
      <c r="GK56" s="1">
        <f t="shared" si="47"/>
        <v>9.1448968110221726E-2</v>
      </c>
      <c r="GN56" s="36">
        <v>2.79</v>
      </c>
      <c r="GO56" s="36" t="s">
        <v>980</v>
      </c>
      <c r="GP56" s="36" t="s">
        <v>974</v>
      </c>
      <c r="GS56" s="38">
        <v>30.508818827100001</v>
      </c>
      <c r="GT56" s="36" t="s">
        <v>876</v>
      </c>
      <c r="GV56" s="8">
        <f t="shared" si="48"/>
        <v>2</v>
      </c>
      <c r="GW56" s="1">
        <f t="shared" si="49"/>
        <v>0.29821875146160004</v>
      </c>
      <c r="HA56" s="36">
        <v>56.92</v>
      </c>
      <c r="HB56" s="36" t="s">
        <v>922</v>
      </c>
      <c r="HE56" s="38">
        <v>190.86660285790001</v>
      </c>
      <c r="HF56" s="39" t="s">
        <v>876</v>
      </c>
      <c r="HH56" s="36">
        <f t="shared" si="63"/>
        <v>1</v>
      </c>
      <c r="HI56" s="1">
        <f t="shared" si="51"/>
        <v>0.12779502663682613</v>
      </c>
      <c r="HM56" s="36">
        <v>3.17</v>
      </c>
      <c r="HN56" s="36" t="s">
        <v>922</v>
      </c>
      <c r="HQ56" s="83">
        <v>24.805347151799999</v>
      </c>
      <c r="HR56" s="36" t="s">
        <v>876</v>
      </c>
      <c r="HT56" s="8">
        <f t="shared" si="52"/>
        <v>4</v>
      </c>
      <c r="HU56" s="10">
        <f t="shared" si="53"/>
        <v>0</v>
      </c>
      <c r="HY56" s="36">
        <v>0</v>
      </c>
      <c r="HZ56" s="36" t="s">
        <v>922</v>
      </c>
      <c r="IC56" s="36">
        <v>64.260000000000005</v>
      </c>
      <c r="ID56" s="36" t="s">
        <v>876</v>
      </c>
      <c r="IR56" s="3">
        <f>IF(IS56="数据缺失",0,IF(IS56&lt;0%,0,IF(IS56&lt;=100%,4,IF(IS56&lt;200%,3,IF(IS56&lt;300%,2,1)))))</f>
        <v>1</v>
      </c>
      <c r="IS56" s="1">
        <f t="shared" si="55"/>
        <v>3.7582438354370025</v>
      </c>
      <c r="IW56" s="83">
        <v>120.03</v>
      </c>
      <c r="IX56" s="36" t="s">
        <v>922</v>
      </c>
      <c r="JA56" s="38">
        <v>31.9377893654</v>
      </c>
      <c r="JB56" s="36" t="s">
        <v>876</v>
      </c>
      <c r="JD56" s="36">
        <f t="shared" si="64"/>
        <v>4</v>
      </c>
      <c r="JE56" s="5">
        <f t="shared" ref="JE56:JE63" si="65">JI56/JM56/(JQ56+JU56)*2</f>
        <v>8.6794310438635128E-2</v>
      </c>
      <c r="JI56" s="36">
        <v>2.0099999999999998</v>
      </c>
      <c r="JJ56" s="36" t="s">
        <v>974</v>
      </c>
      <c r="JM56" s="83">
        <v>0.26</v>
      </c>
      <c r="JN56" s="36" t="s">
        <v>974</v>
      </c>
      <c r="JQ56" s="36">
        <v>116.73</v>
      </c>
      <c r="JR56" s="36" t="s">
        <v>974</v>
      </c>
      <c r="JU56" s="36">
        <v>61.41</v>
      </c>
      <c r="JV56" s="36" t="s">
        <v>974</v>
      </c>
      <c r="JX56" s="36">
        <v>2</v>
      </c>
      <c r="JY56" s="36" t="s">
        <v>981</v>
      </c>
      <c r="KB56" s="36">
        <v>15</v>
      </c>
      <c r="KC56" s="36" t="s">
        <v>981</v>
      </c>
      <c r="KD56" s="36" t="s">
        <v>974</v>
      </c>
      <c r="KF56" s="8">
        <f t="shared" si="58"/>
        <v>1</v>
      </c>
      <c r="KG56" s="1">
        <f t="shared" si="59"/>
        <v>1.2524348364365582E-3</v>
      </c>
      <c r="KK56" s="36">
        <v>0.04</v>
      </c>
      <c r="KL56" s="36" t="s">
        <v>922</v>
      </c>
      <c r="KO56" s="38">
        <v>31.9377893654</v>
      </c>
      <c r="KP56" s="36" t="s">
        <v>876</v>
      </c>
    </row>
    <row r="57" spans="2:302" s="36" customFormat="1" ht="16.5" hidden="1" customHeight="1" x14ac:dyDescent="0.35">
      <c r="B57" s="36" t="s">
        <v>982</v>
      </c>
      <c r="C57" s="39" t="s">
        <v>907</v>
      </c>
      <c r="D57" s="36" t="s">
        <v>983</v>
      </c>
      <c r="E57" s="36" t="s">
        <v>882</v>
      </c>
      <c r="F57" s="36" t="s">
        <v>984</v>
      </c>
      <c r="G57" s="3" t="s">
        <v>199</v>
      </c>
      <c r="H57" s="40">
        <v>0.36549999999999999</v>
      </c>
      <c r="L57" s="3">
        <v>2</v>
      </c>
      <c r="M57" s="36" t="s">
        <v>985</v>
      </c>
      <c r="P57" s="60" t="s">
        <v>986</v>
      </c>
      <c r="Q57" s="36" t="s">
        <v>987</v>
      </c>
      <c r="R57" s="39" t="s">
        <v>988</v>
      </c>
      <c r="T57" s="36" t="s">
        <v>203</v>
      </c>
      <c r="U57" s="86">
        <v>0.53</v>
      </c>
      <c r="X57" s="8">
        <f t="shared" si="25"/>
        <v>1</v>
      </c>
      <c r="Y57" s="1">
        <f t="shared" si="26"/>
        <v>1.2748378983822968</v>
      </c>
      <c r="Z57" s="39"/>
      <c r="AA57" s="39"/>
      <c r="AB57" s="39"/>
      <c r="AC57" s="39">
        <v>44.88</v>
      </c>
      <c r="AD57" s="39" t="s">
        <v>988</v>
      </c>
      <c r="AE57" s="39"/>
      <c r="AF57" s="39"/>
      <c r="AG57" s="39">
        <v>24.71</v>
      </c>
      <c r="AH57" s="39" t="s">
        <v>989</v>
      </c>
      <c r="AI57" s="39"/>
      <c r="AJ57" s="39"/>
      <c r="AK57" s="39">
        <v>9.0399999999999991</v>
      </c>
      <c r="AL57" s="39" t="s">
        <v>988</v>
      </c>
      <c r="AN57" s="8">
        <f t="shared" si="27"/>
        <v>1</v>
      </c>
      <c r="AO57" s="1">
        <f t="shared" si="28"/>
        <v>0.81141676048679245</v>
      </c>
      <c r="AP57" s="39"/>
      <c r="AQ57" s="39"/>
      <c r="AR57" s="39"/>
      <c r="AS57" s="39">
        <v>26.93</v>
      </c>
      <c r="AT57" s="39" t="s">
        <v>989</v>
      </c>
      <c r="AU57" s="39"/>
      <c r="AV57" s="39"/>
      <c r="AW57" s="39">
        <v>18.39</v>
      </c>
      <c r="AX57" s="39" t="s">
        <v>990</v>
      </c>
      <c r="BA57" s="39">
        <v>8.52</v>
      </c>
      <c r="BB57" s="39" t="s">
        <v>989</v>
      </c>
      <c r="BD57" s="2">
        <f t="shared" si="5"/>
        <v>5</v>
      </c>
      <c r="BE57" s="8">
        <f t="shared" si="61"/>
        <v>44.88</v>
      </c>
      <c r="BF57" s="39"/>
      <c r="BG57" s="39"/>
      <c r="BH57" s="39"/>
      <c r="BI57" s="39">
        <v>44.88</v>
      </c>
      <c r="BJ57" s="39" t="s">
        <v>988</v>
      </c>
      <c r="BL57" s="2">
        <f t="shared" si="7"/>
        <v>5</v>
      </c>
      <c r="BM57" s="8">
        <f t="shared" si="30"/>
        <v>26.93</v>
      </c>
      <c r="BN57" s="39"/>
      <c r="BO57" s="39"/>
      <c r="BP57" s="39"/>
      <c r="BQ57" s="39">
        <v>26.93</v>
      </c>
      <c r="BR57" s="39" t="s">
        <v>988</v>
      </c>
      <c r="BT57" s="8">
        <f t="shared" si="8"/>
        <v>5</v>
      </c>
      <c r="BU57" s="36" t="str">
        <f>BY57</f>
        <v>未上榜</v>
      </c>
      <c r="BY57" s="36" t="s">
        <v>975</v>
      </c>
      <c r="BZ57" s="47" t="s">
        <v>991</v>
      </c>
      <c r="CB57" s="39">
        <v>3</v>
      </c>
      <c r="CC57" s="39" t="s">
        <v>992</v>
      </c>
      <c r="CD57" s="39"/>
      <c r="CE57" s="39"/>
      <c r="CF57" s="39" t="s">
        <v>992</v>
      </c>
      <c r="CG57" s="39" t="s">
        <v>993</v>
      </c>
      <c r="CH57" s="39" t="s">
        <v>994</v>
      </c>
      <c r="CI57" s="39" t="s">
        <v>995</v>
      </c>
      <c r="CJ57" s="8">
        <f t="shared" si="32"/>
        <v>1</v>
      </c>
      <c r="CK57" s="12">
        <f t="shared" si="33"/>
        <v>2.6492869875222818</v>
      </c>
      <c r="CL57" s="39"/>
      <c r="CM57" s="39"/>
      <c r="CN57" s="39"/>
      <c r="CO57" s="39">
        <v>118.9</v>
      </c>
      <c r="CP57" s="39" t="s">
        <v>990</v>
      </c>
      <c r="CQ57" s="39"/>
      <c r="CR57" s="39"/>
      <c r="CS57" s="39">
        <v>44.88</v>
      </c>
      <c r="CT57" s="39" t="s">
        <v>988</v>
      </c>
      <c r="CV57" s="8">
        <f t="shared" si="35"/>
        <v>4</v>
      </c>
      <c r="CW57" s="8">
        <f t="shared" si="36"/>
        <v>185.25</v>
      </c>
      <c r="CX57" s="39"/>
      <c r="CY57" s="39"/>
      <c r="CZ57" s="39"/>
      <c r="DA57" s="39">
        <v>185.25</v>
      </c>
      <c r="DB57" s="39" t="s">
        <v>988</v>
      </c>
      <c r="DD57" s="39">
        <f t="shared" ref="DD57:DD62" si="66">IF(DE57="数据缺失",0,IF(DE57&lt;0,0,IF(DE57&lt;2,3,IF(DE57&lt;=5,1,2))))</f>
        <v>2</v>
      </c>
      <c r="DE57" s="15">
        <f t="shared" si="38"/>
        <v>6.8789454140363908</v>
      </c>
      <c r="DF57" s="39"/>
      <c r="DG57" s="39"/>
      <c r="DH57" s="39"/>
      <c r="DI57" s="39">
        <v>26.93</v>
      </c>
      <c r="DJ57" s="39" t="s">
        <v>988</v>
      </c>
      <c r="DK57" s="39"/>
      <c r="DL57" s="39"/>
      <c r="DM57" s="39">
        <v>185.25</v>
      </c>
      <c r="DN57" s="39" t="s">
        <v>988</v>
      </c>
      <c r="DP57" s="39">
        <v>2</v>
      </c>
      <c r="DQ57" s="39" t="s">
        <v>996</v>
      </c>
      <c r="DR57" s="39"/>
      <c r="DS57" s="39"/>
      <c r="DT57" s="39"/>
      <c r="DU57" s="40">
        <v>0.47139999999999999</v>
      </c>
      <c r="DV57" s="39" t="s">
        <v>988</v>
      </c>
      <c r="DW57" s="39"/>
      <c r="DX57" s="39"/>
      <c r="DY57" s="40">
        <v>0.52859999999999996</v>
      </c>
      <c r="DZ57" s="39" t="s">
        <v>988</v>
      </c>
      <c r="EA57" s="39"/>
      <c r="EB57" s="39"/>
      <c r="EC57" s="40">
        <v>0</v>
      </c>
      <c r="ED57" s="39" t="s">
        <v>988</v>
      </c>
      <c r="EE57" s="39"/>
      <c r="EF57" s="39"/>
      <c r="EG57" s="40">
        <v>0</v>
      </c>
      <c r="EH57" s="39" t="s">
        <v>988</v>
      </c>
      <c r="EJ57" s="2">
        <f t="shared" si="41"/>
        <v>1</v>
      </c>
      <c r="EK57" s="8">
        <f t="shared" si="42"/>
        <v>146.38999999999999</v>
      </c>
      <c r="EL57" s="39"/>
      <c r="EM57" s="39"/>
      <c r="EN57" s="39"/>
      <c r="EO57" s="39">
        <v>146.38999999999999</v>
      </c>
      <c r="EP57" s="39" t="s">
        <v>988</v>
      </c>
      <c r="ER57" s="8">
        <f t="shared" si="43"/>
        <v>3</v>
      </c>
      <c r="ES57" s="6">
        <f t="shared" si="62"/>
        <v>20.83</v>
      </c>
      <c r="ET57" s="39"/>
      <c r="EU57" s="39"/>
      <c r="EV57" s="39"/>
      <c r="EW57" s="39">
        <v>20.83</v>
      </c>
      <c r="EX57" s="39" t="s">
        <v>988</v>
      </c>
      <c r="EZ57" s="8">
        <f t="shared" si="44"/>
        <v>2</v>
      </c>
      <c r="FA57" s="8">
        <f t="shared" si="45"/>
        <v>124.34</v>
      </c>
      <c r="FB57" s="39"/>
      <c r="FC57" s="39"/>
      <c r="FD57" s="39"/>
      <c r="FE57" s="39">
        <v>124.34</v>
      </c>
      <c r="FF57" s="39" t="s">
        <v>988</v>
      </c>
      <c r="FG57" s="39"/>
      <c r="FH57" s="39">
        <v>2</v>
      </c>
      <c r="FI57" s="39" t="s">
        <v>997</v>
      </c>
      <c r="FJ57" s="39"/>
      <c r="FK57" s="39"/>
      <c r="FL57" s="39"/>
      <c r="FM57" s="40">
        <v>0.44690000000000002</v>
      </c>
      <c r="FN57" s="39" t="s">
        <v>988</v>
      </c>
      <c r="FO57" s="39"/>
      <c r="FP57" s="39"/>
      <c r="FQ57" s="39">
        <v>48.21</v>
      </c>
      <c r="FR57" s="39" t="s">
        <v>988</v>
      </c>
      <c r="FS57" s="39"/>
      <c r="FT57" s="39"/>
      <c r="FU57" s="39">
        <v>0</v>
      </c>
      <c r="FV57" s="39" t="s">
        <v>988</v>
      </c>
      <c r="FW57" s="39"/>
      <c r="FX57" s="39"/>
      <c r="FY57" s="40">
        <v>7.0999999999999994E-2</v>
      </c>
      <c r="FZ57" s="39" t="s">
        <v>988</v>
      </c>
      <c r="GB57" s="36">
        <v>3</v>
      </c>
      <c r="GC57" s="36" t="s">
        <v>998</v>
      </c>
      <c r="GG57" s="36" t="s">
        <v>998</v>
      </c>
      <c r="GH57" s="39" t="s">
        <v>994</v>
      </c>
      <c r="GJ57" s="8">
        <f t="shared" si="46"/>
        <v>4</v>
      </c>
      <c r="GK57" s="1">
        <f t="shared" si="47"/>
        <v>2.5847894403596989E-3</v>
      </c>
      <c r="GN57" s="36">
        <v>0.12</v>
      </c>
      <c r="GO57" s="36" t="s">
        <v>999</v>
      </c>
      <c r="GP57" s="39" t="s">
        <v>994</v>
      </c>
      <c r="GS57" s="69">
        <v>46.425445000000003</v>
      </c>
      <c r="GT57" s="39" t="s">
        <v>1000</v>
      </c>
      <c r="GV57" s="8">
        <f t="shared" si="48"/>
        <v>1</v>
      </c>
      <c r="GW57" s="1">
        <f t="shared" si="49"/>
        <v>0.10536914592113823</v>
      </c>
      <c r="GX57" s="39"/>
      <c r="GY57" s="39"/>
      <c r="GZ57" s="39"/>
      <c r="HA57" s="69">
        <v>38.013204999999999</v>
      </c>
      <c r="HB57" s="39" t="s">
        <v>994</v>
      </c>
      <c r="HC57" s="39"/>
      <c r="HD57" s="39"/>
      <c r="HE57" s="69">
        <v>360.762201</v>
      </c>
      <c r="HF57" s="39" t="s">
        <v>876</v>
      </c>
      <c r="HH57" s="39">
        <f t="shared" si="63"/>
        <v>1</v>
      </c>
      <c r="HI57" s="1">
        <f t="shared" si="51"/>
        <v>0.10584700641599738</v>
      </c>
      <c r="HJ57" s="39"/>
      <c r="HK57" s="39"/>
      <c r="HL57" s="39"/>
      <c r="HM57" s="69">
        <v>2.7132049999999999</v>
      </c>
      <c r="HN57" s="39" t="s">
        <v>994</v>
      </c>
      <c r="HO57" s="39"/>
      <c r="HP57" s="39"/>
      <c r="HQ57" s="78">
        <v>25.633271000000001</v>
      </c>
      <c r="HR57" s="39" t="s">
        <v>876</v>
      </c>
      <c r="HT57" s="8">
        <f t="shared" si="52"/>
        <v>4</v>
      </c>
      <c r="HU57" s="10">
        <f t="shared" si="53"/>
        <v>3.2081228861002911E-2</v>
      </c>
      <c r="HV57" s="39"/>
      <c r="HW57" s="39"/>
      <c r="HX57" s="39"/>
      <c r="HY57" s="39">
        <v>1.9</v>
      </c>
      <c r="HZ57" s="39" t="s">
        <v>994</v>
      </c>
      <c r="IA57" s="39"/>
      <c r="IB57" s="39"/>
      <c r="IC57" s="69">
        <v>59.224663999999997</v>
      </c>
      <c r="ID57" s="39" t="s">
        <v>876</v>
      </c>
      <c r="IR57" s="3" t="str">
        <f>IF(IS57&gt;=300%,"1",IF(IS57&gt;=200%,"2",IF(IS57&gt;=100%,"3",IF(IS57&gt;=0%,"4",IF(IS57=数据缺失,"0")))))</f>
        <v>2</v>
      </c>
      <c r="IS57" s="1">
        <f t="shared" si="55"/>
        <v>2.7852708811669817</v>
      </c>
      <c r="IW57" s="36">
        <v>158</v>
      </c>
      <c r="IX57" s="36" t="s">
        <v>988</v>
      </c>
      <c r="JA57" s="38">
        <v>56.726978000000003</v>
      </c>
      <c r="JB57" s="39" t="s">
        <v>876</v>
      </c>
      <c r="JD57" s="39">
        <f t="shared" si="64"/>
        <v>3</v>
      </c>
      <c r="JE57" s="43">
        <f t="shared" si="65"/>
        <v>6.4695833970730712E-2</v>
      </c>
      <c r="JI57" s="36">
        <v>16.239999999999998</v>
      </c>
      <c r="JJ57" s="36" t="s">
        <v>988</v>
      </c>
      <c r="JM57" s="36">
        <v>2.88</v>
      </c>
      <c r="JN57" s="36" t="s">
        <v>988</v>
      </c>
      <c r="JQ57" s="36">
        <v>119.43</v>
      </c>
      <c r="JR57" s="36" t="s">
        <v>988</v>
      </c>
      <c r="JU57" s="36">
        <v>54.89</v>
      </c>
      <c r="JV57" s="36" t="s">
        <v>988</v>
      </c>
      <c r="JX57" s="36">
        <v>2</v>
      </c>
      <c r="JY57" s="36" t="s">
        <v>1001</v>
      </c>
      <c r="KB57" s="36">
        <v>9</v>
      </c>
      <c r="KC57" s="36" t="str">
        <f>JY57</f>
        <v>天职国际会计师事务所（特殊普通合伙）</v>
      </c>
      <c r="KD57" s="36" t="s">
        <v>994</v>
      </c>
      <c r="KF57" s="8">
        <f t="shared" si="58"/>
        <v>2</v>
      </c>
      <c r="KG57" s="1">
        <f t="shared" si="59"/>
        <v>0.38940907446189005</v>
      </c>
      <c r="KH57" s="39"/>
      <c r="KI57" s="39"/>
      <c r="KJ57" s="39"/>
      <c r="KK57" s="39">
        <v>22.09</v>
      </c>
      <c r="KL57" s="39" t="s">
        <v>988</v>
      </c>
      <c r="KM57" s="39" t="s">
        <v>1002</v>
      </c>
      <c r="KN57" s="39"/>
      <c r="KO57" s="69">
        <v>56.726978000000003</v>
      </c>
      <c r="KP57" s="39" t="s">
        <v>876</v>
      </c>
    </row>
    <row r="58" spans="2:302" s="36" customFormat="1" ht="16.5" hidden="1" customHeight="1" x14ac:dyDescent="0.35">
      <c r="B58" s="36" t="s">
        <v>1003</v>
      </c>
      <c r="C58" s="39" t="s">
        <v>1004</v>
      </c>
      <c r="D58" s="36" t="s">
        <v>983</v>
      </c>
      <c r="E58" s="36" t="s">
        <v>908</v>
      </c>
      <c r="F58" s="36" t="s">
        <v>1005</v>
      </c>
      <c r="G58" s="3" t="s">
        <v>199</v>
      </c>
      <c r="H58" s="41">
        <v>0.99809999999999999</v>
      </c>
      <c r="L58" s="3">
        <v>4</v>
      </c>
      <c r="M58" s="36" t="s">
        <v>1006</v>
      </c>
      <c r="P58" s="60" t="s">
        <v>1007</v>
      </c>
      <c r="Q58" s="36" t="s">
        <v>1008</v>
      </c>
      <c r="R58" s="36" t="s">
        <v>877</v>
      </c>
      <c r="T58" s="36" t="s">
        <v>129</v>
      </c>
      <c r="U58" s="41">
        <v>0.30120000000000002</v>
      </c>
      <c r="X58" s="14">
        <f t="shared" si="25"/>
        <v>5</v>
      </c>
      <c r="Y58" s="43">
        <f t="shared" si="26"/>
        <v>-0.16233062330623305</v>
      </c>
      <c r="Z58" s="39"/>
      <c r="AA58" s="39"/>
      <c r="AB58" s="39"/>
      <c r="AC58" s="39">
        <v>130</v>
      </c>
      <c r="AD58" s="39" t="s">
        <v>1009</v>
      </c>
      <c r="AE58" s="39"/>
      <c r="AF58" s="39"/>
      <c r="AG58" s="39">
        <v>225</v>
      </c>
      <c r="AH58" s="39" t="s">
        <v>1010</v>
      </c>
      <c r="AI58" s="39"/>
      <c r="AJ58" s="39"/>
      <c r="AK58" s="39">
        <v>205</v>
      </c>
      <c r="AL58" s="39" t="s">
        <v>1010</v>
      </c>
      <c r="AN58" s="14">
        <f t="shared" si="27"/>
        <v>5</v>
      </c>
      <c r="AO58" s="43">
        <f t="shared" si="28"/>
        <v>-0.26025369978858348</v>
      </c>
      <c r="AP58" s="39"/>
      <c r="AQ58" s="39"/>
      <c r="AR58" s="39"/>
      <c r="AS58" s="39">
        <v>60</v>
      </c>
      <c r="AT58" s="39" t="s">
        <v>1010</v>
      </c>
      <c r="AU58" s="39"/>
      <c r="AV58" s="39"/>
      <c r="AW58" s="39">
        <v>86</v>
      </c>
      <c r="AX58" s="39" t="s">
        <v>1010</v>
      </c>
      <c r="AY58" s="39"/>
      <c r="AZ58" s="39"/>
      <c r="BA58" s="39">
        <v>110</v>
      </c>
      <c r="BB58" s="39" t="s">
        <v>1010</v>
      </c>
      <c r="BD58" s="2">
        <f t="shared" si="5"/>
        <v>3</v>
      </c>
      <c r="BE58" s="14">
        <f t="shared" si="61"/>
        <v>130</v>
      </c>
      <c r="BF58" s="39"/>
      <c r="BG58" s="39"/>
      <c r="BH58" s="39"/>
      <c r="BI58" s="39">
        <v>130</v>
      </c>
      <c r="BJ58" s="39" t="s">
        <v>1010</v>
      </c>
      <c r="BK58" s="39"/>
      <c r="BL58" s="2">
        <f t="shared" si="7"/>
        <v>4</v>
      </c>
      <c r="BM58" s="14">
        <f t="shared" si="30"/>
        <v>60</v>
      </c>
      <c r="BN58" s="39"/>
      <c r="BO58" s="39"/>
      <c r="BP58" s="39"/>
      <c r="BQ58" s="39">
        <v>60</v>
      </c>
      <c r="BR58" s="39" t="s">
        <v>1010</v>
      </c>
      <c r="BT58" s="8">
        <f t="shared" si="8"/>
        <v>2</v>
      </c>
      <c r="BU58" s="39">
        <v>34</v>
      </c>
      <c r="BV58" s="39"/>
      <c r="BW58" s="39"/>
      <c r="BX58" s="39"/>
      <c r="BY58" s="39">
        <v>34</v>
      </c>
      <c r="BZ58" s="39" t="s">
        <v>398</v>
      </c>
      <c r="CB58" s="39">
        <v>1</v>
      </c>
      <c r="CC58" s="39" t="str">
        <f>CF58</f>
        <v>一级</v>
      </c>
      <c r="CD58" s="39"/>
      <c r="CE58" s="39"/>
      <c r="CF58" s="39" t="s">
        <v>132</v>
      </c>
      <c r="CG58" s="39" t="s">
        <v>1011</v>
      </c>
      <c r="CH58" s="39" t="s">
        <v>1012</v>
      </c>
      <c r="CJ58" s="14">
        <f t="shared" si="32"/>
        <v>2</v>
      </c>
      <c r="CK58" s="97">
        <f t="shared" si="33"/>
        <v>1.2307692307692308</v>
      </c>
      <c r="CL58" s="39"/>
      <c r="CM58" s="39"/>
      <c r="CN58" s="39"/>
      <c r="CO58" s="39">
        <v>160</v>
      </c>
      <c r="CP58" s="39" t="s">
        <v>1010</v>
      </c>
      <c r="CQ58" s="39"/>
      <c r="CR58" s="39"/>
      <c r="CS58" s="39">
        <v>130</v>
      </c>
      <c r="CT58" s="39" t="s">
        <v>1010</v>
      </c>
      <c r="CV58" s="14">
        <f t="shared" si="35"/>
        <v>3</v>
      </c>
      <c r="CW58" s="14">
        <f t="shared" si="36"/>
        <v>833</v>
      </c>
      <c r="CX58" s="39"/>
      <c r="CY58" s="39"/>
      <c r="CZ58" s="39"/>
      <c r="DA58" s="39">
        <v>833</v>
      </c>
      <c r="DB58" s="39" t="s">
        <v>1010</v>
      </c>
      <c r="DD58" s="39">
        <f t="shared" si="66"/>
        <v>2</v>
      </c>
      <c r="DE58" s="154">
        <f t="shared" si="38"/>
        <v>13.883333333333333</v>
      </c>
      <c r="DF58" s="39"/>
      <c r="DG58" s="39"/>
      <c r="DH58" s="39"/>
      <c r="DI58" s="39">
        <v>60</v>
      </c>
      <c r="DJ58" s="39" t="s">
        <v>1009</v>
      </c>
      <c r="DK58" s="39"/>
      <c r="DL58" s="39"/>
      <c r="DM58" s="39">
        <v>833</v>
      </c>
      <c r="DN58" s="39" t="s">
        <v>1010</v>
      </c>
      <c r="DP58" s="36">
        <v>2</v>
      </c>
      <c r="DQ58" s="87" t="s">
        <v>1013</v>
      </c>
      <c r="DR58" s="39" t="s">
        <v>1014</v>
      </c>
      <c r="DU58" s="41" t="s">
        <v>871</v>
      </c>
      <c r="DY58" s="41" t="s">
        <v>871</v>
      </c>
      <c r="EC58" s="41" t="s">
        <v>871</v>
      </c>
      <c r="EG58" s="41" t="s">
        <v>871</v>
      </c>
      <c r="EJ58" s="42">
        <f t="shared" si="41"/>
        <v>1</v>
      </c>
      <c r="EK58" s="14">
        <f t="shared" si="42"/>
        <v>115</v>
      </c>
      <c r="EL58" s="39"/>
      <c r="EM58" s="39"/>
      <c r="EN58" s="39"/>
      <c r="EO58" s="39">
        <v>115</v>
      </c>
      <c r="EP58" s="39" t="s">
        <v>1010</v>
      </c>
      <c r="ER58" s="14">
        <f t="shared" si="43"/>
        <v>1</v>
      </c>
      <c r="ES58" s="6">
        <f t="shared" si="62"/>
        <v>132</v>
      </c>
      <c r="ET58" s="39"/>
      <c r="EU58" s="39"/>
      <c r="EV58" s="39"/>
      <c r="EW58" s="39">
        <v>132</v>
      </c>
      <c r="EX58" s="39" t="s">
        <v>1010</v>
      </c>
      <c r="EZ58" s="14">
        <f t="shared" si="44"/>
        <v>0</v>
      </c>
      <c r="FA58" s="14" t="str">
        <f t="shared" si="45"/>
        <v>数据缺失</v>
      </c>
      <c r="FE58" s="36" t="s">
        <v>871</v>
      </c>
      <c r="FH58" s="36">
        <v>1</v>
      </c>
      <c r="FI58" s="36" t="s">
        <v>1015</v>
      </c>
      <c r="FJ58" s="39" t="s">
        <v>1010</v>
      </c>
      <c r="FM58" s="36" t="s">
        <v>871</v>
      </c>
      <c r="FQ58" s="36" t="s">
        <v>871</v>
      </c>
      <c r="FU58" s="36" t="s">
        <v>871</v>
      </c>
      <c r="FY58" s="36" t="s">
        <v>871</v>
      </c>
      <c r="GB58" s="36">
        <v>2</v>
      </c>
      <c r="GC58" s="36" t="s">
        <v>1016</v>
      </c>
      <c r="GG58" s="36" t="s">
        <v>1016</v>
      </c>
      <c r="GH58" s="39" t="s">
        <v>1010</v>
      </c>
      <c r="GJ58" s="14">
        <f t="shared" si="46"/>
        <v>3</v>
      </c>
      <c r="GK58" s="43">
        <f t="shared" si="47"/>
        <v>5.4862328400145335E-2</v>
      </c>
      <c r="GN58" s="88">
        <v>12.089399999999999</v>
      </c>
      <c r="GO58" s="39" t="s">
        <v>1017</v>
      </c>
      <c r="GP58" s="39" t="s">
        <v>1010</v>
      </c>
      <c r="GS58" s="38">
        <v>220.35885738979999</v>
      </c>
      <c r="GT58" s="36" t="s">
        <v>876</v>
      </c>
      <c r="GV58" s="14">
        <f t="shared" si="48"/>
        <v>2</v>
      </c>
      <c r="GW58" s="43">
        <f t="shared" si="49"/>
        <v>0.31021147227608425</v>
      </c>
      <c r="GX58" s="39"/>
      <c r="GY58" s="39"/>
      <c r="GZ58" s="39"/>
      <c r="HA58" s="69">
        <v>271.70628599999998</v>
      </c>
      <c r="HB58" s="36" t="s">
        <v>1012</v>
      </c>
      <c r="HC58" s="39"/>
      <c r="HD58" s="39"/>
      <c r="HE58" s="69">
        <v>875.87439628339996</v>
      </c>
      <c r="HF58" s="39" t="s">
        <v>876</v>
      </c>
      <c r="HH58" s="39">
        <f t="shared" si="63"/>
        <v>1</v>
      </c>
      <c r="HI58" s="43">
        <f t="shared" si="51"/>
        <v>0</v>
      </c>
      <c r="HJ58" s="39"/>
      <c r="HK58" s="39"/>
      <c r="HL58" s="39"/>
      <c r="HM58" s="39">
        <v>0</v>
      </c>
      <c r="HN58" s="39" t="s">
        <v>877</v>
      </c>
      <c r="HO58" s="39"/>
      <c r="HP58" s="39"/>
      <c r="HQ58" s="78">
        <v>80.619196113699999</v>
      </c>
      <c r="HR58" s="39" t="s">
        <v>876</v>
      </c>
      <c r="HT58" s="6">
        <f t="shared" si="52"/>
        <v>0</v>
      </c>
      <c r="HU58" s="36" t="s">
        <v>2833</v>
      </c>
      <c r="HY58" s="36" t="s">
        <v>222</v>
      </c>
      <c r="IC58" s="69">
        <v>258.24972451090002</v>
      </c>
      <c r="ID58" s="39" t="s">
        <v>876</v>
      </c>
      <c r="IR58" s="42">
        <f>IF(IS58="数据缺失",0,IF(IS58&lt;0%,0,IF(IS58&lt;=100%,4,IF(IS58&lt;200%,3,IF(IS58&lt;300%,2,1)))))</f>
        <v>3</v>
      </c>
      <c r="IS58" s="43">
        <f>IW58/JA58</f>
        <v>1.6863869299915129</v>
      </c>
      <c r="IT58" s="39"/>
      <c r="IU58" s="39"/>
      <c r="IV58" s="39"/>
      <c r="IW58" s="39">
        <v>452</v>
      </c>
      <c r="IX58" s="39" t="s">
        <v>1228</v>
      </c>
      <c r="IY58" s="39" t="s">
        <v>1229</v>
      </c>
      <c r="IZ58" s="39"/>
      <c r="JA58" s="69">
        <v>268.02864275180002</v>
      </c>
      <c r="JB58" s="39" t="s">
        <v>1230</v>
      </c>
      <c r="JD58" s="39">
        <f t="shared" si="64"/>
        <v>3</v>
      </c>
      <c r="JE58" s="43">
        <f t="shared" si="65"/>
        <v>7.8714770649385354E-2</v>
      </c>
      <c r="JF58" s="39"/>
      <c r="JG58" s="39"/>
      <c r="JH58" s="39"/>
      <c r="JI58" s="39">
        <v>51.27</v>
      </c>
      <c r="JJ58" s="39" t="s">
        <v>1231</v>
      </c>
      <c r="JK58" s="39"/>
      <c r="JL58" s="39"/>
      <c r="JM58" s="39">
        <v>1.9</v>
      </c>
      <c r="JN58" s="39" t="s">
        <v>1231</v>
      </c>
      <c r="JO58" s="39"/>
      <c r="JP58" s="39"/>
      <c r="JQ58" s="39">
        <v>383.58</v>
      </c>
      <c r="JR58" s="39" t="s">
        <v>1231</v>
      </c>
      <c r="JU58" s="36">
        <v>302.04000000000002</v>
      </c>
      <c r="JV58" s="36" t="s">
        <v>1231</v>
      </c>
      <c r="JX58" s="36">
        <v>2</v>
      </c>
      <c r="JY58" s="36" t="s">
        <v>155</v>
      </c>
      <c r="KB58" s="36">
        <v>3</v>
      </c>
      <c r="KC58" s="36" t="str">
        <f>JY58</f>
        <v>瑞华会计师事务所（特殊普通合伙）</v>
      </c>
      <c r="KD58" s="36" t="s">
        <v>900</v>
      </c>
      <c r="KF58" s="8">
        <f t="shared" si="58"/>
        <v>1</v>
      </c>
      <c r="KG58" s="1">
        <f t="shared" si="59"/>
        <v>1.8953198239727624E-2</v>
      </c>
      <c r="KH58" s="39"/>
      <c r="KI58" s="39"/>
      <c r="KJ58" s="39"/>
      <c r="KK58" s="160">
        <v>5.08</v>
      </c>
      <c r="KL58" s="160" t="s">
        <v>395</v>
      </c>
      <c r="KM58" s="160" t="s">
        <v>2666</v>
      </c>
      <c r="KN58" s="39"/>
      <c r="KO58" s="69">
        <v>268.02864275180002</v>
      </c>
      <c r="KP58" s="39" t="s">
        <v>876</v>
      </c>
    </row>
    <row r="59" spans="2:302" s="36" customFormat="1" ht="16.5" hidden="1" customHeight="1" x14ac:dyDescent="0.35">
      <c r="B59" s="36" t="s">
        <v>1018</v>
      </c>
      <c r="C59" s="39" t="s">
        <v>907</v>
      </c>
      <c r="D59" s="36" t="s">
        <v>906</v>
      </c>
      <c r="E59" s="36" t="s">
        <v>908</v>
      </c>
      <c r="F59" s="36" t="s">
        <v>1019</v>
      </c>
      <c r="G59" s="3" t="s">
        <v>174</v>
      </c>
      <c r="H59" s="41">
        <v>0.95640000000000003</v>
      </c>
      <c r="L59" s="158">
        <v>4</v>
      </c>
      <c r="M59" s="39" t="s">
        <v>1020</v>
      </c>
      <c r="N59" s="39"/>
      <c r="O59" s="39"/>
      <c r="P59" s="39" t="s">
        <v>126</v>
      </c>
      <c r="Q59" s="39" t="s">
        <v>1021</v>
      </c>
      <c r="R59" s="36" t="s">
        <v>1022</v>
      </c>
      <c r="T59" s="36" t="s">
        <v>203</v>
      </c>
      <c r="U59" s="41">
        <v>0.748</v>
      </c>
      <c r="X59" s="8">
        <f t="shared" si="25"/>
        <v>3</v>
      </c>
      <c r="Y59" s="1">
        <f t="shared" si="26"/>
        <v>4.4134897360703793E-2</v>
      </c>
      <c r="Z59" s="39"/>
      <c r="AA59" s="39"/>
      <c r="AB59" s="39"/>
      <c r="AC59" s="39">
        <v>191.85</v>
      </c>
      <c r="AD59" s="39" t="s">
        <v>1023</v>
      </c>
      <c r="AE59" s="39"/>
      <c r="AF59" s="39"/>
      <c r="AG59" s="39">
        <v>186</v>
      </c>
      <c r="AH59" s="39" t="s">
        <v>1024</v>
      </c>
      <c r="AK59" s="39">
        <v>176</v>
      </c>
      <c r="AL59" s="39" t="s">
        <v>1024</v>
      </c>
      <c r="AN59" s="8">
        <f t="shared" si="27"/>
        <v>5</v>
      </c>
      <c r="AO59" s="1">
        <f t="shared" si="28"/>
        <v>-0.15647326261095476</v>
      </c>
      <c r="AP59" s="39"/>
      <c r="AQ59" s="39"/>
      <c r="AR59" s="39"/>
      <c r="AS59" s="39">
        <v>212</v>
      </c>
      <c r="AT59" s="39" t="s">
        <v>1024</v>
      </c>
      <c r="AU59" s="39"/>
      <c r="AV59" s="39"/>
      <c r="AW59" s="39">
        <v>248</v>
      </c>
      <c r="AX59" s="39" t="s">
        <v>1024</v>
      </c>
      <c r="AY59" s="39"/>
      <c r="AZ59" s="39"/>
      <c r="BA59" s="39">
        <v>298</v>
      </c>
      <c r="BB59" s="39" t="s">
        <v>1024</v>
      </c>
      <c r="BD59" s="2">
        <f t="shared" si="5"/>
        <v>3</v>
      </c>
      <c r="BE59" s="8">
        <f t="shared" si="61"/>
        <v>191.85</v>
      </c>
      <c r="BF59" s="39"/>
      <c r="BG59" s="39"/>
      <c r="BH59" s="39"/>
      <c r="BI59" s="39">
        <v>191.85</v>
      </c>
      <c r="BJ59" s="39" t="s">
        <v>1023</v>
      </c>
      <c r="BK59" s="39"/>
      <c r="BL59" s="2">
        <f t="shared" si="7"/>
        <v>3</v>
      </c>
      <c r="BM59" s="8">
        <f t="shared" si="30"/>
        <v>212</v>
      </c>
      <c r="BN59" s="39"/>
      <c r="BO59" s="39"/>
      <c r="BP59" s="39"/>
      <c r="BQ59" s="39">
        <v>212</v>
      </c>
      <c r="BR59" s="39" t="s">
        <v>1024</v>
      </c>
      <c r="BT59" s="8">
        <f t="shared" si="8"/>
        <v>3</v>
      </c>
      <c r="BU59" s="39">
        <v>102</v>
      </c>
      <c r="BV59" s="39"/>
      <c r="BW59" s="39"/>
      <c r="BX59" s="39"/>
      <c r="BY59" s="39">
        <v>102</v>
      </c>
      <c r="BZ59" s="39" t="s">
        <v>234</v>
      </c>
      <c r="CA59" s="39" t="s">
        <v>1025</v>
      </c>
      <c r="CB59" s="39">
        <v>1</v>
      </c>
      <c r="CC59" s="39" t="str">
        <f>CF59</f>
        <v>一级</v>
      </c>
      <c r="CD59" s="39"/>
      <c r="CE59" s="39"/>
      <c r="CF59" s="39" t="s">
        <v>132</v>
      </c>
      <c r="CG59" s="39" t="s">
        <v>1026</v>
      </c>
      <c r="CH59" s="39" t="s">
        <v>1022</v>
      </c>
      <c r="CI59" s="39" t="s">
        <v>1027</v>
      </c>
      <c r="CJ59" s="8">
        <f t="shared" si="32"/>
        <v>0</v>
      </c>
      <c r="CK59" s="39" t="s">
        <v>1147</v>
      </c>
      <c r="CL59" s="39"/>
      <c r="CM59" s="39"/>
      <c r="CN59" s="39"/>
      <c r="CO59" s="39" t="s">
        <v>871</v>
      </c>
      <c r="CP59" s="39"/>
      <c r="CQ59" s="39"/>
      <c r="CR59" s="39"/>
      <c r="CS59" s="39">
        <v>191.85</v>
      </c>
      <c r="CT59" s="39" t="s">
        <v>1024</v>
      </c>
      <c r="CV59" s="8">
        <f t="shared" si="35"/>
        <v>0</v>
      </c>
      <c r="CW59" s="8" t="str">
        <f t="shared" si="36"/>
        <v>数据缺失</v>
      </c>
      <c r="CX59" s="39"/>
      <c r="CY59" s="39"/>
      <c r="CZ59" s="39"/>
      <c r="DA59" s="39" t="s">
        <v>871</v>
      </c>
      <c r="DB59" s="39"/>
      <c r="DC59" s="39"/>
      <c r="DD59" s="39">
        <f t="shared" si="66"/>
        <v>0</v>
      </c>
      <c r="DE59" s="69" t="s">
        <v>871</v>
      </c>
      <c r="DF59" s="39"/>
      <c r="DG59" s="39"/>
      <c r="DH59" s="39"/>
      <c r="DI59" s="39">
        <v>212</v>
      </c>
      <c r="DJ59" s="39" t="s">
        <v>1024</v>
      </c>
      <c r="DM59" s="39" t="s">
        <v>871</v>
      </c>
      <c r="DN59" s="39"/>
      <c r="DO59" s="39"/>
      <c r="DP59" s="39">
        <v>6</v>
      </c>
      <c r="DQ59" s="39" t="s">
        <v>1028</v>
      </c>
      <c r="DR59" s="39" t="s">
        <v>1024</v>
      </c>
      <c r="DS59" s="39"/>
      <c r="DT59" s="39"/>
      <c r="DU59" s="40" t="s">
        <v>871</v>
      </c>
      <c r="DV59" s="39"/>
      <c r="DW59" s="39"/>
      <c r="DX59" s="39"/>
      <c r="DY59" s="40" t="s">
        <v>871</v>
      </c>
      <c r="DZ59" s="39"/>
      <c r="EA59" s="39"/>
      <c r="EB59" s="39"/>
      <c r="EC59" s="40" t="s">
        <v>871</v>
      </c>
      <c r="ED59" s="39"/>
      <c r="EE59" s="39"/>
      <c r="EF59" s="39"/>
      <c r="EG59" s="40" t="s">
        <v>871</v>
      </c>
      <c r="EJ59" s="2">
        <f t="shared" si="41"/>
        <v>0</v>
      </c>
      <c r="EK59" s="8" t="str">
        <f t="shared" si="42"/>
        <v>数据缺失</v>
      </c>
      <c r="EO59" s="36" t="s">
        <v>871</v>
      </c>
      <c r="ER59" s="8">
        <f t="shared" si="43"/>
        <v>0</v>
      </c>
      <c r="ES59" s="6" t="str">
        <f t="shared" si="62"/>
        <v>数据缺失</v>
      </c>
      <c r="EW59" s="36" t="s">
        <v>871</v>
      </c>
      <c r="EZ59" s="8">
        <f t="shared" si="44"/>
        <v>0</v>
      </c>
      <c r="FA59" s="8" t="str">
        <f t="shared" si="45"/>
        <v>数据缺失</v>
      </c>
      <c r="FB59" s="39" t="s">
        <v>1024</v>
      </c>
      <c r="FC59" s="39"/>
      <c r="FD59" s="39"/>
      <c r="FE59" s="39" t="s">
        <v>871</v>
      </c>
      <c r="FF59" s="39"/>
      <c r="FG59" s="39"/>
      <c r="FH59" s="39">
        <v>5</v>
      </c>
      <c r="FI59" s="39" t="s">
        <v>871</v>
      </c>
      <c r="FJ59" s="39"/>
      <c r="FK59" s="39"/>
      <c r="FL59" s="39"/>
      <c r="FM59" s="39" t="s">
        <v>871</v>
      </c>
      <c r="FN59" s="39"/>
      <c r="FO59" s="39"/>
      <c r="FP59" s="39"/>
      <c r="FQ59" s="39" t="s">
        <v>871</v>
      </c>
      <c r="FR59" s="39"/>
      <c r="FS59" s="39"/>
      <c r="FT59" s="39"/>
      <c r="FU59" s="39" t="s">
        <v>871</v>
      </c>
      <c r="FV59" s="39"/>
      <c r="FW59" s="39"/>
      <c r="FX59" s="39"/>
      <c r="FY59" s="39" t="s">
        <v>871</v>
      </c>
      <c r="GB59" s="36">
        <v>2</v>
      </c>
      <c r="GC59" s="36" t="s">
        <v>1029</v>
      </c>
      <c r="GG59" s="36" t="s">
        <v>1029</v>
      </c>
      <c r="GH59" s="36" t="s">
        <v>1022</v>
      </c>
      <c r="GJ59" s="8">
        <f t="shared" si="46"/>
        <v>4</v>
      </c>
      <c r="GK59" s="1">
        <f t="shared" si="47"/>
        <v>0</v>
      </c>
      <c r="GN59" s="36">
        <v>0</v>
      </c>
      <c r="GO59" s="36" t="s">
        <v>921</v>
      </c>
      <c r="GP59" s="36" t="s">
        <v>1022</v>
      </c>
      <c r="GS59" s="38">
        <v>155.67391699999999</v>
      </c>
      <c r="GT59" s="36" t="s">
        <v>876</v>
      </c>
      <c r="GV59" s="8">
        <f t="shared" si="48"/>
        <v>0</v>
      </c>
      <c r="GW59" s="6" t="s">
        <v>37</v>
      </c>
      <c r="GX59" s="39"/>
      <c r="GY59" s="39"/>
      <c r="GZ59" s="39"/>
      <c r="HA59" s="39" t="s">
        <v>871</v>
      </c>
      <c r="HB59" s="39"/>
      <c r="HC59" s="39"/>
      <c r="HD59" s="39"/>
      <c r="HE59" s="69">
        <v>607.83140400000002</v>
      </c>
      <c r="HF59" s="39" t="s">
        <v>876</v>
      </c>
      <c r="HH59" s="36">
        <f t="shared" si="63"/>
        <v>2</v>
      </c>
      <c r="HI59" s="1">
        <f t="shared" si="51"/>
        <v>0.24630549526984671</v>
      </c>
      <c r="HM59" s="36">
        <v>22.19</v>
      </c>
      <c r="HN59" s="36" t="s">
        <v>1024</v>
      </c>
      <c r="HQ59" s="83">
        <v>90.091372000000007</v>
      </c>
      <c r="HR59" s="39" t="s">
        <v>876</v>
      </c>
      <c r="HT59" s="8">
        <f t="shared" si="52"/>
        <v>0</v>
      </c>
      <c r="HU59" s="39" t="s">
        <v>871</v>
      </c>
      <c r="HV59" s="39"/>
      <c r="HW59" s="39"/>
      <c r="HX59" s="39"/>
      <c r="HY59" s="36">
        <v>2</v>
      </c>
      <c r="HZ59" s="39" t="s">
        <v>2863</v>
      </c>
      <c r="IA59" s="39"/>
      <c r="IB59" s="39"/>
      <c r="IC59" s="69">
        <v>95.680305000000004</v>
      </c>
      <c r="ID59" s="39" t="s">
        <v>876</v>
      </c>
      <c r="IR59" s="42">
        <f>IF(IS59="数据缺失",0,IF(IS59&lt;0%,0,IF(IS59&lt;=100%,4,IF(IS59&lt;200%,3,IF(IS59&lt;300%,2,1)))))</f>
        <v>0</v>
      </c>
      <c r="IS59" s="39" t="s">
        <v>871</v>
      </c>
      <c r="IT59" s="39"/>
      <c r="IU59" s="39"/>
      <c r="IV59" s="39"/>
      <c r="IW59" s="39" t="s">
        <v>871</v>
      </c>
      <c r="IX59" s="39"/>
      <c r="IY59" s="39"/>
      <c r="IZ59" s="39"/>
      <c r="JA59" s="69">
        <v>68.934830000000005</v>
      </c>
      <c r="JB59" s="39" t="s">
        <v>876</v>
      </c>
      <c r="JD59" s="39">
        <f t="shared" si="64"/>
        <v>4</v>
      </c>
      <c r="JE59" s="43">
        <f t="shared" si="65"/>
        <v>8.5313107777397687E-2</v>
      </c>
      <c r="JF59" s="39"/>
      <c r="JG59" s="39"/>
      <c r="JH59" s="39"/>
      <c r="JI59" s="160">
        <v>28.53</v>
      </c>
      <c r="JJ59" s="160" t="s">
        <v>2831</v>
      </c>
      <c r="JK59" s="160"/>
      <c r="JL59" s="160"/>
      <c r="JM59" s="160">
        <v>1.33</v>
      </c>
      <c r="JN59" s="160" t="s">
        <v>2832</v>
      </c>
      <c r="JO59" s="160"/>
      <c r="JP59" s="160"/>
      <c r="JQ59" s="160">
        <v>327.2</v>
      </c>
      <c r="JR59" s="160" t="s">
        <v>2832</v>
      </c>
      <c r="JS59" s="160"/>
      <c r="JT59" s="160"/>
      <c r="JU59" s="160">
        <v>175.68</v>
      </c>
      <c r="JV59" s="160" t="s">
        <v>2831</v>
      </c>
      <c r="JX59" s="39">
        <v>2</v>
      </c>
      <c r="JY59" s="58" t="s">
        <v>1030</v>
      </c>
      <c r="JZ59" s="39"/>
      <c r="KA59" s="39"/>
      <c r="KB59" s="39">
        <v>8</v>
      </c>
      <c r="KC59" s="58" t="s">
        <v>1030</v>
      </c>
      <c r="KD59" s="39" t="s">
        <v>1022</v>
      </c>
      <c r="KF59" s="8">
        <f t="shared" si="58"/>
        <v>0</v>
      </c>
      <c r="KG59" s="39" t="s">
        <v>871</v>
      </c>
      <c r="KH59" s="39"/>
      <c r="KI59" s="39"/>
      <c r="KJ59" s="39"/>
      <c r="KK59" s="39" t="s">
        <v>871</v>
      </c>
      <c r="KL59" s="39"/>
      <c r="KM59" s="39"/>
      <c r="KN59" s="39"/>
      <c r="KO59" s="69">
        <v>68.934830000000005</v>
      </c>
      <c r="KP59" s="39" t="s">
        <v>876</v>
      </c>
    </row>
    <row r="60" spans="2:302" s="36" customFormat="1" ht="16.5" hidden="1" customHeight="1" x14ac:dyDescent="0.35">
      <c r="B60" s="36" t="s">
        <v>1031</v>
      </c>
      <c r="C60" s="39" t="s">
        <v>1032</v>
      </c>
      <c r="D60" s="36" t="s">
        <v>1033</v>
      </c>
      <c r="E60" s="36" t="s">
        <v>1034</v>
      </c>
      <c r="F60" s="36" t="s">
        <v>1035</v>
      </c>
      <c r="G60" s="3" t="s">
        <v>174</v>
      </c>
      <c r="H60" s="86">
        <f>73.27/73.36</f>
        <v>0.99877317339149396</v>
      </c>
      <c r="L60" s="3">
        <v>4</v>
      </c>
      <c r="M60" s="36" t="s">
        <v>1036</v>
      </c>
      <c r="P60" s="36" t="s">
        <v>1037</v>
      </c>
      <c r="Q60" s="36" t="s">
        <v>1038</v>
      </c>
      <c r="R60" s="36" t="s">
        <v>1039</v>
      </c>
      <c r="T60" s="36" t="s">
        <v>203</v>
      </c>
      <c r="U60" s="41">
        <v>0.70299999999999996</v>
      </c>
      <c r="X60" s="8">
        <f t="shared" si="25"/>
        <v>3</v>
      </c>
      <c r="Y60" s="1">
        <f t="shared" si="26"/>
        <v>3.2625301527740569E-2</v>
      </c>
      <c r="Z60" s="39"/>
      <c r="AA60" s="39"/>
      <c r="AB60" s="39"/>
      <c r="AC60" s="39">
        <v>86.95</v>
      </c>
      <c r="AD60" s="39" t="s">
        <v>1040</v>
      </c>
      <c r="AE60" s="39"/>
      <c r="AF60" s="39"/>
      <c r="AG60" s="39">
        <v>91</v>
      </c>
      <c r="AH60" s="39" t="s">
        <v>1040</v>
      </c>
      <c r="AI60" s="39"/>
      <c r="AJ60" s="39"/>
      <c r="AK60" s="39">
        <v>82</v>
      </c>
      <c r="AL60" s="39" t="s">
        <v>1041</v>
      </c>
      <c r="AN60" s="8">
        <f t="shared" si="27"/>
        <v>3</v>
      </c>
      <c r="AO60" s="1">
        <f t="shared" si="28"/>
        <v>5.880491663624185E-3</v>
      </c>
      <c r="AP60" s="39"/>
      <c r="AQ60" s="39"/>
      <c r="AR60" s="39"/>
      <c r="AS60" s="39">
        <v>81.08</v>
      </c>
      <c r="AT60" s="39" t="s">
        <v>1040</v>
      </c>
      <c r="AU60" s="39"/>
      <c r="AV60" s="39"/>
      <c r="AW60" s="39">
        <v>99</v>
      </c>
      <c r="AX60" s="39" t="s">
        <v>1040</v>
      </c>
      <c r="AY60" s="39"/>
      <c r="AZ60" s="39"/>
      <c r="BA60" s="39">
        <v>83</v>
      </c>
      <c r="BB60" s="39" t="s">
        <v>1041</v>
      </c>
      <c r="BD60" s="2">
        <f t="shared" si="5"/>
        <v>4</v>
      </c>
      <c r="BE60" s="8">
        <f t="shared" si="61"/>
        <v>86.95</v>
      </c>
      <c r="BF60" s="39"/>
      <c r="BG60" s="39"/>
      <c r="BH60" s="39"/>
      <c r="BI60" s="39">
        <v>86.95</v>
      </c>
      <c r="BJ60" s="39" t="s">
        <v>1040</v>
      </c>
      <c r="BK60" s="39"/>
      <c r="BL60" s="2">
        <f t="shared" si="7"/>
        <v>4</v>
      </c>
      <c r="BM60" s="8">
        <f t="shared" si="30"/>
        <v>81.08</v>
      </c>
      <c r="BN60" s="39"/>
      <c r="BO60" s="39"/>
      <c r="BP60" s="39"/>
      <c r="BQ60" s="39">
        <v>81.08</v>
      </c>
      <c r="BR60" s="39" t="s">
        <v>1040</v>
      </c>
      <c r="BT60" s="8">
        <f t="shared" si="8"/>
        <v>2</v>
      </c>
      <c r="BU60" s="39">
        <v>46</v>
      </c>
      <c r="BV60" s="39"/>
      <c r="BW60" s="39"/>
      <c r="BX60" s="39"/>
      <c r="BY60" s="39">
        <v>46</v>
      </c>
      <c r="BZ60" s="39" t="s">
        <v>234</v>
      </c>
      <c r="CB60" s="39">
        <v>1</v>
      </c>
      <c r="CC60" s="39" t="str">
        <f>CF60</f>
        <v>一级</v>
      </c>
      <c r="CD60" s="39"/>
      <c r="CE60" s="39"/>
      <c r="CF60" s="39" t="s">
        <v>132</v>
      </c>
      <c r="CG60" s="39" t="s">
        <v>1042</v>
      </c>
      <c r="CH60" s="39" t="s">
        <v>1039</v>
      </c>
      <c r="CJ60" s="8">
        <f t="shared" si="32"/>
        <v>2</v>
      </c>
      <c r="CK60" s="12">
        <f t="shared" si="33"/>
        <v>0.25957446808510637</v>
      </c>
      <c r="CL60" s="39"/>
      <c r="CM60" s="39"/>
      <c r="CN60" s="39"/>
      <c r="CO60" s="39">
        <v>22.57</v>
      </c>
      <c r="CP60" s="39" t="s">
        <v>1040</v>
      </c>
      <c r="CQ60" s="39"/>
      <c r="CR60" s="39"/>
      <c r="CS60" s="39">
        <v>86.95</v>
      </c>
      <c r="CT60" s="39" t="s">
        <v>1040</v>
      </c>
      <c r="CV60" s="8">
        <f t="shared" si="35"/>
        <v>5</v>
      </c>
      <c r="CW60" s="8">
        <f t="shared" si="36"/>
        <v>60.34</v>
      </c>
      <c r="CX60" s="39"/>
      <c r="CY60" s="39"/>
      <c r="CZ60" s="39"/>
      <c r="DA60" s="89">
        <v>60.34</v>
      </c>
      <c r="DB60" s="39" t="s">
        <v>1043</v>
      </c>
      <c r="DD60" s="39">
        <f t="shared" si="66"/>
        <v>3</v>
      </c>
      <c r="DE60" s="15">
        <f t="shared" si="38"/>
        <v>0.74420325604341397</v>
      </c>
      <c r="DF60" s="39"/>
      <c r="DG60" s="39"/>
      <c r="DH60" s="39"/>
      <c r="DI60" s="39">
        <v>81.08</v>
      </c>
      <c r="DJ60" s="39" t="s">
        <v>1044</v>
      </c>
      <c r="DK60" s="39"/>
      <c r="DL60" s="39"/>
      <c r="DM60" s="89">
        <f>DA60</f>
        <v>60.34</v>
      </c>
      <c r="DN60" s="39" t="s">
        <v>1044</v>
      </c>
      <c r="DP60" s="36">
        <v>4</v>
      </c>
      <c r="DQ60" s="36" t="s">
        <v>1045</v>
      </c>
      <c r="DU60" s="41">
        <v>0.1105</v>
      </c>
      <c r="DV60" s="36" t="s">
        <v>1044</v>
      </c>
      <c r="DY60" s="41">
        <v>0.45529999999999998</v>
      </c>
      <c r="DZ60" s="36" t="s">
        <v>1044</v>
      </c>
      <c r="EC60" s="41">
        <v>0.43419999999999997</v>
      </c>
      <c r="ED60" s="36" t="s">
        <v>1046</v>
      </c>
      <c r="EG60" s="41">
        <v>0</v>
      </c>
      <c r="EH60" s="36" t="s">
        <v>1044</v>
      </c>
      <c r="EJ60" s="2">
        <f t="shared" si="41"/>
        <v>3</v>
      </c>
      <c r="EK60" s="8">
        <f t="shared" si="42"/>
        <v>42</v>
      </c>
      <c r="EL60" s="39"/>
      <c r="EM60" s="39"/>
      <c r="EN60" s="39"/>
      <c r="EO60" s="39">
        <v>42</v>
      </c>
      <c r="EP60" s="39" t="s">
        <v>1047</v>
      </c>
      <c r="EQ60" s="39"/>
      <c r="ER60" s="8">
        <f t="shared" si="43"/>
        <v>1</v>
      </c>
      <c r="ES60" s="6">
        <f t="shared" si="62"/>
        <v>109</v>
      </c>
      <c r="ET60" s="39"/>
      <c r="EU60" s="39"/>
      <c r="EV60" s="39"/>
      <c r="EW60" s="39">
        <v>109</v>
      </c>
      <c r="EX60" s="39" t="s">
        <v>1047</v>
      </c>
      <c r="EZ60" s="8">
        <f t="shared" si="44"/>
        <v>1</v>
      </c>
      <c r="FA60" s="8">
        <f t="shared" si="45"/>
        <v>231.2</v>
      </c>
      <c r="FB60" s="39"/>
      <c r="FC60" s="39"/>
      <c r="FD60" s="39"/>
      <c r="FE60" s="39">
        <v>231.2</v>
      </c>
      <c r="FF60" s="39" t="s">
        <v>1048</v>
      </c>
      <c r="FH60" s="39">
        <v>4</v>
      </c>
      <c r="FI60" s="39" t="s">
        <v>1049</v>
      </c>
      <c r="FJ60" s="39"/>
      <c r="FK60" s="39"/>
      <c r="FL60" s="39"/>
      <c r="FM60" s="40">
        <v>2.5999999999999999E-3</v>
      </c>
      <c r="FN60" s="39" t="s">
        <v>1048</v>
      </c>
      <c r="FO60" s="39"/>
      <c r="FP60" s="39"/>
      <c r="FQ60" s="40">
        <v>0.49280000000000002</v>
      </c>
      <c r="FR60" s="39" t="s">
        <v>1050</v>
      </c>
      <c r="FS60" s="39"/>
      <c r="FT60" s="39"/>
      <c r="FU60" s="40">
        <v>0.42980000000000002</v>
      </c>
      <c r="FV60" s="39" t="s">
        <v>1048</v>
      </c>
      <c r="FW60" s="39"/>
      <c r="FX60" s="39"/>
      <c r="FY60" s="40">
        <v>7.4800000000000005E-2</v>
      </c>
      <c r="FZ60" s="39" t="s">
        <v>1048</v>
      </c>
      <c r="GB60" s="39">
        <v>2</v>
      </c>
      <c r="GC60" s="39" t="str">
        <f>GG60</f>
        <v>售房收入：98.52%</v>
      </c>
      <c r="GD60" s="39"/>
      <c r="GE60" s="39"/>
      <c r="GF60" s="39"/>
      <c r="GG60" s="39" t="s">
        <v>1051</v>
      </c>
      <c r="GH60" s="39" t="s">
        <v>1052</v>
      </c>
      <c r="GJ60" s="8">
        <f t="shared" si="46"/>
        <v>4</v>
      </c>
      <c r="GK60" s="1">
        <f t="shared" si="47"/>
        <v>1.4721880391395572E-2</v>
      </c>
      <c r="GL60" s="39"/>
      <c r="GM60" s="39"/>
      <c r="GN60" s="39">
        <v>1.08</v>
      </c>
      <c r="GO60" s="39" t="s">
        <v>1053</v>
      </c>
      <c r="GP60" s="39" t="s">
        <v>1048</v>
      </c>
      <c r="GS60" s="38">
        <v>73.360193894199995</v>
      </c>
      <c r="GT60" s="36" t="s">
        <v>1054</v>
      </c>
      <c r="GV60" s="8">
        <f t="shared" si="48"/>
        <v>2</v>
      </c>
      <c r="GW60" s="1">
        <f t="shared" si="49"/>
        <v>0.3796916068175743</v>
      </c>
      <c r="GX60" s="39"/>
      <c r="GY60" s="39"/>
      <c r="GZ60" s="39"/>
      <c r="HA60" s="69">
        <v>86.478769999999997</v>
      </c>
      <c r="HB60" s="39" t="s">
        <v>1055</v>
      </c>
      <c r="HC60" s="39"/>
      <c r="HD60" s="39"/>
      <c r="HE60" s="69">
        <v>227.76055210919998</v>
      </c>
      <c r="HF60" s="39" t="s">
        <v>902</v>
      </c>
      <c r="HH60" s="39">
        <f t="shared" si="63"/>
        <v>1</v>
      </c>
      <c r="HI60" s="1">
        <f t="shared" si="51"/>
        <v>0.15666229662850964</v>
      </c>
      <c r="HJ60" s="39"/>
      <c r="HK60" s="39"/>
      <c r="HL60" s="39"/>
      <c r="HM60" s="69">
        <v>3.33325</v>
      </c>
      <c r="HN60" s="39" t="s">
        <v>951</v>
      </c>
      <c r="HO60" s="39"/>
      <c r="HP60" s="39"/>
      <c r="HQ60" s="78">
        <v>21.2766573179</v>
      </c>
      <c r="HR60" s="39" t="s">
        <v>902</v>
      </c>
      <c r="HT60" s="8">
        <f t="shared" si="52"/>
        <v>4</v>
      </c>
      <c r="HU60" s="10">
        <f t="shared" si="53"/>
        <v>0</v>
      </c>
      <c r="HV60" s="39"/>
      <c r="HW60" s="39"/>
      <c r="HX60" s="39"/>
      <c r="HY60" s="39">
        <v>0</v>
      </c>
      <c r="HZ60" s="39" t="s">
        <v>1056</v>
      </c>
      <c r="IA60" s="39"/>
      <c r="IB60" s="39"/>
      <c r="IC60" s="39">
        <v>23.895</v>
      </c>
      <c r="ID60" s="39" t="s">
        <v>1054</v>
      </c>
      <c r="IR60" s="3" t="str">
        <f>IF(IS60&gt;=300%,"1",IF(IS60&gt;=200%,"2",IF(IS60&gt;=100%,"3",IF(IS60&gt;=0%,"4",IF(IS60=数据缺失,"0")))))</f>
        <v>2</v>
      </c>
      <c r="IS60" s="1">
        <f t="shared" si="55"/>
        <v>2.2123099081662532</v>
      </c>
      <c r="IW60" s="36">
        <v>83.6</v>
      </c>
      <c r="IX60" s="36" t="s">
        <v>1052</v>
      </c>
      <c r="JA60" s="69">
        <v>37.788557421999997</v>
      </c>
      <c r="JB60" s="39" t="s">
        <v>902</v>
      </c>
      <c r="JD60" s="39">
        <f t="shared" si="64"/>
        <v>3</v>
      </c>
      <c r="JE60" s="43">
        <f t="shared" si="65"/>
        <v>6.1602217679836473E-2</v>
      </c>
      <c r="JF60" s="39"/>
      <c r="JG60" s="39"/>
      <c r="JH60" s="39"/>
      <c r="JI60" s="39">
        <v>3.19</v>
      </c>
      <c r="JJ60" s="39" t="s">
        <v>1040</v>
      </c>
      <c r="JK60" s="39"/>
      <c r="JL60" s="39"/>
      <c r="JM60" s="39">
        <v>0.71</v>
      </c>
      <c r="JN60" s="39" t="s">
        <v>1040</v>
      </c>
      <c r="JO60" s="39"/>
      <c r="JP60" s="39"/>
      <c r="JQ60" s="39">
        <v>78.069999999999993</v>
      </c>
      <c r="JR60" s="39" t="s">
        <v>1040</v>
      </c>
      <c r="JU60" s="39">
        <v>67.8</v>
      </c>
      <c r="JV60" s="39" t="s">
        <v>1040</v>
      </c>
      <c r="JX60" s="39">
        <v>2</v>
      </c>
      <c r="JY60" s="39" t="s">
        <v>1057</v>
      </c>
      <c r="JZ60" s="39"/>
      <c r="KA60" s="39"/>
      <c r="KB60" s="39">
        <v>23</v>
      </c>
      <c r="KC60" s="39" t="s">
        <v>1057</v>
      </c>
      <c r="KD60" s="39" t="s">
        <v>1052</v>
      </c>
      <c r="KF60" s="8">
        <f t="shared" si="58"/>
        <v>4</v>
      </c>
      <c r="KG60" s="1">
        <f t="shared" si="59"/>
        <v>1.8333592157626559</v>
      </c>
      <c r="KH60" s="39"/>
      <c r="KI60" s="39"/>
      <c r="KJ60" s="39"/>
      <c r="KK60" s="39">
        <v>69.28</v>
      </c>
      <c r="KL60" s="39" t="s">
        <v>951</v>
      </c>
      <c r="KO60" s="69">
        <v>37.788557421999997</v>
      </c>
      <c r="KP60" s="39" t="s">
        <v>902</v>
      </c>
    </row>
    <row r="61" spans="2:302" s="36" customFormat="1" ht="16.5" hidden="1" customHeight="1" x14ac:dyDescent="0.35">
      <c r="B61" s="36" t="s">
        <v>1058</v>
      </c>
      <c r="C61" s="39" t="s">
        <v>907</v>
      </c>
      <c r="D61" s="36" t="s">
        <v>906</v>
      </c>
      <c r="E61" s="36" t="s">
        <v>931</v>
      </c>
      <c r="F61" s="36" t="s">
        <v>1059</v>
      </c>
      <c r="G61" s="3" t="s">
        <v>174</v>
      </c>
      <c r="H61" s="40">
        <v>0.91539999999999999</v>
      </c>
      <c r="I61" s="90"/>
      <c r="J61" s="90"/>
      <c r="L61" s="3">
        <v>4</v>
      </c>
      <c r="M61" s="36" t="s">
        <v>1060</v>
      </c>
      <c r="P61" s="36" t="s">
        <v>1061</v>
      </c>
      <c r="Q61" s="36" t="s">
        <v>1062</v>
      </c>
      <c r="R61" s="36" t="s">
        <v>1052</v>
      </c>
      <c r="T61" s="36" t="s">
        <v>129</v>
      </c>
      <c r="U61" s="41">
        <v>0.35120000000000001</v>
      </c>
      <c r="X61" s="8">
        <f t="shared" si="25"/>
        <v>3</v>
      </c>
      <c r="Y61" s="1">
        <f t="shared" si="26"/>
        <v>7.1865671146149876E-2</v>
      </c>
      <c r="Z61" s="39"/>
      <c r="AA61" s="39"/>
      <c r="AB61" s="39"/>
      <c r="AC61" s="39">
        <v>80.38</v>
      </c>
      <c r="AD61" s="39" t="s">
        <v>1063</v>
      </c>
      <c r="AE61" s="39"/>
      <c r="AF61" s="39"/>
      <c r="AG61" s="39">
        <v>70.27</v>
      </c>
      <c r="AH61" s="39" t="s">
        <v>1063</v>
      </c>
      <c r="AI61" s="39"/>
      <c r="AJ61" s="39"/>
      <c r="AK61" s="39">
        <v>70.28</v>
      </c>
      <c r="AL61" s="39" t="s">
        <v>1064</v>
      </c>
      <c r="AN61" s="8">
        <f t="shared" si="27"/>
        <v>2</v>
      </c>
      <c r="AO61" s="1">
        <f t="shared" si="28"/>
        <v>0.17264718038306184</v>
      </c>
      <c r="AP61" s="39"/>
      <c r="AQ61" s="39"/>
      <c r="AR61" s="39"/>
      <c r="AS61" s="39">
        <v>94.86</v>
      </c>
      <c r="AT61" s="39" t="s">
        <v>1065</v>
      </c>
      <c r="AU61" s="39"/>
      <c r="AV61" s="39"/>
      <c r="AW61" s="39">
        <v>74.83</v>
      </c>
      <c r="AX61" s="39" t="s">
        <v>1065</v>
      </c>
      <c r="AY61" s="39"/>
      <c r="AZ61" s="39"/>
      <c r="BA61" s="39">
        <v>69.44</v>
      </c>
      <c r="BB61" s="39" t="s">
        <v>1066</v>
      </c>
      <c r="BD61" s="2">
        <f t="shared" si="5"/>
        <v>4</v>
      </c>
      <c r="BE61" s="8">
        <f t="shared" si="61"/>
        <v>80.38</v>
      </c>
      <c r="BF61" s="39"/>
      <c r="BG61" s="39"/>
      <c r="BH61" s="39"/>
      <c r="BI61" s="39">
        <v>80.38</v>
      </c>
      <c r="BJ61" s="39" t="s">
        <v>1065</v>
      </c>
      <c r="BK61" s="39"/>
      <c r="BL61" s="2">
        <f t="shared" si="7"/>
        <v>4</v>
      </c>
      <c r="BM61" s="8">
        <f t="shared" si="30"/>
        <v>94.86</v>
      </c>
      <c r="BN61" s="39"/>
      <c r="BO61" s="39"/>
      <c r="BP61" s="39"/>
      <c r="BQ61" s="39">
        <v>94.86</v>
      </c>
      <c r="BR61" s="39" t="s">
        <v>1065</v>
      </c>
      <c r="BT61" s="8">
        <f t="shared" si="8"/>
        <v>2</v>
      </c>
      <c r="BU61" s="39">
        <v>51</v>
      </c>
      <c r="BV61" s="39"/>
      <c r="BW61" s="39"/>
      <c r="BX61" s="39"/>
      <c r="BY61" s="39">
        <v>51</v>
      </c>
      <c r="BZ61" s="39" t="s">
        <v>234</v>
      </c>
      <c r="CB61" s="39">
        <v>1</v>
      </c>
      <c r="CC61" s="39" t="str">
        <f>CF61</f>
        <v>一级</v>
      </c>
      <c r="CD61" s="39"/>
      <c r="CE61" s="39"/>
      <c r="CF61" s="39" t="s">
        <v>132</v>
      </c>
      <c r="CG61" s="39" t="s">
        <v>1067</v>
      </c>
      <c r="CH61" s="39" t="s">
        <v>1068</v>
      </c>
      <c r="CJ61" s="8">
        <f t="shared" si="32"/>
        <v>2</v>
      </c>
      <c r="CK61" s="12">
        <f t="shared" si="33"/>
        <v>0.15264991291366012</v>
      </c>
      <c r="CL61" s="39"/>
      <c r="CM61" s="39"/>
      <c r="CN61" s="39"/>
      <c r="CO61" s="39">
        <v>12.27</v>
      </c>
      <c r="CP61" s="39" t="s">
        <v>1063</v>
      </c>
      <c r="CQ61" s="39" t="s">
        <v>1069</v>
      </c>
      <c r="CR61" s="39"/>
      <c r="CS61" s="39">
        <v>80.38</v>
      </c>
      <c r="CT61" s="36" t="s">
        <v>1046</v>
      </c>
      <c r="CV61" s="8">
        <f t="shared" si="35"/>
        <v>4</v>
      </c>
      <c r="CW61" s="8">
        <f t="shared" si="36"/>
        <v>359.62</v>
      </c>
      <c r="CX61" s="39"/>
      <c r="CY61" s="39"/>
      <c r="CZ61" s="39"/>
      <c r="DA61" s="39">
        <v>359.62</v>
      </c>
      <c r="DB61" s="39" t="s">
        <v>1052</v>
      </c>
      <c r="DC61" s="39" t="s">
        <v>1070</v>
      </c>
      <c r="DD61" s="39">
        <f t="shared" si="66"/>
        <v>1</v>
      </c>
      <c r="DE61" s="15">
        <f t="shared" si="38"/>
        <v>3.7910605102255959</v>
      </c>
      <c r="DF61" s="39"/>
      <c r="DG61" s="39"/>
      <c r="DH61" s="39"/>
      <c r="DI61" s="39">
        <v>94.86</v>
      </c>
      <c r="DJ61" s="39" t="s">
        <v>1065</v>
      </c>
      <c r="DK61" s="39"/>
      <c r="DL61" s="39"/>
      <c r="DM61" s="39">
        <v>359.62</v>
      </c>
      <c r="DN61" s="39" t="s">
        <v>1052</v>
      </c>
      <c r="DO61" s="39" t="s">
        <v>1071</v>
      </c>
      <c r="DP61" s="36">
        <v>6</v>
      </c>
      <c r="DQ61" s="36" t="s">
        <v>1072</v>
      </c>
      <c r="DS61" s="36" t="s">
        <v>1073</v>
      </c>
      <c r="DU61" s="41">
        <v>0</v>
      </c>
      <c r="DV61" s="36" t="s">
        <v>1063</v>
      </c>
      <c r="DY61" s="41">
        <v>0.38059999999999999</v>
      </c>
      <c r="DZ61" s="36" t="s">
        <v>1063</v>
      </c>
      <c r="EC61" s="41">
        <v>4.5699999999999998E-2</v>
      </c>
      <c r="ED61" s="36" t="s">
        <v>1063</v>
      </c>
      <c r="EG61" s="41">
        <v>0.5736</v>
      </c>
      <c r="EH61" s="36" t="s">
        <v>1052</v>
      </c>
      <c r="EJ61" s="2">
        <f t="shared" si="41"/>
        <v>1</v>
      </c>
      <c r="EK61" s="8">
        <f t="shared" si="42"/>
        <v>117.87</v>
      </c>
      <c r="EL61" s="39"/>
      <c r="EM61" s="39"/>
      <c r="EN61" s="39"/>
      <c r="EO61" s="39">
        <v>117.87</v>
      </c>
      <c r="EP61" s="39" t="s">
        <v>1052</v>
      </c>
      <c r="ER61" s="8">
        <f t="shared" si="43"/>
        <v>1</v>
      </c>
      <c r="ES61" s="6">
        <f t="shared" si="62"/>
        <v>131.46</v>
      </c>
      <c r="ET61" s="39"/>
      <c r="EU61" s="39"/>
      <c r="EV61" s="39"/>
      <c r="EW61" s="39">
        <v>131.46</v>
      </c>
      <c r="EX61" s="39" t="s">
        <v>1063</v>
      </c>
      <c r="EZ61" s="8">
        <f t="shared" si="44"/>
        <v>1</v>
      </c>
      <c r="FA61" s="8">
        <f t="shared" si="45"/>
        <v>643.42999999999995</v>
      </c>
      <c r="FE61" s="58">
        <v>643.42999999999995</v>
      </c>
      <c r="FF61" s="36" t="s">
        <v>1052</v>
      </c>
      <c r="FG61" s="36" t="s">
        <v>1074</v>
      </c>
      <c r="FH61" s="36">
        <v>4</v>
      </c>
      <c r="FI61" s="36" t="s">
        <v>1075</v>
      </c>
      <c r="FJ61" s="36" t="s">
        <v>1063</v>
      </c>
      <c r="FK61" s="36" t="s">
        <v>1074</v>
      </c>
      <c r="FM61" s="36">
        <v>0</v>
      </c>
      <c r="FN61" s="36" t="s">
        <v>1052</v>
      </c>
      <c r="FQ61" s="41">
        <v>0.48749999999999999</v>
      </c>
      <c r="FR61" s="36" t="s">
        <v>1052</v>
      </c>
      <c r="FU61" s="41">
        <v>5.6300000000000003E-2</v>
      </c>
      <c r="FV61" s="36" t="s">
        <v>1052</v>
      </c>
      <c r="FY61" s="41">
        <v>0.45619999999999999</v>
      </c>
      <c r="FZ61" s="36" t="s">
        <v>1052</v>
      </c>
      <c r="GB61" s="36">
        <v>2</v>
      </c>
      <c r="GC61" s="90" t="s">
        <v>1076</v>
      </c>
      <c r="GG61" s="90" t="s">
        <v>1077</v>
      </c>
      <c r="GH61" s="39" t="s">
        <v>1052</v>
      </c>
      <c r="GJ61" s="8">
        <f t="shared" si="46"/>
        <v>4</v>
      </c>
      <c r="GK61" s="1">
        <f t="shared" si="47"/>
        <v>3.5407032157271666E-2</v>
      </c>
      <c r="GL61" s="39"/>
      <c r="GM61" s="39"/>
      <c r="GN61" s="39">
        <v>3.22</v>
      </c>
      <c r="GO61" s="39" t="s">
        <v>1078</v>
      </c>
      <c r="GP61" s="39" t="s">
        <v>1052</v>
      </c>
      <c r="GS61" s="69">
        <v>90.942386407800001</v>
      </c>
      <c r="GT61" s="39" t="s">
        <v>902</v>
      </c>
      <c r="GV61" s="8">
        <f t="shared" si="48"/>
        <v>2</v>
      </c>
      <c r="GW61" s="1">
        <f t="shared" si="49"/>
        <v>0.27987339529421235</v>
      </c>
      <c r="GX61" s="39"/>
      <c r="GY61" s="39"/>
      <c r="GZ61" s="39"/>
      <c r="HA61" s="38">
        <v>70.985923999999997</v>
      </c>
      <c r="HB61" s="39" t="s">
        <v>951</v>
      </c>
      <c r="HC61" s="39"/>
      <c r="HD61" s="39"/>
      <c r="HE61" s="69">
        <v>253.63584103939999</v>
      </c>
      <c r="HF61" s="39" t="s">
        <v>876</v>
      </c>
      <c r="HH61" s="39">
        <f t="shared" si="63"/>
        <v>1</v>
      </c>
      <c r="HI61" s="1">
        <f t="shared" si="51"/>
        <v>0.1615923208997751</v>
      </c>
      <c r="HJ61" s="39"/>
      <c r="HK61" s="39"/>
      <c r="HL61" s="39"/>
      <c r="HM61" s="69">
        <v>3.7414360000000002</v>
      </c>
      <c r="HN61" s="39" t="s">
        <v>922</v>
      </c>
      <c r="HO61" s="39"/>
      <c r="HP61" s="39"/>
      <c r="HQ61" s="78">
        <v>23.153550732900001</v>
      </c>
      <c r="HR61" s="39" t="s">
        <v>876</v>
      </c>
      <c r="HT61" s="8">
        <f t="shared" si="52"/>
        <v>0</v>
      </c>
      <c r="HU61" s="39" t="s">
        <v>871</v>
      </c>
      <c r="HV61" s="39"/>
      <c r="HW61" s="39"/>
      <c r="HX61" s="39"/>
      <c r="HY61" s="39" t="s">
        <v>871</v>
      </c>
      <c r="HZ61" s="39" t="s">
        <v>922</v>
      </c>
      <c r="IA61" s="39"/>
      <c r="IB61" s="39"/>
      <c r="IC61" s="69">
        <v>53.532698381000003</v>
      </c>
      <c r="ID61" s="39" t="s">
        <v>876</v>
      </c>
      <c r="IR61" s="42">
        <f>IF(IS61="数据缺失",0,IF(IS61&lt;0%,0,IF(IS61&lt;=100%,4,IF(IS61&lt;200%,3,IF(IS61&lt;300%,2,1)))))</f>
        <v>2</v>
      </c>
      <c r="IS61" s="1">
        <f t="shared" si="55"/>
        <v>2.3034429354201693</v>
      </c>
      <c r="IT61" s="39"/>
      <c r="IU61" s="39"/>
      <c r="IV61" s="39"/>
      <c r="IW61" s="39">
        <v>140.82</v>
      </c>
      <c r="IX61" s="39" t="s">
        <v>922</v>
      </c>
      <c r="IY61" s="39"/>
      <c r="IZ61" s="39"/>
      <c r="JA61" s="69">
        <v>61.134572875500005</v>
      </c>
      <c r="JB61" s="39" t="s">
        <v>876</v>
      </c>
      <c r="JD61" s="39">
        <f t="shared" si="64"/>
        <v>4</v>
      </c>
      <c r="JE61" s="43">
        <f t="shared" si="65"/>
        <v>9.3353710845367338E-2</v>
      </c>
      <c r="JF61" s="39"/>
      <c r="JG61" s="39"/>
      <c r="JH61" s="39"/>
      <c r="JI61" s="39">
        <v>13.2</v>
      </c>
      <c r="JJ61" s="39" t="s">
        <v>1063</v>
      </c>
      <c r="JK61" s="39"/>
      <c r="JL61" s="39"/>
      <c r="JM61" s="36">
        <v>1.37</v>
      </c>
      <c r="JN61" s="39" t="s">
        <v>1063</v>
      </c>
      <c r="JO61" s="39"/>
      <c r="JP61" s="39"/>
      <c r="JQ61" s="39">
        <v>112.57</v>
      </c>
      <c r="JR61" s="39" t="s">
        <v>1063</v>
      </c>
      <c r="JS61" s="39"/>
      <c r="JT61" s="39"/>
      <c r="JU61" s="39">
        <v>93.85</v>
      </c>
      <c r="JV61" s="39" t="s">
        <v>1063</v>
      </c>
      <c r="JX61" s="36">
        <v>2</v>
      </c>
      <c r="JY61" s="36" t="s">
        <v>878</v>
      </c>
      <c r="KB61" s="36">
        <v>11</v>
      </c>
      <c r="KC61" s="36" t="str">
        <f>JY61</f>
        <v>致同会计师事务所（特殊普通合伙）</v>
      </c>
      <c r="KD61" s="36" t="s">
        <v>922</v>
      </c>
      <c r="KF61" s="8">
        <f t="shared" si="58"/>
        <v>3</v>
      </c>
      <c r="KG61" s="1">
        <f t="shared" si="59"/>
        <v>0.8973645748981004</v>
      </c>
      <c r="KH61" s="39"/>
      <c r="KI61" s="39"/>
      <c r="KJ61" s="39"/>
      <c r="KK61" s="39">
        <v>54.86</v>
      </c>
      <c r="KL61" s="39" t="s">
        <v>922</v>
      </c>
      <c r="KM61" s="36" t="s">
        <v>1079</v>
      </c>
      <c r="KN61" s="39"/>
      <c r="KO61" s="69">
        <v>61.134572875500005</v>
      </c>
      <c r="KP61" s="39" t="s">
        <v>876</v>
      </c>
    </row>
    <row r="62" spans="2:302" s="36" customFormat="1" ht="16.5" hidden="1" customHeight="1" x14ac:dyDescent="0.35">
      <c r="B62" s="36" t="s">
        <v>1058</v>
      </c>
      <c r="C62" s="39" t="s">
        <v>1080</v>
      </c>
      <c r="D62" s="36" t="s">
        <v>1081</v>
      </c>
      <c r="E62" s="36" t="s">
        <v>931</v>
      </c>
      <c r="F62" s="36" t="s">
        <v>1082</v>
      </c>
      <c r="G62" s="3" t="s">
        <v>199</v>
      </c>
      <c r="H62" s="91">
        <v>0.9</v>
      </c>
      <c r="I62" s="88"/>
      <c r="J62" s="90"/>
      <c r="L62" s="42">
        <v>4</v>
      </c>
      <c r="M62" s="39" t="s">
        <v>1083</v>
      </c>
      <c r="N62" s="39"/>
      <c r="O62" s="39"/>
      <c r="P62" s="39" t="s">
        <v>864</v>
      </c>
      <c r="Q62" s="39" t="s">
        <v>1062</v>
      </c>
      <c r="R62" s="39" t="s">
        <v>1084</v>
      </c>
      <c r="T62" s="36" t="s">
        <v>129</v>
      </c>
      <c r="U62" s="86">
        <v>0.3382</v>
      </c>
      <c r="X62" s="8">
        <f t="shared" si="25"/>
        <v>3</v>
      </c>
      <c r="Y62" s="1">
        <f t="shared" si="26"/>
        <v>9.5825074420697001E-2</v>
      </c>
      <c r="Z62" s="39"/>
      <c r="AA62" s="39"/>
      <c r="AB62" s="39"/>
      <c r="AC62" s="39">
        <v>70.27</v>
      </c>
      <c r="AD62" s="39" t="s">
        <v>1065</v>
      </c>
      <c r="AE62" s="39"/>
      <c r="AF62" s="39"/>
      <c r="AG62" s="39">
        <v>70.28</v>
      </c>
      <c r="AH62" s="39" t="s">
        <v>1066</v>
      </c>
      <c r="AI62" s="39"/>
      <c r="AJ62" s="39"/>
      <c r="AK62" s="39">
        <v>58.97</v>
      </c>
      <c r="AL62" s="39" t="s">
        <v>1066</v>
      </c>
      <c r="AN62" s="8">
        <f t="shared" si="27"/>
        <v>2</v>
      </c>
      <c r="AO62" s="1">
        <f t="shared" si="28"/>
        <v>0.11393057663227305</v>
      </c>
      <c r="AP62" s="39"/>
      <c r="AQ62" s="39"/>
      <c r="AR62" s="39"/>
      <c r="AS62" s="39">
        <v>74.83</v>
      </c>
      <c r="AT62" s="39" t="s">
        <v>1065</v>
      </c>
      <c r="AU62" s="39"/>
      <c r="AV62" s="39"/>
      <c r="AW62" s="39">
        <v>69.44</v>
      </c>
      <c r="AX62" s="39" t="s">
        <v>1066</v>
      </c>
      <c r="AY62" s="39"/>
      <c r="AZ62" s="39"/>
      <c r="BA62" s="39">
        <v>60.37</v>
      </c>
      <c r="BB62" s="39" t="s">
        <v>1066</v>
      </c>
      <c r="BD62" s="2">
        <f t="shared" si="5"/>
        <v>4</v>
      </c>
      <c r="BE62" s="8">
        <f t="shared" si="61"/>
        <v>70.27</v>
      </c>
      <c r="BF62" s="39"/>
      <c r="BG62" s="39"/>
      <c r="BH62" s="39"/>
      <c r="BI62" s="39">
        <v>70.27</v>
      </c>
      <c r="BJ62" s="39" t="s">
        <v>1065</v>
      </c>
      <c r="BK62" s="39"/>
      <c r="BL62" s="2">
        <f t="shared" si="7"/>
        <v>4</v>
      </c>
      <c r="BM62" s="8">
        <f t="shared" si="30"/>
        <v>74.83</v>
      </c>
      <c r="BN62" s="39"/>
      <c r="BO62" s="39"/>
      <c r="BP62" s="39"/>
      <c r="BQ62" s="39">
        <v>74.83</v>
      </c>
      <c r="BR62" s="39" t="s">
        <v>1065</v>
      </c>
      <c r="BT62" s="8">
        <f t="shared" si="8"/>
        <v>2</v>
      </c>
      <c r="BU62" s="39">
        <v>52</v>
      </c>
      <c r="BV62" s="39"/>
      <c r="BW62" s="39"/>
      <c r="BX62" s="39"/>
      <c r="BY62" s="39">
        <v>52</v>
      </c>
      <c r="BZ62" s="39" t="s">
        <v>398</v>
      </c>
      <c r="CB62" s="39">
        <v>1</v>
      </c>
      <c r="CC62" s="39" t="str">
        <f>CF62</f>
        <v>一级</v>
      </c>
      <c r="CD62" s="39"/>
      <c r="CE62" s="39"/>
      <c r="CF62" s="39" t="s">
        <v>132</v>
      </c>
      <c r="CG62" s="39" t="s">
        <v>1085</v>
      </c>
      <c r="CH62" s="39" t="s">
        <v>1086</v>
      </c>
      <c r="CJ62" s="8">
        <f t="shared" si="32"/>
        <v>2</v>
      </c>
      <c r="CK62" s="12">
        <f t="shared" si="33"/>
        <v>0.24633556282908781</v>
      </c>
      <c r="CL62" s="39"/>
      <c r="CM62" s="39"/>
      <c r="CN62" s="39"/>
      <c r="CO62" s="39">
        <v>17.309999999999999</v>
      </c>
      <c r="CP62" s="39" t="s">
        <v>1087</v>
      </c>
      <c r="CQ62" s="39"/>
      <c r="CR62" s="39"/>
      <c r="CS62" s="39">
        <v>70.27</v>
      </c>
      <c r="CT62" s="39" t="s">
        <v>1065</v>
      </c>
      <c r="CV62" s="8">
        <f t="shared" si="35"/>
        <v>4</v>
      </c>
      <c r="CW62" s="8">
        <f t="shared" si="36"/>
        <v>370.26</v>
      </c>
      <c r="CX62" s="39"/>
      <c r="CY62" s="39"/>
      <c r="CZ62" s="39"/>
      <c r="DA62" s="39">
        <v>370.26</v>
      </c>
      <c r="DB62" s="39" t="s">
        <v>1084</v>
      </c>
      <c r="DC62" s="39"/>
      <c r="DD62" s="39">
        <f t="shared" si="66"/>
        <v>1</v>
      </c>
      <c r="DE62" s="15">
        <f t="shared" si="38"/>
        <v>4.9480155018040897</v>
      </c>
      <c r="DF62" s="39"/>
      <c r="DG62" s="39"/>
      <c r="DH62" s="39"/>
      <c r="DI62" s="39">
        <v>74.83</v>
      </c>
      <c r="DJ62" s="39" t="s">
        <v>1065</v>
      </c>
      <c r="DK62" s="39"/>
      <c r="DL62" s="39"/>
      <c r="DM62" s="39">
        <v>370.26</v>
      </c>
      <c r="DN62" s="39" t="s">
        <v>1088</v>
      </c>
      <c r="DP62" s="36">
        <v>4</v>
      </c>
      <c r="DQ62" s="36" t="s">
        <v>1089</v>
      </c>
      <c r="DU62" s="41">
        <v>0</v>
      </c>
      <c r="DV62" s="36" t="s">
        <v>1084</v>
      </c>
      <c r="DY62" s="41">
        <v>0.46339999999999998</v>
      </c>
      <c r="DZ62" s="36" t="s">
        <v>1084</v>
      </c>
      <c r="EC62" s="41">
        <v>6.9000000000000006E-2</v>
      </c>
      <c r="ED62" s="36" t="s">
        <v>1087</v>
      </c>
      <c r="EG62" s="41">
        <v>0.46760000000000002</v>
      </c>
      <c r="EH62" s="36" t="s">
        <v>1087</v>
      </c>
      <c r="EJ62" s="2">
        <f t="shared" si="41"/>
        <v>1</v>
      </c>
      <c r="EK62" s="8">
        <f t="shared" si="42"/>
        <v>139.80000000000001</v>
      </c>
      <c r="EL62" s="39"/>
      <c r="EM62" s="39"/>
      <c r="EN62" s="39"/>
      <c r="EO62" s="39">
        <v>139.80000000000001</v>
      </c>
      <c r="EP62" s="39" t="s">
        <v>1065</v>
      </c>
      <c r="EQ62" s="39"/>
      <c r="ER62" s="8">
        <f t="shared" si="43"/>
        <v>2</v>
      </c>
      <c r="ES62" s="6">
        <f t="shared" si="62"/>
        <v>77.77</v>
      </c>
      <c r="ET62" s="39"/>
      <c r="EU62" s="39"/>
      <c r="EV62" s="39"/>
      <c r="EW62" s="39">
        <v>77.77</v>
      </c>
      <c r="EX62" s="39" t="s">
        <v>1065</v>
      </c>
      <c r="EZ62" s="8">
        <f t="shared" si="44"/>
        <v>1</v>
      </c>
      <c r="FA62" s="8">
        <f t="shared" si="45"/>
        <v>651.44000000000005</v>
      </c>
      <c r="FE62" s="36">
        <v>651.44000000000005</v>
      </c>
      <c r="FF62" s="36" t="s">
        <v>1090</v>
      </c>
      <c r="FH62" s="39">
        <v>3</v>
      </c>
      <c r="FI62" s="39" t="s">
        <v>1091</v>
      </c>
      <c r="FJ62" s="39"/>
      <c r="FK62" s="39"/>
      <c r="FL62" s="39"/>
      <c r="FM62" s="50">
        <v>0</v>
      </c>
      <c r="FN62" s="39" t="s">
        <v>1087</v>
      </c>
      <c r="FO62" s="39"/>
      <c r="FP62" s="39"/>
      <c r="FQ62" s="40">
        <v>0.56979999999999997</v>
      </c>
      <c r="FR62" s="39" t="s">
        <v>1084</v>
      </c>
      <c r="FS62" s="39"/>
      <c r="FT62" s="39"/>
      <c r="FU62" s="40">
        <v>5.5E-2</v>
      </c>
      <c r="FV62" s="39" t="s">
        <v>1087</v>
      </c>
      <c r="FW62" s="39"/>
      <c r="FX62" s="39"/>
      <c r="FY62" s="40">
        <v>0.37509999999999999</v>
      </c>
      <c r="FZ62" s="39" t="s">
        <v>1087</v>
      </c>
      <c r="GB62" s="39">
        <v>2</v>
      </c>
      <c r="GC62" s="90" t="s">
        <v>1092</v>
      </c>
      <c r="GD62" s="39"/>
      <c r="GE62" s="39"/>
      <c r="GF62" s="39"/>
      <c r="GG62" s="90" t="s">
        <v>1093</v>
      </c>
      <c r="GH62" s="39" t="s">
        <v>1065</v>
      </c>
      <c r="GJ62" s="8">
        <f t="shared" si="46"/>
        <v>4</v>
      </c>
      <c r="GK62" s="1">
        <f t="shared" si="47"/>
        <v>3.9510354030601699E-2</v>
      </c>
      <c r="GL62" s="39"/>
      <c r="GM62" s="39"/>
      <c r="GN62" s="39">
        <v>2.77</v>
      </c>
      <c r="GO62" s="39" t="s">
        <v>1094</v>
      </c>
      <c r="GP62" s="39" t="s">
        <v>1065</v>
      </c>
      <c r="GS62" s="38">
        <v>70.108204999999998</v>
      </c>
      <c r="GT62" s="36" t="s">
        <v>902</v>
      </c>
      <c r="GV62" s="8">
        <f t="shared" si="48"/>
        <v>2</v>
      </c>
      <c r="GW62" s="1">
        <f t="shared" si="49"/>
        <v>0.33122992556792258</v>
      </c>
      <c r="HA62" s="38">
        <v>80.650478000000007</v>
      </c>
      <c r="HB62" s="36" t="s">
        <v>1095</v>
      </c>
      <c r="HE62" s="38">
        <v>243.487897</v>
      </c>
      <c r="HF62" s="36" t="s">
        <v>1096</v>
      </c>
      <c r="HH62" s="36">
        <f t="shared" ref="HH62:HH68" si="67">IF(HI62="数据缺失",0,IF(HI62&lt;20%,1,IF(HI62&lt;40%,2,IF(HI62&lt;60%,3,IF(HI62&lt;80%,4,IF(HI62&lt;=100%,5,0))))))</f>
        <v>1</v>
      </c>
      <c r="HI62" s="1">
        <f t="shared" si="51"/>
        <v>0.14696879138279009</v>
      </c>
      <c r="HM62" s="38">
        <v>2.8521450000000002</v>
      </c>
      <c r="HN62" s="36" t="s">
        <v>1086</v>
      </c>
      <c r="HQ62" s="83">
        <v>19.406466999999999</v>
      </c>
      <c r="HR62" s="36" t="s">
        <v>1097</v>
      </c>
      <c r="HT62" s="8">
        <f t="shared" si="52"/>
        <v>2</v>
      </c>
      <c r="HU62" s="10">
        <f t="shared" si="53"/>
        <v>0.18095629009295131</v>
      </c>
      <c r="HY62" s="36">
        <v>12.8</v>
      </c>
      <c r="HZ62" s="36" t="s">
        <v>1098</v>
      </c>
      <c r="IC62" s="36">
        <v>70.735314000000002</v>
      </c>
      <c r="ID62" s="39" t="s">
        <v>1099</v>
      </c>
      <c r="IR62" s="42">
        <f>IF(IS62="数据缺失",0,IF(IS62&lt;0%,0,IF(IS62&lt;=100%,4,IF(IS62&lt;200%,3,IF(IS62&lt;300%,2,1)))))</f>
        <v>3</v>
      </c>
      <c r="IS62" s="1">
        <f t="shared" si="55"/>
        <v>1.9669986934309249</v>
      </c>
      <c r="IT62" s="39"/>
      <c r="IU62" s="39"/>
      <c r="IV62" s="39"/>
      <c r="IW62" s="39">
        <v>119.34</v>
      </c>
      <c r="IX62" s="39" t="s">
        <v>1087</v>
      </c>
      <c r="IY62" s="39"/>
      <c r="IZ62" s="39"/>
      <c r="JA62" s="69">
        <v>60.671112999999998</v>
      </c>
      <c r="JB62" s="39" t="s">
        <v>1099</v>
      </c>
      <c r="JD62" s="39">
        <f t="shared" si="64"/>
        <v>4</v>
      </c>
      <c r="JE62" s="43">
        <f t="shared" si="65"/>
        <v>9.8777459795544184E-2</v>
      </c>
      <c r="JI62" s="36">
        <v>13.14</v>
      </c>
      <c r="JJ62" s="36" t="s">
        <v>1052</v>
      </c>
      <c r="JM62" s="36">
        <v>1.62</v>
      </c>
      <c r="JN62" s="39" t="s">
        <v>1065</v>
      </c>
      <c r="JQ62" s="36">
        <v>89.57</v>
      </c>
      <c r="JR62" s="39" t="s">
        <v>1065</v>
      </c>
      <c r="JU62" s="36">
        <v>74.66</v>
      </c>
      <c r="JV62" s="39" t="s">
        <v>1065</v>
      </c>
      <c r="JX62" s="36">
        <v>2</v>
      </c>
      <c r="JY62" s="36" t="s">
        <v>1100</v>
      </c>
      <c r="KB62" s="36">
        <v>10</v>
      </c>
      <c r="KC62" s="36" t="str">
        <f>JY62</f>
        <v>致同会计师事务所（特殊普通合伙）</v>
      </c>
      <c r="KD62" s="36" t="s">
        <v>1086</v>
      </c>
      <c r="KF62" s="8">
        <f t="shared" si="58"/>
        <v>1</v>
      </c>
      <c r="KG62" s="1">
        <f t="shared" si="59"/>
        <v>4.4502232883052604E-3</v>
      </c>
      <c r="KH62" s="39"/>
      <c r="KI62" s="39"/>
      <c r="KJ62" s="39"/>
      <c r="KK62" s="39">
        <v>0.27</v>
      </c>
      <c r="KL62" s="39" t="s">
        <v>1095</v>
      </c>
      <c r="KM62" s="39"/>
      <c r="KN62" s="39"/>
      <c r="KO62" s="69">
        <v>60.671112999999998</v>
      </c>
      <c r="KP62" s="39" t="s">
        <v>1101</v>
      </c>
    </row>
    <row r="63" spans="2:302" s="36" customFormat="1" ht="16.5" customHeight="1" x14ac:dyDescent="0.35">
      <c r="B63" s="36" t="s">
        <v>1102</v>
      </c>
      <c r="C63" s="39" t="s">
        <v>907</v>
      </c>
      <c r="D63" s="36" t="s">
        <v>906</v>
      </c>
      <c r="E63" s="36" t="s">
        <v>908</v>
      </c>
      <c r="F63" s="36" t="s">
        <v>1103</v>
      </c>
      <c r="G63" s="3" t="s">
        <v>174</v>
      </c>
      <c r="H63" s="40">
        <v>0.87190000000000001</v>
      </c>
      <c r="I63" s="88"/>
      <c r="J63" s="90"/>
      <c r="L63" s="42">
        <v>3</v>
      </c>
      <c r="M63" s="39" t="s">
        <v>1104</v>
      </c>
      <c r="N63" s="39"/>
      <c r="O63" s="39"/>
      <c r="P63" s="39" t="s">
        <v>864</v>
      </c>
      <c r="Q63" s="39" t="s">
        <v>1105</v>
      </c>
      <c r="R63" s="36" t="s">
        <v>1106</v>
      </c>
      <c r="T63" s="36" t="s">
        <v>709</v>
      </c>
      <c r="U63" s="86">
        <v>1</v>
      </c>
      <c r="X63" s="8">
        <f t="shared" si="25"/>
        <v>0</v>
      </c>
      <c r="Y63" s="39" t="s">
        <v>871</v>
      </c>
      <c r="Z63" s="39"/>
      <c r="AA63" s="39"/>
      <c r="AB63" s="39"/>
      <c r="AC63" s="39" t="s">
        <v>871</v>
      </c>
      <c r="AD63" s="39"/>
      <c r="AE63" s="39"/>
      <c r="AF63" s="39"/>
      <c r="AG63" s="39" t="s">
        <v>871</v>
      </c>
      <c r="AH63" s="39"/>
      <c r="AI63" s="39"/>
      <c r="AJ63" s="39"/>
      <c r="AK63" s="39" t="s">
        <v>871</v>
      </c>
      <c r="AL63" s="39"/>
      <c r="AM63" s="39"/>
      <c r="AN63" s="8">
        <f t="shared" si="27"/>
        <v>0</v>
      </c>
      <c r="AO63" s="39" t="s">
        <v>871</v>
      </c>
      <c r="AP63" s="39"/>
      <c r="AQ63" s="39"/>
      <c r="AR63" s="39"/>
      <c r="AS63" s="39" t="s">
        <v>871</v>
      </c>
      <c r="AT63" s="39"/>
      <c r="AU63" s="39"/>
      <c r="AV63" s="39"/>
      <c r="AW63" s="39" t="s">
        <v>871</v>
      </c>
      <c r="AX63" s="39"/>
      <c r="AY63" s="39"/>
      <c r="AZ63" s="39"/>
      <c r="BA63" s="39" t="s">
        <v>871</v>
      </c>
      <c r="BD63" s="2">
        <f t="shared" si="5"/>
        <v>0</v>
      </c>
      <c r="BE63" s="8" t="str">
        <f t="shared" si="61"/>
        <v>数据缺失</v>
      </c>
      <c r="BF63" s="39"/>
      <c r="BG63" s="39"/>
      <c r="BH63" s="39"/>
      <c r="BI63" s="39" t="s">
        <v>871</v>
      </c>
      <c r="BL63" s="2">
        <f t="shared" si="7"/>
        <v>0</v>
      </c>
      <c r="BM63" s="8" t="str">
        <f t="shared" si="30"/>
        <v>数据缺失</v>
      </c>
      <c r="BN63" s="39"/>
      <c r="BO63" s="39"/>
      <c r="BP63" s="39"/>
      <c r="BQ63" s="39" t="s">
        <v>871</v>
      </c>
      <c r="BT63" s="8">
        <f t="shared" si="8"/>
        <v>5</v>
      </c>
      <c r="BU63" s="36" t="str">
        <f>BY63</f>
        <v>未上榜</v>
      </c>
      <c r="BY63" s="36" t="s">
        <v>975</v>
      </c>
      <c r="BZ63" s="39" t="s">
        <v>234</v>
      </c>
      <c r="CB63" s="36">
        <v>2</v>
      </c>
      <c r="CC63" s="36" t="s">
        <v>134</v>
      </c>
      <c r="CF63" s="36" t="s">
        <v>134</v>
      </c>
      <c r="CG63" s="36" t="s">
        <v>1176</v>
      </c>
      <c r="CH63" s="36" t="s">
        <v>1246</v>
      </c>
      <c r="CJ63" s="8">
        <f t="shared" si="32"/>
        <v>0</v>
      </c>
      <c r="CK63" s="39" t="s">
        <v>1147</v>
      </c>
      <c r="CO63" s="36">
        <v>7.4</v>
      </c>
      <c r="CP63" s="36" t="s">
        <v>1107</v>
      </c>
      <c r="CS63" s="36" t="str">
        <f>AC63</f>
        <v>数据缺失</v>
      </c>
      <c r="CV63" s="8">
        <f t="shared" si="35"/>
        <v>5</v>
      </c>
      <c r="CW63" s="8">
        <f t="shared" si="36"/>
        <v>20.6</v>
      </c>
      <c r="DA63" s="36">
        <v>20.6</v>
      </c>
      <c r="DB63" s="36" t="s">
        <v>1107</v>
      </c>
      <c r="DD63" s="39">
        <f t="shared" ref="DD63:DD68" si="68">IF(DE63="数据缺失",0,IF(DE63&lt;0,0,IF(DE63&lt;2,3,IF(DE63&lt;=5,1,2))))</f>
        <v>0</v>
      </c>
      <c r="DE63" s="69" t="s">
        <v>871</v>
      </c>
      <c r="DF63" s="39"/>
      <c r="DG63" s="39"/>
      <c r="DH63" s="39"/>
      <c r="DI63" s="39" t="s">
        <v>871</v>
      </c>
      <c r="DJ63" s="39"/>
      <c r="DK63" s="39"/>
      <c r="DL63" s="39"/>
      <c r="DM63" s="39">
        <v>20.6</v>
      </c>
      <c r="DN63" s="36" t="s">
        <v>1107</v>
      </c>
      <c r="DO63" s="36" t="s">
        <v>1108</v>
      </c>
      <c r="DP63" s="36">
        <v>3</v>
      </c>
      <c r="DQ63" s="36" t="s">
        <v>1109</v>
      </c>
      <c r="DS63" s="58" t="s">
        <v>1110</v>
      </c>
      <c r="DU63" s="41">
        <v>0</v>
      </c>
      <c r="DV63" s="36" t="s">
        <v>1107</v>
      </c>
      <c r="DY63" s="41">
        <v>1</v>
      </c>
      <c r="DZ63" s="36" t="s">
        <v>1107</v>
      </c>
      <c r="EC63" s="41">
        <v>0</v>
      </c>
      <c r="ED63" s="36" t="s">
        <v>1107</v>
      </c>
      <c r="EG63" s="41">
        <v>0</v>
      </c>
      <c r="EH63" s="36" t="s">
        <v>1107</v>
      </c>
      <c r="EJ63" s="2">
        <f t="shared" si="41"/>
        <v>0</v>
      </c>
      <c r="EK63" s="8" t="str">
        <f t="shared" si="42"/>
        <v>数据缺失</v>
      </c>
      <c r="EL63" s="39"/>
      <c r="EM63" s="39"/>
      <c r="EN63" s="39"/>
      <c r="EO63" s="39" t="s">
        <v>871</v>
      </c>
      <c r="EP63" s="39"/>
      <c r="EQ63" s="39"/>
      <c r="ER63" s="8">
        <f t="shared" si="43"/>
        <v>0</v>
      </c>
      <c r="ES63" s="6" t="str">
        <f t="shared" si="62"/>
        <v>数据缺失</v>
      </c>
      <c r="ET63" s="39"/>
      <c r="EU63" s="39"/>
      <c r="EV63" s="39"/>
      <c r="EW63" s="39" t="s">
        <v>871</v>
      </c>
      <c r="EZ63" s="8">
        <f t="shared" si="44"/>
        <v>1</v>
      </c>
      <c r="FA63" s="8">
        <f t="shared" si="45"/>
        <v>360.24</v>
      </c>
      <c r="FB63" s="39"/>
      <c r="FC63" s="39"/>
      <c r="FD63" s="39"/>
      <c r="FE63" s="39">
        <v>360.24</v>
      </c>
      <c r="FF63" s="36" t="s">
        <v>1107</v>
      </c>
      <c r="FG63" s="36" t="s">
        <v>1108</v>
      </c>
      <c r="FH63" s="36">
        <v>3</v>
      </c>
      <c r="FI63" s="36" t="s">
        <v>1109</v>
      </c>
      <c r="FK63" s="36" t="s">
        <v>1107</v>
      </c>
      <c r="FL63" s="36" t="s">
        <v>1108</v>
      </c>
      <c r="FM63" s="36">
        <v>0</v>
      </c>
      <c r="FN63" s="36" t="s">
        <v>1111</v>
      </c>
      <c r="FQ63" s="86">
        <v>1</v>
      </c>
      <c r="FR63" s="36" t="s">
        <v>1111</v>
      </c>
      <c r="FU63" s="36">
        <v>0</v>
      </c>
      <c r="FV63" s="36" t="s">
        <v>1111</v>
      </c>
      <c r="FY63" s="36">
        <v>0</v>
      </c>
      <c r="FZ63" s="36" t="s">
        <v>1111</v>
      </c>
      <c r="GB63" s="39">
        <v>1</v>
      </c>
      <c r="GC63" s="39" t="str">
        <f>GG63</f>
        <v>房地产销售：87.03%</v>
      </c>
      <c r="GD63" s="39"/>
      <c r="GE63" s="39"/>
      <c r="GF63" s="39"/>
      <c r="GG63" s="39" t="s">
        <v>1112</v>
      </c>
      <c r="GH63" s="36" t="s">
        <v>1106</v>
      </c>
      <c r="GJ63" s="8">
        <f t="shared" si="46"/>
        <v>4</v>
      </c>
      <c r="GK63" s="1">
        <f t="shared" si="47"/>
        <v>0</v>
      </c>
      <c r="GN63" s="36">
        <v>0</v>
      </c>
      <c r="GO63" s="36" t="s">
        <v>921</v>
      </c>
      <c r="GP63" s="36" t="s">
        <v>1106</v>
      </c>
      <c r="GS63" s="69">
        <v>18.176643342799998</v>
      </c>
      <c r="GT63" s="39" t="s">
        <v>876</v>
      </c>
      <c r="GV63" s="8">
        <f t="shared" si="48"/>
        <v>1</v>
      </c>
      <c r="GW63" s="1">
        <f t="shared" si="49"/>
        <v>1.8615524324062837E-2</v>
      </c>
      <c r="GX63" s="39"/>
      <c r="GY63" s="39"/>
      <c r="GZ63" s="39"/>
      <c r="HA63" s="69">
        <v>10.175751999999999</v>
      </c>
      <c r="HB63" s="39" t="s">
        <v>1111</v>
      </c>
      <c r="HC63" s="39"/>
      <c r="HD63" s="39"/>
      <c r="HE63" s="69">
        <v>546.62720334160008</v>
      </c>
      <c r="HF63" s="39" t="s">
        <v>876</v>
      </c>
      <c r="HH63" s="39">
        <f t="shared" si="67"/>
        <v>1</v>
      </c>
      <c r="HI63" s="1">
        <f t="shared" si="51"/>
        <v>2.7396590461618724E-2</v>
      </c>
      <c r="HJ63" s="39"/>
      <c r="HK63" s="39"/>
      <c r="HL63" s="39"/>
      <c r="HM63" s="69">
        <v>3.5865764800000002</v>
      </c>
      <c r="HN63" s="39" t="s">
        <v>1113</v>
      </c>
      <c r="HO63" s="39"/>
      <c r="HP63" s="39"/>
      <c r="HQ63" s="78">
        <v>130.91324210670001</v>
      </c>
      <c r="HR63" s="39" t="s">
        <v>876</v>
      </c>
      <c r="HT63" s="8">
        <f t="shared" si="52"/>
        <v>3</v>
      </c>
      <c r="HU63" s="10">
        <f t="shared" si="53"/>
        <v>6.8588356282022728E-2</v>
      </c>
      <c r="HV63" s="39"/>
      <c r="HW63" s="39"/>
      <c r="HX63" s="39"/>
      <c r="HY63" s="39">
        <v>2.4900000000000002</v>
      </c>
      <c r="HZ63" s="39" t="s">
        <v>1114</v>
      </c>
      <c r="IA63" s="39"/>
      <c r="IB63" s="39"/>
      <c r="IC63" s="69">
        <v>36.303538019800001</v>
      </c>
      <c r="ID63" s="39" t="s">
        <v>1115</v>
      </c>
      <c r="IR63" s="3" t="str">
        <f>IF(IS63&gt;=300%,"1",IF(IS63&gt;=200%,"2",IF(IS63&gt;=100%,"3",IF(IS63&gt;=0%,"4",IF(IS63=数据缺失,"0")))))</f>
        <v>4</v>
      </c>
      <c r="IS63" s="1">
        <f t="shared" si="55"/>
        <v>0.74823698024275653</v>
      </c>
      <c r="IW63" s="38">
        <v>130.699985</v>
      </c>
      <c r="IX63" s="36" t="s">
        <v>1106</v>
      </c>
      <c r="JA63" s="38">
        <v>174.67725927900003</v>
      </c>
      <c r="JB63" s="39" t="s">
        <v>876</v>
      </c>
      <c r="JD63" s="39">
        <f t="shared" ref="JD63:JD68" si="69">IF(JE63="数据缺失",0,IF(JE63&lt;0%,0,IF(JE63&lt;4%,1,IF(JE63&lt;6%,2,IF(JE63&lt;8%,3,4)))))</f>
        <v>2</v>
      </c>
      <c r="JE63" s="43">
        <f t="shared" si="65"/>
        <v>5.8073334985022186E-2</v>
      </c>
      <c r="JF63" s="39"/>
      <c r="JG63" s="39"/>
      <c r="JH63" s="39"/>
      <c r="JI63" s="39">
        <v>2.578398</v>
      </c>
      <c r="JJ63" s="39" t="s">
        <v>1107</v>
      </c>
      <c r="JK63" s="39"/>
      <c r="JL63" s="39"/>
      <c r="JM63" s="39">
        <v>0.2</v>
      </c>
      <c r="JN63" s="39" t="s">
        <v>1107</v>
      </c>
      <c r="JO63" s="39"/>
      <c r="JP63" s="39"/>
      <c r="JQ63" s="39">
        <v>203.23</v>
      </c>
      <c r="JR63" s="39" t="s">
        <v>1107</v>
      </c>
      <c r="JS63" s="39"/>
      <c r="JT63" s="39"/>
      <c r="JU63" s="39">
        <v>240.76</v>
      </c>
      <c r="JV63" s="39" t="s">
        <v>1107</v>
      </c>
      <c r="JX63" s="36">
        <v>2</v>
      </c>
      <c r="JY63" s="36" t="s">
        <v>1116</v>
      </c>
      <c r="KB63" s="36">
        <v>19</v>
      </c>
      <c r="KC63" s="36" t="str">
        <f>JY63</f>
        <v>中兴华会计师事务所（特殊普通合伙）</v>
      </c>
      <c r="KD63" s="39" t="s">
        <v>1107</v>
      </c>
      <c r="KF63" s="8">
        <f t="shared" si="58"/>
        <v>2</v>
      </c>
      <c r="KG63" s="1">
        <f t="shared" si="59"/>
        <v>0.23798484228334624</v>
      </c>
      <c r="KH63" s="39"/>
      <c r="KI63" s="39"/>
      <c r="KJ63" s="39"/>
      <c r="KK63" s="39">
        <v>41.570540000000001</v>
      </c>
      <c r="KL63" s="39" t="s">
        <v>1111</v>
      </c>
      <c r="KM63" s="39"/>
      <c r="KN63" s="39"/>
      <c r="KO63" s="69">
        <v>174.67725927900003</v>
      </c>
      <c r="KP63" s="39" t="s">
        <v>876</v>
      </c>
    </row>
    <row r="64" spans="2:302" s="39" customFormat="1" ht="16.5" hidden="1" customHeight="1" x14ac:dyDescent="0.35">
      <c r="B64" s="39" t="s">
        <v>1117</v>
      </c>
      <c r="C64" s="39" t="s">
        <v>907</v>
      </c>
      <c r="D64" s="36" t="s">
        <v>906</v>
      </c>
      <c r="E64" s="36" t="s">
        <v>908</v>
      </c>
      <c r="F64" s="36" t="s">
        <v>1118</v>
      </c>
      <c r="G64" s="3" t="s">
        <v>174</v>
      </c>
      <c r="H64" s="40">
        <v>0.63900000000000001</v>
      </c>
      <c r="L64" s="3">
        <v>4</v>
      </c>
      <c r="M64" s="36" t="s">
        <v>1119</v>
      </c>
      <c r="N64" s="36"/>
      <c r="O64" s="36"/>
      <c r="P64" s="36" t="s">
        <v>1061</v>
      </c>
      <c r="Q64" s="36" t="s">
        <v>1120</v>
      </c>
      <c r="R64" s="39" t="s">
        <v>1121</v>
      </c>
      <c r="S64" s="36"/>
      <c r="T64" s="36" t="s">
        <v>129</v>
      </c>
      <c r="U64" s="41">
        <v>0.34649999999999997</v>
      </c>
      <c r="X64" s="8">
        <f t="shared" si="25"/>
        <v>1</v>
      </c>
      <c r="Y64" s="1">
        <f t="shared" si="26"/>
        <v>0.32893455596011822</v>
      </c>
      <c r="AC64" s="39">
        <v>37.69</v>
      </c>
      <c r="AD64" s="39" t="s">
        <v>1121</v>
      </c>
      <c r="AG64" s="39">
        <v>24.34</v>
      </c>
      <c r="AH64" s="39" t="s">
        <v>1121</v>
      </c>
      <c r="AK64" s="39">
        <v>21.94</v>
      </c>
      <c r="AL64" s="39" t="s">
        <v>1122</v>
      </c>
      <c r="AN64" s="8">
        <f t="shared" si="27"/>
        <v>2</v>
      </c>
      <c r="AO64" s="1">
        <f t="shared" si="28"/>
        <v>0.12757620013759166</v>
      </c>
      <c r="AS64" s="39">
        <v>32.369999999999997</v>
      </c>
      <c r="AT64" s="39" t="s">
        <v>1121</v>
      </c>
      <c r="AW64" s="39">
        <v>21.99</v>
      </c>
      <c r="AX64" s="39" t="s">
        <v>1121</v>
      </c>
      <c r="BA64" s="39">
        <v>28.08</v>
      </c>
      <c r="BB64" s="39" t="s">
        <v>1122</v>
      </c>
      <c r="BD64" s="2">
        <f t="shared" si="5"/>
        <v>5</v>
      </c>
      <c r="BE64" s="8">
        <f t="shared" si="61"/>
        <v>37.69</v>
      </c>
      <c r="BI64" s="39">
        <v>37.69</v>
      </c>
      <c r="BJ64" s="39" t="s">
        <v>1121</v>
      </c>
      <c r="BL64" s="2">
        <f t="shared" si="7"/>
        <v>5</v>
      </c>
      <c r="BM64" s="8">
        <f t="shared" si="30"/>
        <v>32.369999999999997</v>
      </c>
      <c r="BQ64" s="39">
        <v>32.369999999999997</v>
      </c>
      <c r="BR64" s="39" t="s">
        <v>1121</v>
      </c>
      <c r="BT64" s="8">
        <f t="shared" si="8"/>
        <v>3</v>
      </c>
      <c r="BU64" s="39">
        <v>261</v>
      </c>
      <c r="BY64" s="39">
        <v>261</v>
      </c>
      <c r="BZ64" s="39" t="s">
        <v>234</v>
      </c>
      <c r="CB64" s="39">
        <v>1</v>
      </c>
      <c r="CC64" s="39" t="str">
        <f>CF64</f>
        <v>一级</v>
      </c>
      <c r="CF64" s="39" t="s">
        <v>132</v>
      </c>
      <c r="CG64" s="39" t="s">
        <v>1026</v>
      </c>
      <c r="CH64" s="39" t="s">
        <v>1123</v>
      </c>
      <c r="CI64" s="39" t="s">
        <v>1124</v>
      </c>
      <c r="CJ64" s="8">
        <f t="shared" si="32"/>
        <v>2</v>
      </c>
      <c r="CK64" s="12">
        <f t="shared" si="33"/>
        <v>0.27593526134253121</v>
      </c>
      <c r="CO64" s="39">
        <v>10.4</v>
      </c>
      <c r="CP64" s="39" t="s">
        <v>1121</v>
      </c>
      <c r="CS64" s="39">
        <v>37.69</v>
      </c>
      <c r="CT64" s="39" t="s">
        <v>1121</v>
      </c>
      <c r="CV64" s="8">
        <f t="shared" si="35"/>
        <v>0</v>
      </c>
      <c r="CW64" s="8" t="str">
        <f t="shared" si="36"/>
        <v>数据缺失</v>
      </c>
      <c r="CX64" s="36"/>
      <c r="CY64" s="36"/>
      <c r="CZ64" s="36"/>
      <c r="DA64" s="36" t="s">
        <v>871</v>
      </c>
      <c r="DD64" s="36">
        <f t="shared" si="68"/>
        <v>0</v>
      </c>
      <c r="DE64" s="69" t="s">
        <v>871</v>
      </c>
      <c r="DF64" s="36"/>
      <c r="DG64" s="36"/>
      <c r="DH64" s="36"/>
      <c r="DI64" s="37">
        <f>BQ64</f>
        <v>32.369999999999997</v>
      </c>
      <c r="DJ64" s="36" t="str">
        <f>BR64</f>
        <v>评级20160624</v>
      </c>
      <c r="DK64" s="36"/>
      <c r="DL64" s="36"/>
      <c r="DM64" s="92" t="str">
        <f>DA64</f>
        <v>数据缺失</v>
      </c>
      <c r="DP64" s="39">
        <v>5</v>
      </c>
      <c r="DQ64" s="39" t="s">
        <v>871</v>
      </c>
      <c r="DU64" s="40" t="s">
        <v>871</v>
      </c>
      <c r="DY64" s="40" t="s">
        <v>871</v>
      </c>
      <c r="EC64" s="40" t="s">
        <v>871</v>
      </c>
      <c r="EG64" s="40" t="s">
        <v>871</v>
      </c>
      <c r="EJ64" s="2">
        <f t="shared" si="41"/>
        <v>3</v>
      </c>
      <c r="EK64" s="8">
        <f t="shared" si="42"/>
        <v>37.15</v>
      </c>
      <c r="EL64" s="36"/>
      <c r="EM64" s="36"/>
      <c r="EN64" s="36"/>
      <c r="EO64" s="36">
        <v>37.15</v>
      </c>
      <c r="EP64" s="36" t="s">
        <v>1121</v>
      </c>
      <c r="EQ64" s="36"/>
      <c r="ER64" s="8">
        <f t="shared" si="43"/>
        <v>3</v>
      </c>
      <c r="ES64" s="6">
        <f t="shared" si="62"/>
        <v>47.15</v>
      </c>
      <c r="ET64" s="36"/>
      <c r="EU64" s="36"/>
      <c r="EV64" s="36"/>
      <c r="EW64" s="36">
        <v>47.15</v>
      </c>
      <c r="EX64" s="36" t="s">
        <v>1121</v>
      </c>
      <c r="EZ64" s="8">
        <f t="shared" si="44"/>
        <v>0</v>
      </c>
      <c r="FA64" s="8" t="str">
        <f t="shared" si="45"/>
        <v>数据缺失</v>
      </c>
      <c r="FB64" s="36"/>
      <c r="FC64" s="36"/>
      <c r="FD64" s="36"/>
      <c r="FE64" s="36" t="s">
        <v>871</v>
      </c>
      <c r="FF64" s="36"/>
      <c r="FG64" s="36"/>
      <c r="FH64" s="36">
        <v>5</v>
      </c>
      <c r="FI64" s="36" t="s">
        <v>871</v>
      </c>
      <c r="FJ64" s="36"/>
      <c r="FK64" s="36"/>
      <c r="FL64" s="36"/>
      <c r="FM64" s="36" t="s">
        <v>871</v>
      </c>
      <c r="FN64" s="36"/>
      <c r="FO64" s="36"/>
      <c r="FP64" s="36"/>
      <c r="FQ64" s="36" t="s">
        <v>871</v>
      </c>
      <c r="FR64" s="36"/>
      <c r="FS64" s="36"/>
      <c r="FT64" s="36"/>
      <c r="FU64" s="36" t="s">
        <v>871</v>
      </c>
      <c r="FV64" s="36"/>
      <c r="FW64" s="36"/>
      <c r="FX64" s="36"/>
      <c r="FY64" s="36" t="s">
        <v>871</v>
      </c>
      <c r="GB64" s="36">
        <v>1</v>
      </c>
      <c r="GC64" s="36" t="str">
        <f>GG64</f>
        <v xml:space="preserve">房地产开发销售占比63.90%  市政基础设施承建占比17.23%   </v>
      </c>
      <c r="GD64" s="36"/>
      <c r="GE64" s="36"/>
      <c r="GF64" s="36"/>
      <c r="GG64" s="36" t="s">
        <v>1125</v>
      </c>
      <c r="GH64" s="36" t="s">
        <v>1126</v>
      </c>
      <c r="GJ64" s="8">
        <f>IF(GK64="数据缺失",0,IF(GK64&lt;0%,0,IF(GK64&lt;=5%,4,IF(GK64&lt;10%,3,IF(GK64&lt;20%,2,1)))))</f>
        <v>3</v>
      </c>
      <c r="GK64" s="1">
        <f>GN64/GS64</f>
        <v>9.099574231929837E-2</v>
      </c>
      <c r="GL64" s="36"/>
      <c r="GM64" s="36"/>
      <c r="GN64" s="38">
        <v>3.4925270109</v>
      </c>
      <c r="GO64" s="36" t="s">
        <v>2859</v>
      </c>
      <c r="GP64" s="36" t="s">
        <v>146</v>
      </c>
      <c r="GQ64" s="36"/>
      <c r="GR64" s="36"/>
      <c r="GS64" s="38">
        <v>38.381213470900001</v>
      </c>
      <c r="GT64" s="39" t="s">
        <v>902</v>
      </c>
      <c r="GV64" s="8">
        <f t="shared" si="48"/>
        <v>1</v>
      </c>
      <c r="GW64" s="1">
        <f t="shared" si="49"/>
        <v>1.4416566888237365E-3</v>
      </c>
      <c r="HA64" s="69">
        <v>0.32650000000000001</v>
      </c>
      <c r="HB64" s="39" t="s">
        <v>951</v>
      </c>
      <c r="HE64" s="69">
        <v>226.4755558873</v>
      </c>
      <c r="HF64" s="39" t="s">
        <v>902</v>
      </c>
      <c r="HH64" s="39">
        <f t="shared" si="67"/>
        <v>1</v>
      </c>
      <c r="HI64" s="1">
        <f t="shared" si="51"/>
        <v>2.6303164919770645E-2</v>
      </c>
      <c r="HM64" s="39">
        <v>0.32650000000000001</v>
      </c>
      <c r="HN64" s="39" t="s">
        <v>1127</v>
      </c>
      <c r="HQ64" s="78">
        <v>12.412954904699999</v>
      </c>
      <c r="HR64" s="39" t="s">
        <v>902</v>
      </c>
      <c r="HT64" s="6">
        <f t="shared" si="52"/>
        <v>4</v>
      </c>
      <c r="HU64" s="36">
        <v>0</v>
      </c>
      <c r="HY64" s="39">
        <v>0</v>
      </c>
      <c r="HZ64" s="39" t="s">
        <v>951</v>
      </c>
      <c r="IC64" s="39">
        <v>0</v>
      </c>
      <c r="ID64" s="39" t="s">
        <v>902</v>
      </c>
      <c r="IR64" s="3" t="str">
        <f>IF(IS64&gt;=300%,"1",IF(IS64&gt;=200%,"2",IF(IS64&gt;=100%,"3",IF(IS64&gt;=0%,"4",IF(IS64=数据缺失,"0")))))</f>
        <v>4</v>
      </c>
      <c r="IS64" s="1">
        <f t="shared" si="55"/>
        <v>0.67864483590937097</v>
      </c>
      <c r="IT64" s="36"/>
      <c r="IU64" s="36"/>
      <c r="IV64" s="36"/>
      <c r="IW64" s="36">
        <v>64.3</v>
      </c>
      <c r="IX64" s="36" t="s">
        <v>1126</v>
      </c>
      <c r="IY64" s="36" t="s">
        <v>1128</v>
      </c>
      <c r="IZ64" s="36"/>
      <c r="JA64" s="38">
        <v>94.747645009099998</v>
      </c>
      <c r="JB64" s="39" t="s">
        <v>902</v>
      </c>
      <c r="JD64" s="36">
        <f t="shared" si="69"/>
        <v>0</v>
      </c>
      <c r="JE64" s="5" t="s">
        <v>1129</v>
      </c>
      <c r="JF64" s="36"/>
      <c r="JG64" s="36"/>
      <c r="JH64" s="36"/>
      <c r="JI64" s="36">
        <v>13.2</v>
      </c>
      <c r="JJ64" s="36" t="s">
        <v>1130</v>
      </c>
      <c r="JK64" s="36"/>
      <c r="JL64" s="36"/>
      <c r="JM64" s="36" t="s">
        <v>887</v>
      </c>
      <c r="JN64" s="36"/>
      <c r="JO64" s="36"/>
      <c r="JP64" s="36"/>
      <c r="JQ64" s="36">
        <v>32.81</v>
      </c>
      <c r="JR64" s="36" t="s">
        <v>1131</v>
      </c>
      <c r="JU64" s="39">
        <v>46.89</v>
      </c>
      <c r="JV64" s="39" t="s">
        <v>1126</v>
      </c>
      <c r="JX64" s="39">
        <v>2</v>
      </c>
      <c r="JY64" s="39" t="s">
        <v>754</v>
      </c>
      <c r="KB64" s="39">
        <v>4</v>
      </c>
      <c r="KC64" s="39" t="s">
        <v>754</v>
      </c>
      <c r="KD64" s="39" t="s">
        <v>951</v>
      </c>
      <c r="KF64" s="8">
        <f t="shared" si="58"/>
        <v>2</v>
      </c>
      <c r="KG64" s="1">
        <f t="shared" si="59"/>
        <v>0.28296629428019038</v>
      </c>
      <c r="KK64" s="69">
        <v>26.810390000000002</v>
      </c>
      <c r="KL64" s="39" t="s">
        <v>951</v>
      </c>
      <c r="KM64" s="39" t="s">
        <v>1132</v>
      </c>
      <c r="KO64" s="69">
        <v>94.747645009099998</v>
      </c>
      <c r="KP64" s="39" t="s">
        <v>902</v>
      </c>
    </row>
    <row r="65" spans="2:302" s="39" customFormat="1" ht="16.5" hidden="1" customHeight="1" x14ac:dyDescent="0.35">
      <c r="B65" s="39" t="s">
        <v>1117</v>
      </c>
      <c r="C65" s="39" t="s">
        <v>1133</v>
      </c>
      <c r="D65" s="36" t="s">
        <v>1134</v>
      </c>
      <c r="E65" s="36" t="s">
        <v>1135</v>
      </c>
      <c r="F65" s="36" t="s">
        <v>1136</v>
      </c>
      <c r="G65" s="3" t="s">
        <v>199</v>
      </c>
      <c r="H65" s="40">
        <v>0.54190000000000005</v>
      </c>
      <c r="L65" s="3">
        <v>4</v>
      </c>
      <c r="M65" s="36" t="s">
        <v>1137</v>
      </c>
      <c r="N65" s="36"/>
      <c r="O65" s="36"/>
      <c r="P65" s="36" t="s">
        <v>1138</v>
      </c>
      <c r="Q65" s="36" t="s">
        <v>1120</v>
      </c>
      <c r="R65" s="36" t="s">
        <v>1139</v>
      </c>
      <c r="S65" s="36"/>
      <c r="T65" s="36" t="s">
        <v>129</v>
      </c>
      <c r="U65" s="41">
        <v>0.34649999999999997</v>
      </c>
      <c r="V65" s="36"/>
      <c r="X65" s="8">
        <f t="shared" si="25"/>
        <v>3</v>
      </c>
      <c r="Y65" s="1">
        <f t="shared" si="26"/>
        <v>9.93818113678272E-2</v>
      </c>
      <c r="AC65" s="39">
        <v>24.34</v>
      </c>
      <c r="AD65" s="39" t="s">
        <v>1122</v>
      </c>
      <c r="AG65" s="39">
        <v>21.94</v>
      </c>
      <c r="AH65" s="39" t="s">
        <v>1140</v>
      </c>
      <c r="AK65" s="39">
        <v>20.14</v>
      </c>
      <c r="AL65" s="39" t="s">
        <v>1141</v>
      </c>
      <c r="AN65" s="8">
        <f t="shared" si="27"/>
        <v>5</v>
      </c>
      <c r="AO65" s="1">
        <f t="shared" si="28"/>
        <v>-0.17336115017785309</v>
      </c>
      <c r="AS65" s="39">
        <v>21.99</v>
      </c>
      <c r="AT65" s="39" t="s">
        <v>1122</v>
      </c>
      <c r="AW65" s="39">
        <v>28.08</v>
      </c>
      <c r="AX65" s="39" t="s">
        <v>1122</v>
      </c>
      <c r="BA65" s="39">
        <v>32.270000000000003</v>
      </c>
      <c r="BB65" s="39" t="s">
        <v>1142</v>
      </c>
      <c r="BD65" s="2">
        <f t="shared" ref="BD65:BD125" si="70">IF(BE65="数据缺失",0,IF(BE65&lt;50,5,IF(BE65&lt;100,4,IF(BE65&lt;300,3,IF(BE65&lt;500,2,1)))))</f>
        <v>5</v>
      </c>
      <c r="BE65" s="8">
        <f t="shared" si="61"/>
        <v>24.34</v>
      </c>
      <c r="BI65" s="39">
        <v>24.34</v>
      </c>
      <c r="BJ65" s="39" t="s">
        <v>1122</v>
      </c>
      <c r="BL65" s="2">
        <f t="shared" ref="BL65:BL125" si="71">IF(BM65="数据缺失",0,IF(BM65&lt;50,5,IF(BM65&lt;100,4,IF(BM65&lt;300,3,IF(BM65&lt;500,2,1)))))</f>
        <v>5</v>
      </c>
      <c r="BM65" s="8">
        <f t="shared" si="30"/>
        <v>21.99</v>
      </c>
      <c r="BQ65" s="39">
        <v>21.99</v>
      </c>
      <c r="BR65" s="39" t="s">
        <v>1122</v>
      </c>
      <c r="BT65" s="8">
        <f t="shared" ref="BT65:BT125" si="72">IF(BU65="未上榜",5,IF(BU65&lt;21,1,IF(BU65&lt;101,2,IF(BU65&lt;301,3,IF(BU65&lt;=500,4,5)))))</f>
        <v>3</v>
      </c>
      <c r="BU65" s="39">
        <v>221</v>
      </c>
      <c r="BY65" s="39">
        <v>221</v>
      </c>
      <c r="BZ65" s="39" t="s">
        <v>398</v>
      </c>
      <c r="CA65" s="39" t="s">
        <v>1143</v>
      </c>
      <c r="CB65" s="36">
        <v>1</v>
      </c>
      <c r="CC65" s="36" t="str">
        <f>CF65</f>
        <v>一级</v>
      </c>
      <c r="CD65" s="36"/>
      <c r="CE65" s="36"/>
      <c r="CF65" s="36" t="s">
        <v>132</v>
      </c>
      <c r="CG65" s="36" t="s">
        <v>1144</v>
      </c>
      <c r="CH65" s="36" t="s">
        <v>1145</v>
      </c>
      <c r="CI65" s="39" t="s">
        <v>1146</v>
      </c>
      <c r="CJ65" s="8">
        <f t="shared" si="32"/>
        <v>0</v>
      </c>
      <c r="CK65" s="39" t="s">
        <v>1147</v>
      </c>
      <c r="CO65" s="39" t="s">
        <v>1147</v>
      </c>
      <c r="CS65" s="39">
        <v>24.34</v>
      </c>
      <c r="CT65" s="39" t="s">
        <v>1122</v>
      </c>
      <c r="CV65" s="8">
        <f t="shared" si="35"/>
        <v>0</v>
      </c>
      <c r="CW65" s="8" t="str">
        <f t="shared" si="36"/>
        <v>数据缺失</v>
      </c>
      <c r="DA65" s="39" t="s">
        <v>1147</v>
      </c>
      <c r="DD65" s="39">
        <f t="shared" si="68"/>
        <v>0</v>
      </c>
      <c r="DE65" s="69" t="s">
        <v>871</v>
      </c>
      <c r="DI65" s="39">
        <v>21.99</v>
      </c>
      <c r="DJ65" s="39" t="s">
        <v>1122</v>
      </c>
      <c r="DM65" s="39" t="s">
        <v>1147</v>
      </c>
      <c r="DP65" s="39">
        <v>5</v>
      </c>
      <c r="DQ65" s="39" t="s">
        <v>1147</v>
      </c>
      <c r="DU65" s="40" t="s">
        <v>1147</v>
      </c>
      <c r="DY65" s="40" t="s">
        <v>1147</v>
      </c>
      <c r="EC65" s="40" t="s">
        <v>1147</v>
      </c>
      <c r="EG65" s="40" t="s">
        <v>1147</v>
      </c>
      <c r="EJ65" s="2">
        <f t="shared" si="41"/>
        <v>2</v>
      </c>
      <c r="EK65" s="8">
        <f t="shared" si="42"/>
        <v>89.79</v>
      </c>
      <c r="EO65" s="39">
        <v>89.79</v>
      </c>
      <c r="EP65" s="39" t="s">
        <v>1122</v>
      </c>
      <c r="ER65" s="8">
        <f t="shared" si="43"/>
        <v>3</v>
      </c>
      <c r="ES65" s="6">
        <f t="shared" si="62"/>
        <v>33.58</v>
      </c>
      <c r="EW65" s="39">
        <v>33.58</v>
      </c>
      <c r="EX65" s="39" t="s">
        <v>1122</v>
      </c>
      <c r="EZ65" s="8">
        <f t="shared" si="44"/>
        <v>3</v>
      </c>
      <c r="FA65" s="8">
        <f t="shared" si="45"/>
        <v>61.38</v>
      </c>
      <c r="FE65" s="39">
        <v>61.38</v>
      </c>
      <c r="FF65" s="39" t="s">
        <v>1145</v>
      </c>
      <c r="FH65" s="39">
        <v>2</v>
      </c>
      <c r="FI65" s="39" t="s">
        <v>1148</v>
      </c>
      <c r="FM65" s="50">
        <v>0</v>
      </c>
      <c r="FN65" s="39" t="s">
        <v>1149</v>
      </c>
      <c r="FQ65" s="50">
        <v>1</v>
      </c>
      <c r="FR65" s="39" t="s">
        <v>1149</v>
      </c>
      <c r="FU65" s="50">
        <v>0</v>
      </c>
      <c r="FV65" s="39" t="s">
        <v>1149</v>
      </c>
      <c r="FY65" s="50">
        <v>0</v>
      </c>
      <c r="FZ65" s="39" t="s">
        <v>1149</v>
      </c>
      <c r="GB65" s="39">
        <v>1</v>
      </c>
      <c r="GC65" s="39" t="str">
        <f>GG65</f>
        <v>房地产开发销售：54.19%；市政基础设施承建：23.34%</v>
      </c>
      <c r="GG65" s="39" t="s">
        <v>1150</v>
      </c>
      <c r="GH65" s="36" t="s">
        <v>1139</v>
      </c>
      <c r="GJ65" s="8">
        <f t="shared" si="46"/>
        <v>3</v>
      </c>
      <c r="GK65" s="1">
        <f>GN65/GS65</f>
        <v>8.3779368435163482E-2</v>
      </c>
      <c r="GN65" s="38">
        <v>2.7161892105000001</v>
      </c>
      <c r="GO65" s="36" t="s">
        <v>2860</v>
      </c>
      <c r="GP65" s="36" t="s">
        <v>2861</v>
      </c>
      <c r="GS65" s="69">
        <v>32.420741063499996</v>
      </c>
      <c r="GT65" s="39" t="s">
        <v>902</v>
      </c>
      <c r="GV65" s="8">
        <f t="shared" si="48"/>
        <v>1</v>
      </c>
      <c r="GW65" s="1">
        <f t="shared" si="49"/>
        <v>9.0680505266754571E-2</v>
      </c>
      <c r="HA65" s="69">
        <v>18.46894429</v>
      </c>
      <c r="HB65" s="39" t="s">
        <v>1139</v>
      </c>
      <c r="HE65" s="69">
        <v>203.67050487500001</v>
      </c>
      <c r="HF65" s="39" t="s">
        <v>1151</v>
      </c>
      <c r="HH65" s="39">
        <f t="shared" si="67"/>
        <v>1</v>
      </c>
      <c r="HI65" s="1">
        <f t="shared" si="51"/>
        <v>4.9196405952278588E-2</v>
      </c>
      <c r="HM65" s="39">
        <v>0.50051000000000001</v>
      </c>
      <c r="HN65" s="39" t="s">
        <v>1139</v>
      </c>
      <c r="HQ65" s="78">
        <v>10.1737106667</v>
      </c>
      <c r="HR65" s="39" t="s">
        <v>1151</v>
      </c>
      <c r="HT65" s="8">
        <f t="shared" si="52"/>
        <v>4</v>
      </c>
      <c r="HU65" s="10">
        <f t="shared" si="53"/>
        <v>0</v>
      </c>
      <c r="HY65" s="39">
        <v>0</v>
      </c>
      <c r="HZ65" s="39" t="s">
        <v>1139</v>
      </c>
      <c r="IC65" s="39">
        <v>2.52</v>
      </c>
      <c r="ID65" s="39" t="s">
        <v>1151</v>
      </c>
      <c r="IR65" s="3" t="str">
        <f>IF(IS65&gt;=300%,"1",IF(IS65&gt;=200%,"2",IF(IS65&gt;=100%,"3",IF(IS65&gt;=0%,"4",IF(IS65=数据缺失,"0")))))</f>
        <v>4</v>
      </c>
      <c r="IS65" s="1">
        <f t="shared" si="55"/>
        <v>0.7535170416509428</v>
      </c>
      <c r="IT65" s="36"/>
      <c r="IU65" s="36"/>
      <c r="IV65" s="36"/>
      <c r="IW65" s="36">
        <v>65.59</v>
      </c>
      <c r="IX65" s="36" t="s">
        <v>1149</v>
      </c>
      <c r="IY65" s="36" t="s">
        <v>1152</v>
      </c>
      <c r="IZ65" s="36"/>
      <c r="JA65" s="38">
        <v>87.045144800300008</v>
      </c>
      <c r="JB65" s="39" t="s">
        <v>1151</v>
      </c>
      <c r="JD65" s="36">
        <f t="shared" si="69"/>
        <v>4</v>
      </c>
      <c r="JE65" s="43">
        <f>JI65/JM65/(JQ65+JU65)*2</f>
        <v>0.10076567290024807</v>
      </c>
      <c r="JI65" s="36">
        <v>8.27</v>
      </c>
      <c r="JJ65" s="36" t="s">
        <v>2864</v>
      </c>
      <c r="JM65" s="39">
        <v>1.56</v>
      </c>
      <c r="JN65" s="39" t="s">
        <v>1153</v>
      </c>
      <c r="JQ65" s="39">
        <v>46.89</v>
      </c>
      <c r="JR65" s="39" t="s">
        <v>1122</v>
      </c>
      <c r="JU65" s="39">
        <v>58.33</v>
      </c>
      <c r="JV65" s="39" t="s">
        <v>1122</v>
      </c>
      <c r="JX65" s="39">
        <v>2</v>
      </c>
      <c r="JY65" s="39" t="s">
        <v>754</v>
      </c>
      <c r="KB65" s="39">
        <v>5</v>
      </c>
      <c r="KC65" s="39" t="s">
        <v>754</v>
      </c>
      <c r="KD65" s="39" t="s">
        <v>1139</v>
      </c>
      <c r="KF65" s="8">
        <f t="shared" si="58"/>
        <v>1</v>
      </c>
      <c r="KG65" s="1">
        <f t="shared" si="59"/>
        <v>0.16564450588346089</v>
      </c>
      <c r="KK65" s="39">
        <v>14.41855</v>
      </c>
      <c r="KL65" s="39" t="s">
        <v>900</v>
      </c>
      <c r="KM65" s="39" t="s">
        <v>1154</v>
      </c>
      <c r="KO65" s="69">
        <v>87.045144800300008</v>
      </c>
      <c r="KP65" s="39" t="s">
        <v>902</v>
      </c>
    </row>
    <row r="66" spans="2:302" s="39" customFormat="1" ht="16.5" hidden="1" customHeight="1" x14ac:dyDescent="0.35">
      <c r="B66" s="39" t="s">
        <v>1117</v>
      </c>
      <c r="C66" s="39" t="s">
        <v>1080</v>
      </c>
      <c r="D66" s="36" t="s">
        <v>983</v>
      </c>
      <c r="E66" s="36" t="s">
        <v>931</v>
      </c>
      <c r="F66" s="36" t="s">
        <v>1155</v>
      </c>
      <c r="G66" s="3" t="s">
        <v>249</v>
      </c>
      <c r="H66" s="40">
        <v>0.66190000000000004</v>
      </c>
      <c r="L66" s="3">
        <v>4</v>
      </c>
      <c r="M66" s="36" t="s">
        <v>1156</v>
      </c>
      <c r="N66" s="36"/>
      <c r="O66" s="36"/>
      <c r="P66" s="36" t="s">
        <v>1157</v>
      </c>
      <c r="Q66" s="36" t="s">
        <v>1120</v>
      </c>
      <c r="R66" s="36" t="s">
        <v>1158</v>
      </c>
      <c r="S66" s="36"/>
      <c r="T66" s="36" t="s">
        <v>129</v>
      </c>
      <c r="U66" s="41">
        <v>0.34649999999999997</v>
      </c>
      <c r="X66" s="8">
        <f t="shared" si="25"/>
        <v>3</v>
      </c>
      <c r="Y66" s="1">
        <f t="shared" si="26"/>
        <v>9.6468011590102196E-2</v>
      </c>
      <c r="Z66" s="36"/>
      <c r="AA66" s="36"/>
      <c r="AB66" s="36"/>
      <c r="AC66" s="36">
        <v>21.94</v>
      </c>
      <c r="AD66" s="36" t="s">
        <v>1145</v>
      </c>
      <c r="AE66" s="36"/>
      <c r="AF66" s="36"/>
      <c r="AG66" s="36">
        <v>20.14</v>
      </c>
      <c r="AH66" s="36" t="s">
        <v>1159</v>
      </c>
      <c r="AI66" s="36"/>
      <c r="AJ66" s="36"/>
      <c r="AK66" s="36">
        <v>18.25</v>
      </c>
      <c r="AL66" s="36" t="s">
        <v>1145</v>
      </c>
      <c r="AN66" s="8">
        <f t="shared" si="27"/>
        <v>2</v>
      </c>
      <c r="AO66" s="1">
        <f t="shared" si="28"/>
        <v>0.25494690694117972</v>
      </c>
      <c r="AS66" s="39">
        <v>28.08</v>
      </c>
      <c r="AT66" s="39" t="s">
        <v>1122</v>
      </c>
      <c r="AW66" s="39">
        <v>32.270000000000003</v>
      </c>
      <c r="AX66" s="39" t="s">
        <v>1160</v>
      </c>
      <c r="BA66" s="39">
        <v>19.68</v>
      </c>
      <c r="BB66" s="39" t="s">
        <v>1145</v>
      </c>
      <c r="BD66" s="2">
        <f t="shared" si="70"/>
        <v>5</v>
      </c>
      <c r="BE66" s="8">
        <f t="shared" ref="BE66:BE87" si="73">BI66</f>
        <v>21.94</v>
      </c>
      <c r="BI66" s="39">
        <v>21.94</v>
      </c>
      <c r="BJ66" s="39" t="s">
        <v>1122</v>
      </c>
      <c r="BL66" s="2">
        <f t="shared" si="71"/>
        <v>5</v>
      </c>
      <c r="BM66" s="8">
        <f t="shared" si="30"/>
        <v>28.08</v>
      </c>
      <c r="BQ66" s="39">
        <v>28.08</v>
      </c>
      <c r="BR66" s="39" t="s">
        <v>1122</v>
      </c>
      <c r="BT66" s="8">
        <f t="shared" si="72"/>
        <v>3</v>
      </c>
      <c r="BU66" s="39">
        <v>224</v>
      </c>
      <c r="BY66" s="39">
        <v>224</v>
      </c>
      <c r="BZ66" s="39" t="s">
        <v>1161</v>
      </c>
      <c r="CA66" s="39" t="s">
        <v>1162</v>
      </c>
      <c r="CB66" s="36">
        <v>1</v>
      </c>
      <c r="CC66" s="36" t="str">
        <f>CF66</f>
        <v>一级</v>
      </c>
      <c r="CD66" s="36"/>
      <c r="CE66" s="36"/>
      <c r="CF66" s="36" t="s">
        <v>132</v>
      </c>
      <c r="CG66" s="36" t="s">
        <v>1163</v>
      </c>
      <c r="CH66" s="36" t="s">
        <v>1145</v>
      </c>
      <c r="CI66" s="39" t="s">
        <v>1164</v>
      </c>
      <c r="CJ66" s="8">
        <f t="shared" si="32"/>
        <v>0</v>
      </c>
      <c r="CK66" s="39" t="s">
        <v>1147</v>
      </c>
      <c r="CO66" s="39" t="s">
        <v>887</v>
      </c>
      <c r="CS66" s="39">
        <v>21.94</v>
      </c>
      <c r="CT66" s="39" t="s">
        <v>1122</v>
      </c>
      <c r="CV66" s="8">
        <f t="shared" si="35"/>
        <v>0</v>
      </c>
      <c r="CW66" s="8" t="str">
        <f t="shared" si="36"/>
        <v>数据缺失</v>
      </c>
      <c r="DA66" s="39" t="s">
        <v>887</v>
      </c>
      <c r="DD66" s="39">
        <f t="shared" si="68"/>
        <v>0</v>
      </c>
      <c r="DE66" s="69" t="s">
        <v>871</v>
      </c>
      <c r="DI66" s="39">
        <v>28.08</v>
      </c>
      <c r="DJ66" s="39" t="s">
        <v>1122</v>
      </c>
      <c r="DM66" s="39" t="s">
        <v>887</v>
      </c>
      <c r="DP66" s="39">
        <v>5</v>
      </c>
      <c r="DQ66" s="39" t="s">
        <v>887</v>
      </c>
      <c r="DU66" s="40" t="s">
        <v>887</v>
      </c>
      <c r="DY66" s="40" t="s">
        <v>887</v>
      </c>
      <c r="EC66" s="40" t="s">
        <v>887</v>
      </c>
      <c r="EG66" s="40" t="s">
        <v>887</v>
      </c>
      <c r="EJ66" s="2">
        <f t="shared" ref="EJ66:EJ105" si="74">IF(EK66="数据缺失",0,IF(EK66&lt;0,0,IF(EK66&lt;=5,5,IF(EK66&lt;=20,4,IF(EK66&lt;=50,3,IF(EK66&lt;=100,2,1))))))</f>
        <v>3</v>
      </c>
      <c r="EK66" s="8">
        <f t="shared" ref="EK66:EK87" si="75">EO66</f>
        <v>31.91</v>
      </c>
      <c r="EO66" s="39">
        <v>31.91</v>
      </c>
      <c r="EP66" s="39" t="s">
        <v>1122</v>
      </c>
      <c r="ER66" s="8">
        <f t="shared" si="43"/>
        <v>3</v>
      </c>
      <c r="ES66" s="6">
        <f t="shared" si="62"/>
        <v>38.43</v>
      </c>
      <c r="EW66" s="39">
        <v>38.43</v>
      </c>
      <c r="EX66" s="39" t="s">
        <v>1122</v>
      </c>
      <c r="EZ66" s="8">
        <f t="shared" si="44"/>
        <v>0</v>
      </c>
      <c r="FA66" s="8" t="str">
        <f t="shared" si="45"/>
        <v>数据缺失</v>
      </c>
      <c r="FE66" s="39" t="s">
        <v>1165</v>
      </c>
      <c r="FH66" s="39">
        <v>5</v>
      </c>
      <c r="FI66" s="39" t="s">
        <v>887</v>
      </c>
      <c r="FM66" s="39" t="s">
        <v>1165</v>
      </c>
      <c r="FQ66" s="39" t="s">
        <v>1165</v>
      </c>
      <c r="FU66" s="39" t="s">
        <v>887</v>
      </c>
      <c r="FY66" s="39" t="s">
        <v>887</v>
      </c>
      <c r="GB66" s="36">
        <v>1</v>
      </c>
      <c r="GC66" s="36" t="str">
        <f>GG66</f>
        <v xml:space="preserve">房地产开发销售占比63.76%  市政基础设施承建占比17.61% </v>
      </c>
      <c r="GD66" s="36"/>
      <c r="GE66" s="36"/>
      <c r="GF66" s="36"/>
      <c r="GG66" s="36" t="s">
        <v>1166</v>
      </c>
      <c r="GH66" s="39" t="s">
        <v>1158</v>
      </c>
      <c r="GJ66" s="8">
        <f t="shared" si="46"/>
        <v>3</v>
      </c>
      <c r="GK66" s="1">
        <f>GN66/GS66</f>
        <v>6.5387921013052977E-2</v>
      </c>
      <c r="GN66" s="38">
        <v>2.2898894863999999</v>
      </c>
      <c r="GO66" s="36" t="s">
        <v>2862</v>
      </c>
      <c r="GP66" s="36" t="s">
        <v>366</v>
      </c>
      <c r="GS66" s="69">
        <v>35.020068705699998</v>
      </c>
      <c r="GT66" s="39" t="s">
        <v>1167</v>
      </c>
      <c r="GV66" s="8">
        <f t="shared" si="48"/>
        <v>0</v>
      </c>
      <c r="GW66" s="6" t="s">
        <v>37</v>
      </c>
      <c r="GX66" s="36"/>
      <c r="GY66" s="36"/>
      <c r="GZ66" s="36"/>
      <c r="HA66" s="36" t="s">
        <v>887</v>
      </c>
      <c r="HB66" s="36"/>
      <c r="HC66" s="36"/>
      <c r="HD66" s="36"/>
      <c r="HE66" s="38">
        <v>155.61918254829999</v>
      </c>
      <c r="HF66" s="39" t="s">
        <v>902</v>
      </c>
      <c r="HH66" s="39">
        <f t="shared" si="67"/>
        <v>1</v>
      </c>
      <c r="HI66" s="1">
        <f t="shared" si="51"/>
        <v>1.9587444504276973E-2</v>
      </c>
      <c r="HM66" s="39">
        <v>0.2</v>
      </c>
      <c r="HN66" s="39" t="s">
        <v>1158</v>
      </c>
      <c r="HQ66" s="78">
        <v>10.2106224197</v>
      </c>
      <c r="HR66" s="39" t="s">
        <v>902</v>
      </c>
      <c r="HT66" s="8">
        <f t="shared" si="52"/>
        <v>4</v>
      </c>
      <c r="HU66" s="10">
        <f t="shared" si="53"/>
        <v>0</v>
      </c>
      <c r="HY66" s="39">
        <v>0</v>
      </c>
      <c r="HZ66" s="39" t="s">
        <v>1168</v>
      </c>
      <c r="IC66" s="39">
        <v>3.92875</v>
      </c>
      <c r="ID66" s="39" t="s">
        <v>902</v>
      </c>
      <c r="IR66" s="42">
        <f>IF(IS66="数据缺失",0,IF(IS66&lt;0%,0,IF(IS66&lt;=100%,4,IF(IS66&lt;200%,3,IF(IS66&lt;300%,2,1)))))</f>
        <v>0</v>
      </c>
      <c r="IS66" s="39" t="s">
        <v>871</v>
      </c>
      <c r="IW66" s="39" t="s">
        <v>887</v>
      </c>
      <c r="JA66" s="69">
        <v>53.874155007900001</v>
      </c>
      <c r="JB66" s="39" t="s">
        <v>902</v>
      </c>
      <c r="JD66" s="39">
        <f t="shared" si="69"/>
        <v>3</v>
      </c>
      <c r="JE66" s="43">
        <f>JI66/JM66/(JQ66+JU66)*2</f>
        <v>7.6056349709915941E-2</v>
      </c>
      <c r="JI66" s="39">
        <v>9.17</v>
      </c>
      <c r="JJ66" s="39" t="s">
        <v>1160</v>
      </c>
      <c r="JM66" s="39">
        <v>1.95</v>
      </c>
      <c r="JN66" s="39" t="s">
        <v>1169</v>
      </c>
      <c r="JQ66" s="39">
        <v>58.33</v>
      </c>
      <c r="JR66" s="39" t="s">
        <v>1160</v>
      </c>
      <c r="JU66" s="39">
        <v>65.33</v>
      </c>
      <c r="JV66" s="39" t="s">
        <v>1169</v>
      </c>
      <c r="JX66" s="39">
        <v>2</v>
      </c>
      <c r="JY66" s="39" t="s">
        <v>754</v>
      </c>
      <c r="KB66" s="39">
        <v>4</v>
      </c>
      <c r="KC66" s="39" t="s">
        <v>754</v>
      </c>
      <c r="KD66" s="39" t="s">
        <v>1158</v>
      </c>
      <c r="KF66" s="8">
        <f t="shared" si="58"/>
        <v>1</v>
      </c>
      <c r="KG66" s="1">
        <f t="shared" si="59"/>
        <v>0.19625170916276297</v>
      </c>
      <c r="KK66" s="69">
        <v>10.572895000000001</v>
      </c>
      <c r="KL66" s="39" t="s">
        <v>1158</v>
      </c>
      <c r="KM66" s="39" t="s">
        <v>1170</v>
      </c>
      <c r="KO66" s="69">
        <v>53.874155007900001</v>
      </c>
      <c r="KP66" s="39" t="s">
        <v>902</v>
      </c>
    </row>
    <row r="67" spans="2:302" s="36" customFormat="1" ht="16.5" customHeight="1" x14ac:dyDescent="0.35">
      <c r="B67" s="36" t="s">
        <v>1171</v>
      </c>
      <c r="C67" s="39" t="s">
        <v>907</v>
      </c>
      <c r="D67" s="36" t="s">
        <v>906</v>
      </c>
      <c r="E67" s="36" t="s">
        <v>908</v>
      </c>
      <c r="F67" s="36" t="s">
        <v>1172</v>
      </c>
      <c r="G67" s="3" t="s">
        <v>199</v>
      </c>
      <c r="H67" s="86">
        <v>1</v>
      </c>
      <c r="L67" s="42">
        <v>3</v>
      </c>
      <c r="M67" s="39" t="s">
        <v>1173</v>
      </c>
      <c r="N67" s="39"/>
      <c r="O67" s="39"/>
      <c r="P67" s="39" t="s">
        <v>864</v>
      </c>
      <c r="Q67" s="39" t="s">
        <v>1120</v>
      </c>
      <c r="R67" s="39" t="s">
        <v>1022</v>
      </c>
      <c r="T67" s="36" t="s">
        <v>203</v>
      </c>
      <c r="U67" s="41">
        <v>0.57140000000000002</v>
      </c>
      <c r="X67" s="8">
        <f t="shared" si="25"/>
        <v>0</v>
      </c>
      <c r="Y67" s="39" t="s">
        <v>871</v>
      </c>
      <c r="AC67" s="36" t="s">
        <v>871</v>
      </c>
      <c r="AG67" s="36" t="s">
        <v>871</v>
      </c>
      <c r="AK67" s="36" t="s">
        <v>871</v>
      </c>
      <c r="AN67" s="8">
        <f t="shared" si="27"/>
        <v>0</v>
      </c>
      <c r="AO67" s="39" t="s">
        <v>871</v>
      </c>
      <c r="AS67" s="36" t="s">
        <v>887</v>
      </c>
      <c r="AW67" s="36" t="s">
        <v>871</v>
      </c>
      <c r="BA67" s="36" t="s">
        <v>871</v>
      </c>
      <c r="BD67" s="2">
        <f t="shared" si="70"/>
        <v>0</v>
      </c>
      <c r="BE67" s="8" t="str">
        <f t="shared" si="73"/>
        <v>数据缺失</v>
      </c>
      <c r="BI67" s="36" t="str">
        <f>AC67</f>
        <v>数据缺失</v>
      </c>
      <c r="BJ67" s="36">
        <f>AD67</f>
        <v>0</v>
      </c>
      <c r="BL67" s="2">
        <f t="shared" si="71"/>
        <v>0</v>
      </c>
      <c r="BM67" s="8" t="str">
        <f t="shared" si="30"/>
        <v>数据缺失</v>
      </c>
      <c r="BQ67" s="36" t="str">
        <f>AS67</f>
        <v>数据缺失</v>
      </c>
      <c r="BR67" s="36">
        <f>AT67</f>
        <v>0</v>
      </c>
      <c r="BT67" s="8">
        <f t="shared" si="72"/>
        <v>5</v>
      </c>
      <c r="BU67" s="36" t="str">
        <f>BY67</f>
        <v>未上榜</v>
      </c>
      <c r="BY67" s="36" t="s">
        <v>1174</v>
      </c>
      <c r="BZ67" s="39" t="s">
        <v>398</v>
      </c>
      <c r="CB67" s="39">
        <v>2</v>
      </c>
      <c r="CC67" s="39" t="s">
        <v>1175</v>
      </c>
      <c r="CD67" s="39"/>
      <c r="CE67" s="39"/>
      <c r="CF67" s="39" t="s">
        <v>1175</v>
      </c>
      <c r="CG67" s="39" t="s">
        <v>1176</v>
      </c>
      <c r="CH67" s="39" t="s">
        <v>1177</v>
      </c>
      <c r="CJ67" s="8">
        <f t="shared" si="32"/>
        <v>0</v>
      </c>
      <c r="CK67" s="39" t="s">
        <v>1147</v>
      </c>
      <c r="CO67" s="36" t="s">
        <v>1147</v>
      </c>
      <c r="CS67" s="36" t="str">
        <f>AC67</f>
        <v>数据缺失</v>
      </c>
      <c r="CV67" s="8">
        <f t="shared" si="35"/>
        <v>0</v>
      </c>
      <c r="CW67" s="8" t="str">
        <f t="shared" si="36"/>
        <v>数据缺失</v>
      </c>
      <c r="DA67" s="36" t="s">
        <v>871</v>
      </c>
      <c r="DD67" s="36">
        <f t="shared" si="68"/>
        <v>0</v>
      </c>
      <c r="DE67" s="69" t="s">
        <v>871</v>
      </c>
      <c r="DI67" s="37" t="str">
        <f>BQ67</f>
        <v>数据缺失</v>
      </c>
      <c r="DM67" s="92" t="str">
        <f>DA67</f>
        <v>数据缺失</v>
      </c>
      <c r="DN67" s="93"/>
      <c r="DP67" s="36">
        <v>5</v>
      </c>
      <c r="DQ67" s="36" t="s">
        <v>871</v>
      </c>
      <c r="DU67" s="41" t="s">
        <v>887</v>
      </c>
      <c r="DY67" s="41" t="s">
        <v>887</v>
      </c>
      <c r="EC67" s="41" t="s">
        <v>887</v>
      </c>
      <c r="EG67" s="41" t="s">
        <v>871</v>
      </c>
      <c r="EJ67" s="2">
        <f t="shared" si="74"/>
        <v>0</v>
      </c>
      <c r="EK67" s="8" t="str">
        <f t="shared" si="75"/>
        <v>数据缺失</v>
      </c>
      <c r="EO67" s="36" t="s">
        <v>1147</v>
      </c>
      <c r="ER67" s="8">
        <f t="shared" si="43"/>
        <v>0</v>
      </c>
      <c r="ES67" s="6" t="str">
        <f t="shared" si="62"/>
        <v>数据缺失</v>
      </c>
      <c r="EW67" s="36" t="s">
        <v>1147</v>
      </c>
      <c r="EZ67" s="8">
        <f t="shared" si="44"/>
        <v>0</v>
      </c>
      <c r="FA67" s="8" t="str">
        <f t="shared" si="45"/>
        <v>数据缺失</v>
      </c>
      <c r="FE67" s="36" t="s">
        <v>1147</v>
      </c>
      <c r="FH67" s="36">
        <v>5</v>
      </c>
      <c r="FI67" s="36" t="s">
        <v>887</v>
      </c>
      <c r="FM67" s="36" t="s">
        <v>1147</v>
      </c>
      <c r="FQ67" s="36" t="s">
        <v>1147</v>
      </c>
      <c r="FU67" s="36" t="s">
        <v>871</v>
      </c>
      <c r="FY67" s="36" t="s">
        <v>887</v>
      </c>
      <c r="GB67" s="36">
        <v>2</v>
      </c>
      <c r="GC67" s="36" t="s">
        <v>1178</v>
      </c>
      <c r="GG67" s="36" t="s">
        <v>1178</v>
      </c>
      <c r="GH67" s="39" t="s">
        <v>1179</v>
      </c>
      <c r="GJ67" s="8">
        <f t="shared" si="46"/>
        <v>1</v>
      </c>
      <c r="GK67" s="1">
        <f t="shared" si="47"/>
        <v>1</v>
      </c>
      <c r="GN67" s="94">
        <v>1.22509E-5</v>
      </c>
      <c r="GO67" s="36" t="s">
        <v>1180</v>
      </c>
      <c r="GP67" s="36" t="s">
        <v>1179</v>
      </c>
      <c r="GS67" s="38">
        <v>1.22509E-5</v>
      </c>
      <c r="GV67" s="8">
        <f t="shared" si="48"/>
        <v>0</v>
      </c>
      <c r="GW67" s="6" t="s">
        <v>37</v>
      </c>
      <c r="GX67" s="39"/>
      <c r="GY67" s="39"/>
      <c r="GZ67" s="39"/>
      <c r="HA67" s="39" t="s">
        <v>871</v>
      </c>
      <c r="HB67" s="39"/>
      <c r="HC67" s="39"/>
      <c r="HD67" s="39"/>
      <c r="HE67" s="69">
        <v>57.177555308599999</v>
      </c>
      <c r="HF67" s="39" t="s">
        <v>876</v>
      </c>
      <c r="HH67" s="39">
        <f t="shared" si="67"/>
        <v>0</v>
      </c>
      <c r="HI67" s="6" t="s">
        <v>37</v>
      </c>
      <c r="HJ67" s="39"/>
      <c r="HK67" s="39"/>
      <c r="HL67" s="39"/>
      <c r="HM67" s="39" t="s">
        <v>1147</v>
      </c>
      <c r="HN67" s="39"/>
      <c r="HO67" s="39"/>
      <c r="HP67" s="39"/>
      <c r="HQ67" s="78">
        <v>5.2396443225000002</v>
      </c>
      <c r="HR67" s="39" t="s">
        <v>902</v>
      </c>
      <c r="HT67" s="8">
        <f t="shared" si="52"/>
        <v>0</v>
      </c>
      <c r="HU67" s="39" t="s">
        <v>1147</v>
      </c>
      <c r="HV67" s="39"/>
      <c r="HW67" s="39"/>
      <c r="HX67" s="39"/>
      <c r="HY67" s="39" t="s">
        <v>1147</v>
      </c>
      <c r="HZ67" s="39"/>
      <c r="IA67" s="39"/>
      <c r="IB67" s="39"/>
      <c r="IC67" s="39">
        <v>14.5</v>
      </c>
      <c r="ID67" s="39" t="s">
        <v>902</v>
      </c>
      <c r="IR67" s="42">
        <f>IF(IS67="数据缺失",0,IF(IS67&lt;0%,0,IF(IS67&lt;=100%,4,IF(IS67&lt;200%,3,IF(IS67&lt;300%,2,1)))))</f>
        <v>0</v>
      </c>
      <c r="IS67" s="39" t="s">
        <v>871</v>
      </c>
      <c r="IT67" s="39"/>
      <c r="IU67" s="39"/>
      <c r="IV67" s="39"/>
      <c r="IW67" s="39" t="s">
        <v>871</v>
      </c>
      <c r="IX67" s="39"/>
      <c r="IY67" s="39"/>
      <c r="IZ67" s="39"/>
      <c r="JA67" s="69">
        <v>15.919232081400001</v>
      </c>
      <c r="JB67" s="39" t="s">
        <v>1151</v>
      </c>
      <c r="JD67" s="36">
        <f t="shared" si="69"/>
        <v>3</v>
      </c>
      <c r="JE67" s="5">
        <f>JI67/JM67/(JQ67+JU67)*2</f>
        <v>6.1084074509145832E-2</v>
      </c>
      <c r="JI67" s="36">
        <v>0.91</v>
      </c>
      <c r="JJ67" s="36" t="s">
        <v>1181</v>
      </c>
      <c r="JM67" s="36">
        <v>1.01</v>
      </c>
      <c r="JN67" s="36" t="s">
        <v>1182</v>
      </c>
      <c r="JQ67" s="36">
        <v>14.5</v>
      </c>
      <c r="JR67" s="36" t="s">
        <v>1183</v>
      </c>
      <c r="JU67" s="36">
        <v>15</v>
      </c>
      <c r="JV67" s="36" t="s">
        <v>1182</v>
      </c>
      <c r="JX67" s="36">
        <v>2</v>
      </c>
      <c r="JY67" s="36" t="s">
        <v>1184</v>
      </c>
      <c r="KB67" s="36">
        <v>5</v>
      </c>
      <c r="KC67" s="36" t="str">
        <f>JY67</f>
        <v>立信会计师事务所（特殊普通合伙）</v>
      </c>
      <c r="KD67" s="36" t="s">
        <v>1185</v>
      </c>
      <c r="KF67" s="8">
        <f t="shared" si="58"/>
        <v>0</v>
      </c>
      <c r="KG67" s="39" t="s">
        <v>871</v>
      </c>
      <c r="KH67" s="39"/>
      <c r="KI67" s="39"/>
      <c r="KJ67" s="39"/>
      <c r="KK67" s="39" t="s">
        <v>1147</v>
      </c>
      <c r="KL67" s="39"/>
      <c r="KM67" s="39"/>
      <c r="KN67" s="39"/>
      <c r="KO67" s="69">
        <v>15.919232081400001</v>
      </c>
      <c r="KP67" s="39" t="s">
        <v>876</v>
      </c>
    </row>
    <row r="68" spans="2:302" s="36" customFormat="1" ht="16.5" customHeight="1" x14ac:dyDescent="0.35">
      <c r="B68" s="36" t="s">
        <v>1186</v>
      </c>
      <c r="C68" s="39" t="s">
        <v>907</v>
      </c>
      <c r="D68" s="36" t="s">
        <v>906</v>
      </c>
      <c r="E68" s="36" t="s">
        <v>908</v>
      </c>
      <c r="F68" s="36" t="s">
        <v>1187</v>
      </c>
      <c r="G68" s="3" t="s">
        <v>199</v>
      </c>
      <c r="H68" s="41">
        <v>0.32579999999999998</v>
      </c>
      <c r="L68" s="42">
        <v>4</v>
      </c>
      <c r="M68" s="36" t="s">
        <v>1188</v>
      </c>
      <c r="N68" s="39"/>
      <c r="O68" s="39"/>
      <c r="P68" s="39" t="s">
        <v>126</v>
      </c>
      <c r="Q68" s="58" t="s">
        <v>1189</v>
      </c>
      <c r="R68" s="39" t="s">
        <v>1190</v>
      </c>
      <c r="T68" s="36" t="s">
        <v>203</v>
      </c>
      <c r="U68" s="40">
        <v>0.99639999999999995</v>
      </c>
      <c r="X68" s="8">
        <f t="shared" si="25"/>
        <v>0</v>
      </c>
      <c r="Y68" s="39" t="s">
        <v>871</v>
      </c>
      <c r="AC68" s="36" t="s">
        <v>871</v>
      </c>
      <c r="AG68" s="36" t="s">
        <v>871</v>
      </c>
      <c r="AK68" s="36" t="s">
        <v>887</v>
      </c>
      <c r="AN68" s="8">
        <f t="shared" si="27"/>
        <v>0</v>
      </c>
      <c r="AO68" s="39" t="s">
        <v>871</v>
      </c>
      <c r="AS68" s="36" t="s">
        <v>871</v>
      </c>
      <c r="AW68" s="36" t="s">
        <v>871</v>
      </c>
      <c r="BA68" s="36" t="s">
        <v>871</v>
      </c>
      <c r="BD68" s="2">
        <f t="shared" si="70"/>
        <v>0</v>
      </c>
      <c r="BE68" s="8" t="str">
        <f t="shared" si="73"/>
        <v>数据缺失</v>
      </c>
      <c r="BI68" s="36" t="str">
        <f>AC68</f>
        <v>数据缺失</v>
      </c>
      <c r="BJ68" s="36">
        <f>AD68</f>
        <v>0</v>
      </c>
      <c r="BL68" s="2">
        <f t="shared" si="71"/>
        <v>0</v>
      </c>
      <c r="BM68" s="8" t="str">
        <f t="shared" si="30"/>
        <v>数据缺失</v>
      </c>
      <c r="BQ68" s="36" t="str">
        <f>AS68</f>
        <v>数据缺失</v>
      </c>
      <c r="BR68" s="36">
        <f>AT68</f>
        <v>0</v>
      </c>
      <c r="BT68" s="8">
        <f t="shared" si="72"/>
        <v>5</v>
      </c>
      <c r="BU68" s="36" t="str">
        <f>BY68</f>
        <v>未上榜</v>
      </c>
      <c r="BY68" s="36" t="s">
        <v>1191</v>
      </c>
      <c r="BZ68" s="39" t="s">
        <v>398</v>
      </c>
      <c r="CB68" s="39">
        <v>0</v>
      </c>
      <c r="CC68" s="39" t="str">
        <f>CF68</f>
        <v>数据缺失</v>
      </c>
      <c r="CD68" s="39"/>
      <c r="CE68" s="39"/>
      <c r="CF68" s="39" t="s">
        <v>1192</v>
      </c>
      <c r="CG68" s="39" t="s">
        <v>1192</v>
      </c>
      <c r="CJ68" s="8">
        <f t="shared" si="32"/>
        <v>0</v>
      </c>
      <c r="CK68" s="39" t="s">
        <v>1147</v>
      </c>
      <c r="CO68" s="36" t="s">
        <v>1192</v>
      </c>
      <c r="CS68" s="36" t="str">
        <f>AC68</f>
        <v>数据缺失</v>
      </c>
      <c r="CV68" s="8">
        <f t="shared" si="35"/>
        <v>0</v>
      </c>
      <c r="CW68" s="8" t="str">
        <f t="shared" si="36"/>
        <v>数据缺失</v>
      </c>
      <c r="DA68" s="36" t="s">
        <v>1192</v>
      </c>
      <c r="DD68" s="36">
        <f t="shared" si="68"/>
        <v>0</v>
      </c>
      <c r="DE68" s="69" t="s">
        <v>871</v>
      </c>
      <c r="DI68" s="37" t="str">
        <f>BQ68</f>
        <v>数据缺失</v>
      </c>
      <c r="DM68" s="92" t="str">
        <f>DA68</f>
        <v>数据缺失</v>
      </c>
      <c r="DN68" s="93"/>
      <c r="DP68" s="36">
        <v>5</v>
      </c>
      <c r="DQ68" s="36" t="s">
        <v>887</v>
      </c>
      <c r="DU68" s="41" t="s">
        <v>871</v>
      </c>
      <c r="DY68" s="41" t="s">
        <v>871</v>
      </c>
      <c r="EC68" s="41" t="s">
        <v>871</v>
      </c>
      <c r="EG68" s="41" t="s">
        <v>871</v>
      </c>
      <c r="EJ68" s="2">
        <f t="shared" si="74"/>
        <v>0</v>
      </c>
      <c r="EK68" s="8" t="str">
        <f t="shared" si="75"/>
        <v>数据缺失</v>
      </c>
      <c r="EO68" s="36" t="s">
        <v>871</v>
      </c>
      <c r="ER68" s="8">
        <f t="shared" si="43"/>
        <v>0</v>
      </c>
      <c r="ES68" s="6" t="str">
        <f t="shared" si="62"/>
        <v>数据缺失</v>
      </c>
      <c r="EW68" s="36" t="s">
        <v>871</v>
      </c>
      <c r="EZ68" s="8">
        <f t="shared" si="44"/>
        <v>0</v>
      </c>
      <c r="FA68" s="8" t="str">
        <f t="shared" si="45"/>
        <v>数据缺失</v>
      </c>
      <c r="FE68" s="36" t="s">
        <v>871</v>
      </c>
      <c r="FH68" s="36">
        <v>2</v>
      </c>
      <c r="FI68" s="36" t="s">
        <v>1193</v>
      </c>
      <c r="FJ68" s="36" t="s">
        <v>1194</v>
      </c>
      <c r="FM68" s="36" t="s">
        <v>887</v>
      </c>
      <c r="FQ68" s="36" t="s">
        <v>871</v>
      </c>
      <c r="FU68" s="36" t="s">
        <v>871</v>
      </c>
      <c r="FY68" s="36" t="s">
        <v>871</v>
      </c>
      <c r="GB68" s="36">
        <v>3</v>
      </c>
      <c r="GC68" s="36" t="s">
        <v>1195</v>
      </c>
      <c r="GG68" s="36" t="s">
        <v>1195</v>
      </c>
      <c r="GH68" s="36" t="s">
        <v>1194</v>
      </c>
      <c r="GJ68" s="8">
        <f t="shared" si="46"/>
        <v>1</v>
      </c>
      <c r="GK68" s="1">
        <f t="shared" si="47"/>
        <v>0.32581592150822286</v>
      </c>
      <c r="GN68" s="36">
        <v>1.6759999999999999</v>
      </c>
      <c r="GO68" s="36" t="s">
        <v>1196</v>
      </c>
      <c r="GP68" s="36" t="s">
        <v>1194</v>
      </c>
      <c r="GS68" s="69">
        <v>5.1440089000000002</v>
      </c>
      <c r="GT68" s="39" t="s">
        <v>876</v>
      </c>
      <c r="GV68" s="8">
        <f t="shared" si="48"/>
        <v>0</v>
      </c>
      <c r="GW68" s="6" t="s">
        <v>37</v>
      </c>
      <c r="GX68" s="39"/>
      <c r="GY68" s="39"/>
      <c r="GZ68" s="39"/>
      <c r="HA68" s="39" t="s">
        <v>871</v>
      </c>
      <c r="HB68" s="39"/>
      <c r="HC68" s="39"/>
      <c r="HD68" s="39"/>
      <c r="HE68" s="69">
        <v>182.04942618000001</v>
      </c>
      <c r="HF68" s="39" t="s">
        <v>876</v>
      </c>
      <c r="HH68" s="39">
        <f t="shared" si="67"/>
        <v>1</v>
      </c>
      <c r="HI68" s="1">
        <f t="shared" si="51"/>
        <v>0</v>
      </c>
      <c r="HJ68" s="39"/>
      <c r="HK68" s="39"/>
      <c r="HL68" s="39"/>
      <c r="HM68" s="39">
        <v>0</v>
      </c>
      <c r="HN68" s="39" t="s">
        <v>1197</v>
      </c>
      <c r="HO68" s="39"/>
      <c r="HP68" s="39"/>
      <c r="HQ68" s="78">
        <v>10.515091760000001</v>
      </c>
      <c r="HR68" s="39" t="s">
        <v>876</v>
      </c>
      <c r="HT68" s="8">
        <f t="shared" si="52"/>
        <v>0</v>
      </c>
      <c r="HU68" s="39" t="s">
        <v>1147</v>
      </c>
      <c r="HV68" s="39"/>
      <c r="HW68" s="39"/>
      <c r="HX68" s="40"/>
      <c r="HY68" s="39" t="s">
        <v>1147</v>
      </c>
      <c r="HZ68" s="39"/>
      <c r="IA68" s="39"/>
      <c r="IB68" s="39"/>
      <c r="IC68" s="69">
        <v>16.760626859999999</v>
      </c>
      <c r="ID68" s="39" t="s">
        <v>876</v>
      </c>
      <c r="IR68" s="3">
        <f>IF(IS68="数据缺失",0,IF(IS68&lt;0%,0,IF(IS68&lt;=100%,4,IF(IS68&lt;200%,3,IF(IS68&lt;300%,2,1)))))</f>
        <v>4</v>
      </c>
      <c r="IS68" s="5">
        <f t="shared" si="55"/>
        <v>0.47544798739093747</v>
      </c>
      <c r="IW68" s="36">
        <v>48.5</v>
      </c>
      <c r="IX68" s="36" t="s">
        <v>1240</v>
      </c>
      <c r="IY68" s="39"/>
      <c r="IZ68" s="39"/>
      <c r="JA68" s="69">
        <v>102.00905521999999</v>
      </c>
      <c r="JB68" s="39" t="s">
        <v>876</v>
      </c>
      <c r="JD68" s="39">
        <f t="shared" si="69"/>
        <v>3</v>
      </c>
      <c r="JE68" s="43">
        <f>JI68/JM68/(JQ68+JU68)*2</f>
        <v>6.9287313492899461E-2</v>
      </c>
      <c r="JF68" s="39"/>
      <c r="JG68" s="39"/>
      <c r="JH68" s="39"/>
      <c r="JI68" s="39">
        <v>4.95</v>
      </c>
      <c r="JJ68" s="39" t="s">
        <v>1190</v>
      </c>
      <c r="JK68" s="39"/>
      <c r="JL68" s="39"/>
      <c r="JM68" s="39">
        <v>1.19</v>
      </c>
      <c r="JN68" s="39" t="s">
        <v>1190</v>
      </c>
      <c r="JO68" s="39"/>
      <c r="JP68" s="39"/>
      <c r="JQ68" s="39">
        <v>72.84</v>
      </c>
      <c r="JR68" s="39" t="s">
        <v>1199</v>
      </c>
      <c r="JS68" s="39"/>
      <c r="JT68" s="39"/>
      <c r="JU68" s="39">
        <v>47.23</v>
      </c>
      <c r="JV68" s="39" t="s">
        <v>1190</v>
      </c>
      <c r="JX68" s="36">
        <v>1</v>
      </c>
      <c r="JY68" s="36" t="s">
        <v>1200</v>
      </c>
      <c r="KB68" s="36">
        <v>1</v>
      </c>
      <c r="KC68" s="36" t="str">
        <f>JY68</f>
        <v>普华永道中天会计师事务所（特殊普通合伙）</v>
      </c>
      <c r="KD68" s="39" t="s">
        <v>1199</v>
      </c>
      <c r="KF68" s="8">
        <f t="shared" si="58"/>
        <v>1</v>
      </c>
      <c r="KG68" s="1">
        <f t="shared" si="59"/>
        <v>0</v>
      </c>
      <c r="KH68" s="39"/>
      <c r="KI68" s="39"/>
      <c r="KJ68" s="39"/>
      <c r="KK68" s="39">
        <v>0</v>
      </c>
      <c r="KL68" s="39" t="s">
        <v>1197</v>
      </c>
      <c r="KM68" s="39"/>
      <c r="KN68" s="39"/>
      <c r="KO68" s="69">
        <v>102.00905521999999</v>
      </c>
      <c r="KP68" s="39" t="s">
        <v>876</v>
      </c>
    </row>
    <row r="69" spans="2:302" s="39" customFormat="1" ht="16.5" customHeight="1" x14ac:dyDescent="0.35">
      <c r="B69" s="39" t="s">
        <v>1201</v>
      </c>
      <c r="C69" s="39" t="s">
        <v>1202</v>
      </c>
      <c r="D69" s="39" t="s">
        <v>1203</v>
      </c>
      <c r="E69" s="36" t="s">
        <v>1204</v>
      </c>
      <c r="F69" s="36" t="s">
        <v>1205</v>
      </c>
      <c r="G69" s="3" t="s">
        <v>199</v>
      </c>
      <c r="H69" s="40">
        <f>336276.8/343373.17</f>
        <v>0.97933335909733421</v>
      </c>
      <c r="J69" s="95"/>
      <c r="L69" s="42">
        <v>4</v>
      </c>
      <c r="M69" s="39" t="s">
        <v>1206</v>
      </c>
      <c r="P69" s="39" t="s">
        <v>126</v>
      </c>
      <c r="Q69" s="39" t="s">
        <v>1207</v>
      </c>
      <c r="R69" s="39" t="s">
        <v>1208</v>
      </c>
      <c r="T69" s="36" t="s">
        <v>203</v>
      </c>
      <c r="U69" s="40">
        <v>0.68589999999999995</v>
      </c>
      <c r="X69" s="8">
        <f t="shared" si="25"/>
        <v>6</v>
      </c>
      <c r="Y69" s="1">
        <f t="shared" si="26"/>
        <v>-0.60813345735610036</v>
      </c>
      <c r="AC69" s="39">
        <v>7.33</v>
      </c>
      <c r="AD69" s="39" t="s">
        <v>1209</v>
      </c>
      <c r="AG69" s="39">
        <v>26.1</v>
      </c>
      <c r="AH69" s="39" t="s">
        <v>1209</v>
      </c>
      <c r="AK69" s="39">
        <v>51.9</v>
      </c>
      <c r="AL69" s="39" t="s">
        <v>1209</v>
      </c>
      <c r="AN69" s="8">
        <f t="shared" si="27"/>
        <v>6</v>
      </c>
      <c r="AO69" s="1">
        <f t="shared" si="28"/>
        <v>-0.5597771051183269</v>
      </c>
      <c r="AS69" s="39">
        <v>5.94</v>
      </c>
      <c r="AT69" s="39" t="s">
        <v>1209</v>
      </c>
      <c r="AW69" s="39">
        <v>11.5</v>
      </c>
      <c r="AX69" s="39" t="s">
        <v>1209</v>
      </c>
      <c r="BA69" s="39">
        <v>31.6</v>
      </c>
      <c r="BB69" s="39" t="s">
        <v>1209</v>
      </c>
      <c r="BD69" s="2">
        <f t="shared" si="70"/>
        <v>5</v>
      </c>
      <c r="BE69" s="8">
        <f t="shared" si="73"/>
        <v>7.33</v>
      </c>
      <c r="BI69" s="39">
        <f>AC69</f>
        <v>7.33</v>
      </c>
      <c r="BJ69" s="39" t="s">
        <v>1209</v>
      </c>
      <c r="BL69" s="2">
        <f t="shared" si="71"/>
        <v>5</v>
      </c>
      <c r="BM69" s="8">
        <f t="shared" si="30"/>
        <v>5.94</v>
      </c>
      <c r="BQ69" s="39">
        <f>AS69</f>
        <v>5.94</v>
      </c>
      <c r="BR69" s="39" t="s">
        <v>1210</v>
      </c>
      <c r="BT69" s="8">
        <f t="shared" si="72"/>
        <v>4</v>
      </c>
      <c r="BU69" s="39">
        <v>302</v>
      </c>
      <c r="BY69" s="39">
        <v>302</v>
      </c>
      <c r="BZ69" s="80" t="s">
        <v>1211</v>
      </c>
      <c r="CB69" s="39">
        <v>1</v>
      </c>
      <c r="CC69" s="39" t="s">
        <v>1212</v>
      </c>
      <c r="CF69" s="39" t="s">
        <v>938</v>
      </c>
      <c r="CG69" s="39" t="s">
        <v>1213</v>
      </c>
      <c r="CH69" s="39" t="s">
        <v>1210</v>
      </c>
      <c r="CJ69" s="8">
        <f t="shared" si="32"/>
        <v>0</v>
      </c>
      <c r="CK69" s="39" t="s">
        <v>1147</v>
      </c>
      <c r="CO69" s="96" t="s">
        <v>887</v>
      </c>
      <c r="CS69" s="39">
        <f>AC69</f>
        <v>7.33</v>
      </c>
      <c r="CT69" s="39" t="s">
        <v>1210</v>
      </c>
      <c r="CV69" s="8">
        <f t="shared" si="35"/>
        <v>0</v>
      </c>
      <c r="CW69" s="8" t="str">
        <f t="shared" si="36"/>
        <v>数据缺失</v>
      </c>
      <c r="DA69" s="96" t="s">
        <v>887</v>
      </c>
      <c r="DD69" s="39">
        <f>IF(DE69="数据缺失",0,IF(DE69&lt;0,0,IF(DE69&lt;2,3,IF(DE69&lt;=5,1,2))))</f>
        <v>0</v>
      </c>
      <c r="DE69" s="69" t="s">
        <v>871</v>
      </c>
      <c r="DI69" s="39">
        <f>AS69</f>
        <v>5.94</v>
      </c>
      <c r="DJ69" s="39" t="s">
        <v>1209</v>
      </c>
      <c r="DM69" s="96" t="s">
        <v>1192</v>
      </c>
      <c r="DP69" s="39">
        <v>4</v>
      </c>
      <c r="DQ69" s="39" t="s">
        <v>1214</v>
      </c>
      <c r="DR69" s="39" t="s">
        <v>1209</v>
      </c>
      <c r="DU69" s="40" t="s">
        <v>1192</v>
      </c>
      <c r="DY69" s="40" t="s">
        <v>1192</v>
      </c>
      <c r="EC69" s="40" t="s">
        <v>1192</v>
      </c>
      <c r="EG69" s="40" t="s">
        <v>887</v>
      </c>
      <c r="EJ69" s="2">
        <f t="shared" si="74"/>
        <v>3</v>
      </c>
      <c r="EK69" s="8">
        <f t="shared" si="75"/>
        <v>27.02</v>
      </c>
      <c r="EO69" s="39">
        <v>27.02</v>
      </c>
      <c r="EP69" s="39" t="s">
        <v>1209</v>
      </c>
      <c r="ER69" s="8">
        <f t="shared" si="43"/>
        <v>4</v>
      </c>
      <c r="ES69" s="6">
        <f t="shared" si="62"/>
        <v>8.83</v>
      </c>
      <c r="EW69" s="78">
        <v>8.83</v>
      </c>
      <c r="EX69" s="39" t="s">
        <v>1209</v>
      </c>
      <c r="EZ69" s="8">
        <f t="shared" si="44"/>
        <v>3</v>
      </c>
      <c r="FA69" s="8">
        <f t="shared" si="45"/>
        <v>87.19</v>
      </c>
      <c r="FE69" s="39">
        <v>87.19</v>
      </c>
      <c r="FF69" s="39" t="s">
        <v>1210</v>
      </c>
      <c r="FG69" s="39" t="s">
        <v>1215</v>
      </c>
      <c r="FH69" s="39">
        <v>3</v>
      </c>
      <c r="FI69" s="39" t="s">
        <v>1216</v>
      </c>
      <c r="FJ69" s="39" t="s">
        <v>1209</v>
      </c>
      <c r="FM69" s="40" t="s">
        <v>1192</v>
      </c>
      <c r="FQ69" s="40" t="s">
        <v>1192</v>
      </c>
      <c r="FU69" s="40" t="s">
        <v>1192</v>
      </c>
      <c r="FY69" s="40" t="s">
        <v>887</v>
      </c>
      <c r="GB69" s="39">
        <v>2</v>
      </c>
      <c r="GC69" s="39" t="s">
        <v>1217</v>
      </c>
      <c r="GG69" s="39" t="s">
        <v>1218</v>
      </c>
      <c r="GH69" s="39" t="s">
        <v>900</v>
      </c>
      <c r="GJ69" s="8">
        <f t="shared" si="46"/>
        <v>4</v>
      </c>
      <c r="GK69" s="1">
        <f t="shared" si="47"/>
        <v>9.3185789167151995E-3</v>
      </c>
      <c r="GN69" s="39">
        <v>0.32</v>
      </c>
      <c r="GO69" s="39" t="s">
        <v>1219</v>
      </c>
      <c r="GP69" s="39" t="s">
        <v>1220</v>
      </c>
      <c r="GS69" s="69">
        <v>34.340000000000003</v>
      </c>
      <c r="GT69" s="39" t="s">
        <v>1220</v>
      </c>
      <c r="GV69" s="8">
        <f t="shared" si="48"/>
        <v>2</v>
      </c>
      <c r="GW69" s="1">
        <f t="shared" si="49"/>
        <v>0.31051055953585233</v>
      </c>
      <c r="HA69" s="48">
        <v>18.64</v>
      </c>
      <c r="HB69" s="39" t="s">
        <v>1220</v>
      </c>
      <c r="HE69" s="69">
        <v>60.030164603300001</v>
      </c>
      <c r="HF69" s="39" t="s">
        <v>1221</v>
      </c>
      <c r="HH69" s="39">
        <f>IF(HI69="数据缺失",0,IF(HI69&lt;20%,1,IF(HI69&lt;40%,2,IF(HI69&lt;60%,3,IF(HI69&lt;80%,4,IF(HI69&lt;=100%,5,0))))))</f>
        <v>1</v>
      </c>
      <c r="HI69" s="1">
        <f t="shared" si="51"/>
        <v>3.0409047756559445E-3</v>
      </c>
      <c r="HM69" s="39">
        <v>0.01</v>
      </c>
      <c r="HN69" s="39" t="s">
        <v>1220</v>
      </c>
      <c r="HQ69" s="78">
        <v>3.2884949506000001</v>
      </c>
      <c r="HR69" s="39" t="s">
        <v>1221</v>
      </c>
      <c r="HT69" s="39">
        <f>IF(HU69="数据缺失",0,IF(HU69&lt;5%,4,IF(HU69&lt;=10%,3,IF(HU69&lt;30%,2,IF(HU69&lt;=100%,1,0)))))</f>
        <v>4</v>
      </c>
      <c r="HU69" s="10">
        <f t="shared" si="53"/>
        <v>0</v>
      </c>
      <c r="HY69" s="39">
        <v>0</v>
      </c>
      <c r="HZ69" s="39" t="s">
        <v>1220</v>
      </c>
      <c r="IC69" s="39">
        <v>9.18</v>
      </c>
      <c r="ID69" s="39" t="s">
        <v>1222</v>
      </c>
      <c r="IR69" s="42">
        <f>IF(IS69="数据缺失",0,IF(IS69&lt;0%,0,IF(IS69&lt;=100%,4,IF(IS69&lt;200%,3,IF(IS69&lt;300%,2,1)))))</f>
        <v>4</v>
      </c>
      <c r="IS69" s="1">
        <f t="shared" si="55"/>
        <v>0.40498427374165408</v>
      </c>
      <c r="IW69" s="78">
        <v>14.9</v>
      </c>
      <c r="IX69" s="39" t="s">
        <v>1210</v>
      </c>
      <c r="IY69" s="39" t="s">
        <v>1223</v>
      </c>
      <c r="JA69" s="69">
        <v>36.791552082599999</v>
      </c>
      <c r="JB69" s="39" t="s">
        <v>902</v>
      </c>
      <c r="JD69" s="39">
        <f>IF(JE69="数据缺失",0,IF(JE69&lt;0%,0,IF(JE69&lt;4%,1,IF(JE69&lt;6%,2,IF(JE69&lt;8%,3,4)))))</f>
        <v>4</v>
      </c>
      <c r="JE69" s="43">
        <f>JI69/JM69/(JQ69+JU69)*2</f>
        <v>8.9254153411099324E-2</v>
      </c>
      <c r="JI69" s="39">
        <v>4.04</v>
      </c>
      <c r="JJ69" s="39" t="s">
        <v>1209</v>
      </c>
      <c r="JM69" s="39">
        <v>6.56</v>
      </c>
      <c r="JN69" s="39" t="s">
        <v>1224</v>
      </c>
      <c r="JQ69" s="39">
        <v>9.3000000000000007</v>
      </c>
      <c r="JR69" s="39" t="s">
        <v>1210</v>
      </c>
      <c r="JU69" s="39">
        <v>4.5</v>
      </c>
      <c r="JV69" s="39" t="s">
        <v>1209</v>
      </c>
      <c r="JX69" s="39">
        <v>2</v>
      </c>
      <c r="JY69" s="39" t="s">
        <v>1225</v>
      </c>
      <c r="KB69" s="39">
        <v>19</v>
      </c>
      <c r="KC69" s="39" t="s">
        <v>1226</v>
      </c>
      <c r="KD69" s="39" t="s">
        <v>1220</v>
      </c>
      <c r="KF69" s="8">
        <f t="shared" si="58"/>
        <v>1</v>
      </c>
      <c r="KG69" s="1">
        <f t="shared" si="59"/>
        <v>4.6206259420188717E-2</v>
      </c>
      <c r="KK69" s="39">
        <v>1.7</v>
      </c>
      <c r="KL69" s="39" t="s">
        <v>1220</v>
      </c>
      <c r="KO69" s="69">
        <v>36.791552082599999</v>
      </c>
      <c r="KP69" s="39" t="s">
        <v>1222</v>
      </c>
    </row>
    <row r="70" spans="2:302" s="39" customFormat="1" ht="13" hidden="1" x14ac:dyDescent="0.35">
      <c r="B70" s="39" t="s">
        <v>1255</v>
      </c>
      <c r="C70" s="39" t="s">
        <v>1256</v>
      </c>
      <c r="D70" s="39" t="s">
        <v>325</v>
      </c>
      <c r="E70" s="36" t="s">
        <v>1257</v>
      </c>
      <c r="F70" s="39" t="s">
        <v>1258</v>
      </c>
      <c r="G70" s="3" t="s">
        <v>174</v>
      </c>
      <c r="H70" s="40">
        <v>0.96970000000000001</v>
      </c>
      <c r="J70" s="95"/>
      <c r="L70" s="42">
        <v>4</v>
      </c>
      <c r="M70" s="39" t="s">
        <v>2869</v>
      </c>
      <c r="P70" s="39" t="s">
        <v>126</v>
      </c>
      <c r="Q70" s="39" t="s">
        <v>1259</v>
      </c>
      <c r="R70" s="39" t="s">
        <v>1260</v>
      </c>
      <c r="T70" s="39" t="s">
        <v>129</v>
      </c>
      <c r="U70" s="40">
        <v>0.46949999999999997</v>
      </c>
      <c r="X70" s="8">
        <f t="shared" si="25"/>
        <v>6</v>
      </c>
      <c r="Y70" s="1">
        <f t="shared" si="26"/>
        <v>-0.32984857466185269</v>
      </c>
      <c r="AC70" s="39">
        <v>108</v>
      </c>
      <c r="AD70" s="39" t="s">
        <v>1261</v>
      </c>
      <c r="AG70" s="78">
        <v>154</v>
      </c>
      <c r="AH70" s="39" t="s">
        <v>1260</v>
      </c>
      <c r="AK70" s="78">
        <v>241</v>
      </c>
      <c r="AL70" s="39" t="s">
        <v>1262</v>
      </c>
      <c r="AN70" s="8">
        <f t="shared" si="27"/>
        <v>5</v>
      </c>
      <c r="AO70" s="1">
        <f t="shared" si="28"/>
        <v>-0.28703007518796997</v>
      </c>
      <c r="AS70" s="39">
        <v>71</v>
      </c>
      <c r="AT70" s="39" t="s">
        <v>156</v>
      </c>
      <c r="AW70" s="78">
        <v>95</v>
      </c>
      <c r="AX70" s="39" t="s">
        <v>1263</v>
      </c>
      <c r="BA70" s="78">
        <v>140</v>
      </c>
      <c r="BB70" s="39" t="s">
        <v>1264</v>
      </c>
      <c r="BD70" s="2">
        <f t="shared" si="70"/>
        <v>3</v>
      </c>
      <c r="BE70" s="8">
        <f t="shared" si="73"/>
        <v>108</v>
      </c>
      <c r="BI70" s="39">
        <f t="shared" ref="BI70:BI105" si="76">AC70</f>
        <v>108</v>
      </c>
      <c r="BJ70" s="39" t="s">
        <v>156</v>
      </c>
      <c r="BL70" s="2">
        <f t="shared" si="71"/>
        <v>4</v>
      </c>
      <c r="BM70" s="8">
        <f t="shared" si="30"/>
        <v>71</v>
      </c>
      <c r="BQ70" s="39">
        <f t="shared" ref="BQ70:BQ105" si="77">AS70</f>
        <v>71</v>
      </c>
      <c r="BR70" s="39" t="s">
        <v>1265</v>
      </c>
      <c r="BT70" s="8">
        <f t="shared" si="72"/>
        <v>1</v>
      </c>
      <c r="BU70" s="39">
        <v>7</v>
      </c>
      <c r="BY70" s="39">
        <v>7</v>
      </c>
      <c r="BZ70" s="80" t="s">
        <v>131</v>
      </c>
      <c r="CA70" s="39" t="s">
        <v>1266</v>
      </c>
      <c r="CB70" s="39">
        <v>1</v>
      </c>
      <c r="CC70" s="39" t="s">
        <v>1267</v>
      </c>
      <c r="CF70" s="39" t="s">
        <v>1268</v>
      </c>
      <c r="CG70" s="39" t="s">
        <v>1269</v>
      </c>
      <c r="CH70" s="80" t="s">
        <v>1270</v>
      </c>
      <c r="CJ70" s="39">
        <v>0</v>
      </c>
      <c r="CK70" s="48" t="s">
        <v>1271</v>
      </c>
      <c r="CO70" s="118" t="s">
        <v>264</v>
      </c>
      <c r="CS70" s="39">
        <f t="shared" ref="CS70:CS105" si="78">AC70</f>
        <v>108</v>
      </c>
      <c r="CT70" s="39" t="s">
        <v>1265</v>
      </c>
      <c r="CV70" s="39">
        <f t="shared" ref="CV70:CV76" si="79">IF(CW70="数据缺失",0,IF(CW70&lt;0,0,IF(CW70&lt;100,5,IF(CW70&lt;500,4,IF(CW70&lt;1000,3,IF(CW70&lt;2000,2,1))))))</f>
        <v>3</v>
      </c>
      <c r="CW70" s="8">
        <f t="shared" si="36"/>
        <v>545.30999999999995</v>
      </c>
      <c r="DA70" s="118">
        <v>545.30999999999995</v>
      </c>
      <c r="DB70" s="118" t="s">
        <v>156</v>
      </c>
      <c r="DD70" s="39">
        <f t="shared" ref="DD70:DD105" si="80">IF(DE70="数据缺失",0,IF(DE70&lt;0,0,IF(DE70&lt;2,3,IF(DE70&lt;=5,1,2))))</f>
        <v>2</v>
      </c>
      <c r="DE70" s="69">
        <f t="shared" ref="DE70:DE75" si="81">DM70/DI70</f>
        <v>7.6804225352112665</v>
      </c>
      <c r="DI70" s="39">
        <f t="shared" ref="DI70:DI105" si="82">AS70</f>
        <v>71</v>
      </c>
      <c r="DJ70" s="39" t="s">
        <v>1272</v>
      </c>
      <c r="DM70" s="118">
        <f>DA70</f>
        <v>545.30999999999995</v>
      </c>
      <c r="DN70" s="118" t="s">
        <v>156</v>
      </c>
      <c r="DP70" s="39">
        <v>3</v>
      </c>
      <c r="DQ70" s="39" t="s">
        <v>1273</v>
      </c>
      <c r="DU70" s="40">
        <v>0.40281674643780607</v>
      </c>
      <c r="DV70" s="39" t="s">
        <v>1274</v>
      </c>
      <c r="DY70" s="40">
        <v>0.59718325356219404</v>
      </c>
      <c r="DZ70" s="39" t="s">
        <v>1265</v>
      </c>
      <c r="EC70" s="40">
        <v>0</v>
      </c>
      <c r="ED70" s="39" t="s">
        <v>156</v>
      </c>
      <c r="EG70" s="40">
        <v>0</v>
      </c>
      <c r="EH70" s="39" t="s">
        <v>156</v>
      </c>
      <c r="EJ70" s="2">
        <f t="shared" si="74"/>
        <v>2</v>
      </c>
      <c r="EK70" s="8">
        <f t="shared" si="75"/>
        <v>93</v>
      </c>
      <c r="EO70" s="39">
        <v>93</v>
      </c>
      <c r="EP70" s="39" t="s">
        <v>1265</v>
      </c>
      <c r="ER70" s="8">
        <f t="shared" si="43"/>
        <v>2</v>
      </c>
      <c r="ES70" s="6">
        <f t="shared" si="62"/>
        <v>62</v>
      </c>
      <c r="EW70" s="39">
        <v>62</v>
      </c>
      <c r="EX70" s="39" t="s">
        <v>1272</v>
      </c>
      <c r="EZ70" s="8">
        <f t="shared" si="44"/>
        <v>1</v>
      </c>
      <c r="FA70" s="8">
        <f t="shared" si="45"/>
        <v>255</v>
      </c>
      <c r="FE70" s="39">
        <v>255</v>
      </c>
      <c r="FF70" s="39" t="s">
        <v>1263</v>
      </c>
      <c r="FH70" s="39">
        <v>3</v>
      </c>
      <c r="FI70" s="39" t="s">
        <v>1275</v>
      </c>
      <c r="FM70" s="40" t="s">
        <v>1271</v>
      </c>
      <c r="FQ70" s="40" t="s">
        <v>1276</v>
      </c>
      <c r="FU70" s="40" t="s">
        <v>1276</v>
      </c>
      <c r="FY70" s="40" t="s">
        <v>1271</v>
      </c>
      <c r="GB70" s="39">
        <v>2</v>
      </c>
      <c r="GC70" s="39" t="s">
        <v>1277</v>
      </c>
      <c r="GG70" s="39" t="s">
        <v>1278</v>
      </c>
      <c r="GH70" s="39" t="s">
        <v>1265</v>
      </c>
      <c r="GJ70" s="8">
        <f t="shared" si="46"/>
        <v>4</v>
      </c>
      <c r="GK70" s="1">
        <f t="shared" si="47"/>
        <v>3.8714255597723533E-2</v>
      </c>
      <c r="GN70" s="39">
        <v>4.49</v>
      </c>
      <c r="GO70" s="39" t="s">
        <v>1279</v>
      </c>
      <c r="GP70" s="39" t="s">
        <v>1265</v>
      </c>
      <c r="GS70" s="69">
        <v>115.97795000000001</v>
      </c>
      <c r="GT70" s="39" t="s">
        <v>1280</v>
      </c>
      <c r="GV70" s="8">
        <f t="shared" si="48"/>
        <v>2</v>
      </c>
      <c r="GW70" s="1">
        <f t="shared" si="49"/>
        <v>0.21254405795401224</v>
      </c>
      <c r="HA70" s="39">
        <v>191.79</v>
      </c>
      <c r="HB70" s="39" t="s">
        <v>156</v>
      </c>
      <c r="HE70" s="69">
        <v>902.35409000000004</v>
      </c>
      <c r="HF70" s="39" t="s">
        <v>1281</v>
      </c>
      <c r="HH70" s="39">
        <f t="shared" ref="HH70:HH105" si="83">IF(HI70="数据缺失",0,IF(HI70&lt;20%,1,IF(HI70&lt;40%,2,IF(HI70&lt;60%,3,IF(HI70&lt;80%,4,IF(HI70&lt;=100%,5,0))))))</f>
        <v>1</v>
      </c>
      <c r="HI70" s="1">
        <f t="shared" si="51"/>
        <v>0.15249899139855402</v>
      </c>
      <c r="HM70" s="39">
        <v>31.54</v>
      </c>
      <c r="HN70" s="39" t="s">
        <v>1261</v>
      </c>
      <c r="HQ70" s="78">
        <v>206.82104000000001</v>
      </c>
      <c r="HR70" s="39" t="s">
        <v>1282</v>
      </c>
      <c r="HT70" s="39">
        <f t="shared" ref="HT70:HT105" si="84">IF(HU70="数据缺失",0,IF(HU70&lt;5%,4,IF(HU70&lt;=10%,3,IF(HU70&lt;30%,2,IF(HU70&lt;=100%,1,0)))))</f>
        <v>4</v>
      </c>
      <c r="HU70" s="10">
        <f t="shared" si="53"/>
        <v>0</v>
      </c>
      <c r="HY70" s="68">
        <v>0</v>
      </c>
      <c r="HZ70" s="39" t="s">
        <v>1265</v>
      </c>
      <c r="IC70" s="39">
        <v>60.29</v>
      </c>
      <c r="ID70" s="39" t="s">
        <v>1280</v>
      </c>
      <c r="IR70" s="42">
        <f t="shared" ref="IR70:IR105" si="85">IF(IS70="数据缺失",0,IF(IS70&lt;0%,0,IF(IS70&lt;=100%,4,IF(IS70&lt;200%,3,IF(IS70&lt;300%,2,1)))))</f>
        <v>1</v>
      </c>
      <c r="IS70" s="1">
        <f t="shared" si="55"/>
        <v>3.6919123203527087</v>
      </c>
      <c r="IW70" s="78">
        <v>937</v>
      </c>
      <c r="IX70" s="39" t="s">
        <v>1263</v>
      </c>
      <c r="JA70" s="69">
        <v>253.79801</v>
      </c>
      <c r="JB70" s="39" t="s">
        <v>1283</v>
      </c>
      <c r="JD70" s="39">
        <f t="shared" ref="JD70:JD105" si="86">IF(JE70="数据缺失",0,IF(JE70&lt;0%,0,IF(JE70&lt;4%,1,IF(JE70&lt;6%,2,IF(JE70&lt;8%,3,4)))))</f>
        <v>3</v>
      </c>
      <c r="JE70" s="43">
        <f t="shared" ref="JE70:JE105" si="87">JI70/JM70/(JQ70+JU70)*2</f>
        <v>7.0138599132848367E-2</v>
      </c>
      <c r="JI70" s="39">
        <v>61.86</v>
      </c>
      <c r="JJ70" s="39" t="s">
        <v>1260</v>
      </c>
      <c r="JM70" s="78">
        <v>5.54</v>
      </c>
      <c r="JN70" s="39" t="s">
        <v>1263</v>
      </c>
      <c r="JQ70" s="78">
        <v>174.43</v>
      </c>
      <c r="JR70" s="39" t="s">
        <v>1260</v>
      </c>
      <c r="JU70" s="78">
        <v>143.97</v>
      </c>
      <c r="JV70" s="39" t="s">
        <v>1284</v>
      </c>
      <c r="JX70" s="39">
        <v>1</v>
      </c>
      <c r="JY70" s="39" t="s">
        <v>1285</v>
      </c>
      <c r="KB70" s="39">
        <v>1</v>
      </c>
      <c r="KC70" s="39" t="s">
        <v>1285</v>
      </c>
      <c r="KD70" s="39" t="s">
        <v>1265</v>
      </c>
      <c r="KF70" s="8">
        <f t="shared" si="58"/>
        <v>1</v>
      </c>
      <c r="KG70" s="1">
        <f t="shared" si="59"/>
        <v>0.10334990412257369</v>
      </c>
      <c r="KK70" s="39">
        <v>26.23</v>
      </c>
      <c r="KL70" s="39" t="s">
        <v>156</v>
      </c>
      <c r="KM70" s="39" t="s">
        <v>1286</v>
      </c>
      <c r="KO70" s="69">
        <v>253.79801</v>
      </c>
      <c r="KP70" s="39" t="s">
        <v>1283</v>
      </c>
    </row>
    <row r="71" spans="2:302" s="67" customFormat="1" ht="13" hidden="1" x14ac:dyDescent="0.35">
      <c r="B71" s="67" t="s">
        <v>1287</v>
      </c>
      <c r="C71" s="39" t="s">
        <v>1288</v>
      </c>
      <c r="D71" s="39" t="s">
        <v>1289</v>
      </c>
      <c r="E71" s="36" t="s">
        <v>1290</v>
      </c>
      <c r="F71" s="67" t="s">
        <v>1258</v>
      </c>
      <c r="G71" s="130" t="s">
        <v>199</v>
      </c>
      <c r="H71" s="120">
        <v>0.93469999999999998</v>
      </c>
      <c r="J71" s="121"/>
      <c r="L71" s="122">
        <v>4</v>
      </c>
      <c r="M71" s="67" t="s">
        <v>1291</v>
      </c>
      <c r="P71" s="67" t="s">
        <v>1292</v>
      </c>
      <c r="Q71" s="67" t="s">
        <v>1293</v>
      </c>
      <c r="R71" s="67" t="s">
        <v>1264</v>
      </c>
      <c r="T71" s="67" t="s">
        <v>129</v>
      </c>
      <c r="U71" s="120">
        <v>0.46949999999999997</v>
      </c>
      <c r="X71" s="8">
        <f t="shared" si="25"/>
        <v>5</v>
      </c>
      <c r="Y71" s="1">
        <f t="shared" si="26"/>
        <v>-0.21881210155641403</v>
      </c>
      <c r="AC71" s="123">
        <v>154</v>
      </c>
      <c r="AD71" s="67" t="s">
        <v>1260</v>
      </c>
      <c r="AG71" s="123">
        <v>241</v>
      </c>
      <c r="AH71" s="67" t="s">
        <v>1264</v>
      </c>
      <c r="AK71" s="123">
        <v>261</v>
      </c>
      <c r="AL71" s="67" t="s">
        <v>1294</v>
      </c>
      <c r="AN71" s="8">
        <f t="shared" si="27"/>
        <v>5</v>
      </c>
      <c r="AO71" s="1">
        <f t="shared" si="28"/>
        <v>-0.20319794584500467</v>
      </c>
      <c r="AS71" s="123">
        <v>95</v>
      </c>
      <c r="AT71" s="67" t="s">
        <v>1295</v>
      </c>
      <c r="AW71" s="123">
        <v>140</v>
      </c>
      <c r="AX71" s="67" t="s">
        <v>1296</v>
      </c>
      <c r="BA71" s="123">
        <v>153</v>
      </c>
      <c r="BB71" s="67" t="s">
        <v>1264</v>
      </c>
      <c r="BD71" s="2">
        <f t="shared" si="70"/>
        <v>3</v>
      </c>
      <c r="BE71" s="8">
        <f t="shared" si="73"/>
        <v>154</v>
      </c>
      <c r="BI71" s="39">
        <f t="shared" si="76"/>
        <v>154</v>
      </c>
      <c r="BJ71" s="67" t="s">
        <v>1297</v>
      </c>
      <c r="BL71" s="2">
        <f t="shared" si="71"/>
        <v>4</v>
      </c>
      <c r="BM71" s="8">
        <f t="shared" si="30"/>
        <v>95</v>
      </c>
      <c r="BQ71" s="39">
        <f t="shared" si="77"/>
        <v>95</v>
      </c>
      <c r="BR71" s="67" t="s">
        <v>1284</v>
      </c>
      <c r="BT71" s="8">
        <f t="shared" si="72"/>
        <v>1</v>
      </c>
      <c r="BU71" s="67">
        <v>8</v>
      </c>
      <c r="BY71" s="67">
        <v>8</v>
      </c>
      <c r="BZ71" s="124" t="s">
        <v>331</v>
      </c>
      <c r="CA71" s="39" t="s">
        <v>1266</v>
      </c>
      <c r="CB71" s="39">
        <v>1</v>
      </c>
      <c r="CC71" s="39" t="s">
        <v>711</v>
      </c>
      <c r="CD71" s="39"/>
      <c r="CE71" s="39"/>
      <c r="CF71" s="39" t="s">
        <v>1268</v>
      </c>
      <c r="CG71" s="39" t="s">
        <v>1213</v>
      </c>
      <c r="CH71" s="80" t="s">
        <v>1264</v>
      </c>
      <c r="CJ71" s="67">
        <v>0</v>
      </c>
      <c r="CK71" s="125" t="s">
        <v>264</v>
      </c>
      <c r="CO71" s="123" t="s">
        <v>1298</v>
      </c>
      <c r="CS71" s="39">
        <f t="shared" si="78"/>
        <v>154</v>
      </c>
      <c r="CT71" s="67" t="s">
        <v>1284</v>
      </c>
      <c r="CV71" s="67">
        <f t="shared" si="79"/>
        <v>4</v>
      </c>
      <c r="CW71" s="8">
        <f t="shared" si="36"/>
        <v>488</v>
      </c>
      <c r="DA71" s="118">
        <v>488</v>
      </c>
      <c r="DB71" s="67" t="s">
        <v>1264</v>
      </c>
      <c r="DC71" s="135" t="s">
        <v>1299</v>
      </c>
      <c r="DD71" s="39">
        <f t="shared" si="80"/>
        <v>2</v>
      </c>
      <c r="DE71" s="69">
        <f t="shared" si="81"/>
        <v>5.1368421052631579</v>
      </c>
      <c r="DI71" s="39">
        <f t="shared" si="82"/>
        <v>95</v>
      </c>
      <c r="DJ71" s="67" t="s">
        <v>1284</v>
      </c>
      <c r="DM71" s="118">
        <f t="shared" ref="DM71:DM87" si="88">DA71</f>
        <v>488</v>
      </c>
      <c r="DN71" s="67" t="s">
        <v>1264</v>
      </c>
      <c r="DO71" s="67" t="s">
        <v>1223</v>
      </c>
      <c r="DP71" s="67">
        <v>1</v>
      </c>
      <c r="DQ71" s="67" t="s">
        <v>1300</v>
      </c>
      <c r="DR71" s="67" t="s">
        <v>1294</v>
      </c>
      <c r="DS71" s="135" t="s">
        <v>1566</v>
      </c>
      <c r="DU71" s="120">
        <v>0.59836065573770492</v>
      </c>
      <c r="DV71" s="67" t="s">
        <v>1294</v>
      </c>
      <c r="DY71" s="120">
        <v>0.40163934426229508</v>
      </c>
      <c r="DZ71" s="67" t="s">
        <v>1264</v>
      </c>
      <c r="EC71" s="120">
        <v>0</v>
      </c>
      <c r="ED71" s="67" t="s">
        <v>1264</v>
      </c>
      <c r="EG71" s="120">
        <v>0</v>
      </c>
      <c r="EH71" s="67" t="s">
        <v>1264</v>
      </c>
      <c r="EJ71" s="2">
        <f t="shared" si="74"/>
        <v>2</v>
      </c>
      <c r="EK71" s="8">
        <f t="shared" si="75"/>
        <v>75</v>
      </c>
      <c r="EO71" s="123">
        <v>75</v>
      </c>
      <c r="EP71" s="67" t="s">
        <v>1260</v>
      </c>
      <c r="ER71" s="8">
        <f t="shared" si="43"/>
        <v>1</v>
      </c>
      <c r="ES71" s="6">
        <f t="shared" si="62"/>
        <v>106</v>
      </c>
      <c r="EW71" s="123">
        <v>106</v>
      </c>
      <c r="EX71" s="67" t="s">
        <v>1284</v>
      </c>
      <c r="EZ71" s="8">
        <f t="shared" si="44"/>
        <v>1</v>
      </c>
      <c r="FA71" s="8">
        <f t="shared" si="45"/>
        <v>211</v>
      </c>
      <c r="FE71" s="123">
        <v>211</v>
      </c>
      <c r="FF71" s="67" t="s">
        <v>1294</v>
      </c>
      <c r="FG71" s="67" t="s">
        <v>1301</v>
      </c>
      <c r="FH71" s="67">
        <v>3</v>
      </c>
      <c r="FI71" s="67" t="s">
        <v>1302</v>
      </c>
      <c r="FJ71" s="67" t="s">
        <v>1294</v>
      </c>
      <c r="FK71" s="67" t="s">
        <v>401</v>
      </c>
      <c r="FM71" s="67" t="s">
        <v>1298</v>
      </c>
      <c r="FQ71" s="67" t="s">
        <v>1298</v>
      </c>
      <c r="FU71" s="67" t="s">
        <v>1298</v>
      </c>
      <c r="FY71" s="67" t="s">
        <v>1298</v>
      </c>
      <c r="GB71" s="67">
        <v>2</v>
      </c>
      <c r="GC71" s="67" t="s">
        <v>1303</v>
      </c>
      <c r="GG71" s="67" t="s">
        <v>1303</v>
      </c>
      <c r="GH71" s="67" t="s">
        <v>1304</v>
      </c>
      <c r="GJ71" s="8">
        <f t="shared" si="46"/>
        <v>4</v>
      </c>
      <c r="GK71" s="1">
        <f t="shared" si="47"/>
        <v>2.3587988174887192E-2</v>
      </c>
      <c r="GN71" s="67">
        <v>3.79</v>
      </c>
      <c r="GO71" s="67" t="s">
        <v>1305</v>
      </c>
      <c r="GP71" s="67" t="s">
        <v>1306</v>
      </c>
      <c r="GS71" s="126">
        <v>160.67500000000001</v>
      </c>
      <c r="GT71" s="67" t="s">
        <v>1283</v>
      </c>
      <c r="GV71" s="8">
        <f t="shared" si="48"/>
        <v>0</v>
      </c>
      <c r="GW71" s="67" t="s">
        <v>1298</v>
      </c>
      <c r="HA71" s="67" t="s">
        <v>1298</v>
      </c>
      <c r="HE71" s="126">
        <v>755.69510000000002</v>
      </c>
      <c r="HF71" s="67" t="s">
        <v>1283</v>
      </c>
      <c r="HH71" s="39">
        <f t="shared" si="83"/>
        <v>1</v>
      </c>
      <c r="HI71" s="1">
        <f t="shared" si="51"/>
        <v>0.15492318280775139</v>
      </c>
      <c r="HM71" s="125">
        <v>28.97</v>
      </c>
      <c r="HN71" s="67" t="s">
        <v>1294</v>
      </c>
      <c r="HQ71" s="123">
        <v>186.99590000000001</v>
      </c>
      <c r="HR71" s="67" t="s">
        <v>1283</v>
      </c>
      <c r="HT71" s="39">
        <f t="shared" si="84"/>
        <v>4</v>
      </c>
      <c r="HU71" s="10">
        <f t="shared" si="53"/>
        <v>0</v>
      </c>
      <c r="HV71" s="39"/>
      <c r="HW71" s="39"/>
      <c r="HX71" s="39"/>
      <c r="HY71" s="68">
        <v>0</v>
      </c>
      <c r="HZ71" s="39" t="s">
        <v>1274</v>
      </c>
      <c r="IC71" s="67">
        <v>79.28</v>
      </c>
      <c r="ID71" s="67" t="s">
        <v>1283</v>
      </c>
      <c r="IR71" s="42">
        <f t="shared" si="85"/>
        <v>1</v>
      </c>
      <c r="IS71" s="1">
        <f t="shared" si="55"/>
        <v>3.9110568949097408</v>
      </c>
      <c r="IW71" s="123">
        <v>657.9</v>
      </c>
      <c r="IX71" s="67" t="s">
        <v>1294</v>
      </c>
      <c r="IY71" s="67" t="s">
        <v>1299</v>
      </c>
      <c r="JA71" s="126">
        <v>168.21539999999999</v>
      </c>
      <c r="JB71" s="67" t="s">
        <v>1283</v>
      </c>
      <c r="JD71" s="39">
        <f t="shared" si="86"/>
        <v>4</v>
      </c>
      <c r="JE71" s="43">
        <f t="shared" si="87"/>
        <v>0.1097950034747197</v>
      </c>
      <c r="JI71" s="67">
        <v>48.29</v>
      </c>
      <c r="JJ71" s="67" t="s">
        <v>1294</v>
      </c>
      <c r="JM71" s="123">
        <v>3.03</v>
      </c>
      <c r="JN71" s="67" t="s">
        <v>1294</v>
      </c>
      <c r="JQ71" s="123">
        <v>143.97</v>
      </c>
      <c r="JR71" s="67" t="s">
        <v>1294</v>
      </c>
      <c r="JU71" s="123">
        <v>146.34</v>
      </c>
      <c r="JV71" s="67" t="s">
        <v>1294</v>
      </c>
      <c r="JX71" s="67">
        <v>2</v>
      </c>
      <c r="JY71" s="67" t="s">
        <v>1307</v>
      </c>
      <c r="KB71" s="67">
        <v>4</v>
      </c>
      <c r="KC71" s="67" t="s">
        <v>1307</v>
      </c>
      <c r="KD71" s="67" t="s">
        <v>1294</v>
      </c>
      <c r="KF71" s="8">
        <f t="shared" si="58"/>
        <v>3</v>
      </c>
      <c r="KG71" s="1">
        <f t="shared" si="59"/>
        <v>0.67877257373581734</v>
      </c>
      <c r="KK71" s="67">
        <v>114.18</v>
      </c>
      <c r="KL71" s="67" t="s">
        <v>1294</v>
      </c>
      <c r="KO71" s="126">
        <v>168.21539999999999</v>
      </c>
      <c r="KP71" s="67" t="s">
        <v>1283</v>
      </c>
    </row>
    <row r="72" spans="2:302" s="67" customFormat="1" ht="13" hidden="1" x14ac:dyDescent="0.35">
      <c r="B72" s="67" t="s">
        <v>1308</v>
      </c>
      <c r="C72" s="39" t="s">
        <v>1309</v>
      </c>
      <c r="D72" s="39" t="s">
        <v>325</v>
      </c>
      <c r="E72" s="36" t="s">
        <v>1310</v>
      </c>
      <c r="F72" s="67" t="s">
        <v>1311</v>
      </c>
      <c r="G72" s="130" t="s">
        <v>174</v>
      </c>
      <c r="H72" s="120">
        <f>105.43/106.67</f>
        <v>0.98837536326989783</v>
      </c>
      <c r="J72" s="121"/>
      <c r="L72" s="178">
        <v>4</v>
      </c>
      <c r="M72" s="107" t="s">
        <v>2816</v>
      </c>
      <c r="N72" s="39"/>
      <c r="O72" s="39"/>
      <c r="P72" s="39" t="s">
        <v>2817</v>
      </c>
      <c r="Q72" s="39" t="s">
        <v>2818</v>
      </c>
      <c r="R72" s="39" t="s">
        <v>2819</v>
      </c>
      <c r="S72" s="39"/>
      <c r="T72" s="39" t="s">
        <v>129</v>
      </c>
      <c r="U72" s="179">
        <f>0.4*0.423*0.91+0.5*0.577*0.91+0.5*0.09+0.4*0.423*0.09</f>
        <v>0.47673499999999996</v>
      </c>
      <c r="X72" s="8">
        <f t="shared" si="25"/>
        <v>4</v>
      </c>
      <c r="Y72" s="1">
        <f t="shared" si="26"/>
        <v>-4.4708641977000765E-3</v>
      </c>
      <c r="AC72" s="123">
        <v>104.99</v>
      </c>
      <c r="AD72" s="67" t="s">
        <v>1313</v>
      </c>
      <c r="AG72" s="123">
        <v>95.35</v>
      </c>
      <c r="AH72" s="67" t="s">
        <v>1312</v>
      </c>
      <c r="AK72" s="123">
        <v>107.14</v>
      </c>
      <c r="AL72" s="67" t="s">
        <v>1312</v>
      </c>
      <c r="AN72" s="8">
        <f t="shared" si="27"/>
        <v>3</v>
      </c>
      <c r="AO72" s="1">
        <f t="shared" si="28"/>
        <v>5.1822912765711319E-2</v>
      </c>
      <c r="AS72" s="123">
        <v>86.35</v>
      </c>
      <c r="AT72" s="67" t="s">
        <v>1312</v>
      </c>
      <c r="AW72" s="123">
        <v>77.47</v>
      </c>
      <c r="AX72" s="67" t="s">
        <v>1312</v>
      </c>
      <c r="BA72" s="123">
        <v>78.33</v>
      </c>
      <c r="BB72" s="67" t="s">
        <v>1312</v>
      </c>
      <c r="BD72" s="2">
        <f t="shared" si="70"/>
        <v>3</v>
      </c>
      <c r="BE72" s="8">
        <f t="shared" si="73"/>
        <v>104.99</v>
      </c>
      <c r="BI72" s="39">
        <f t="shared" si="76"/>
        <v>104.99</v>
      </c>
      <c r="BJ72" s="67" t="s">
        <v>1313</v>
      </c>
      <c r="BL72" s="2">
        <f t="shared" si="71"/>
        <v>4</v>
      </c>
      <c r="BM72" s="8">
        <f t="shared" si="30"/>
        <v>86.35</v>
      </c>
      <c r="BQ72" s="39">
        <f t="shared" si="77"/>
        <v>86.35</v>
      </c>
      <c r="BR72" s="67" t="s">
        <v>1312</v>
      </c>
      <c r="BT72" s="8">
        <f t="shared" si="72"/>
        <v>2</v>
      </c>
      <c r="BU72" s="67">
        <v>22</v>
      </c>
      <c r="BY72" s="67">
        <v>22</v>
      </c>
      <c r="BZ72" s="124" t="s">
        <v>131</v>
      </c>
      <c r="CB72" s="67">
        <v>1</v>
      </c>
      <c r="CC72" s="67" t="s">
        <v>711</v>
      </c>
      <c r="CF72" s="67" t="s">
        <v>711</v>
      </c>
      <c r="CG72" s="67" t="s">
        <v>1213</v>
      </c>
      <c r="CH72" s="124" t="s">
        <v>1314</v>
      </c>
      <c r="CJ72" s="67">
        <f t="shared" ref="CJ72:CJ79" si="89">IF(CK72="数据缺失",0,IF(CK72&lt;0,0,IF(CK72&lt;2,2,IF(CK72&lt;=5,1,3))))</f>
        <v>2</v>
      </c>
      <c r="CK72" s="125">
        <f>CO72/CS72</f>
        <v>0.28326507286408231</v>
      </c>
      <c r="CO72" s="123">
        <f>10+2.8+5.81+6.4+4.73</f>
        <v>29.74</v>
      </c>
      <c r="CP72" s="67" t="s">
        <v>1312</v>
      </c>
      <c r="CS72" s="39">
        <f t="shared" si="78"/>
        <v>104.99</v>
      </c>
      <c r="CT72" s="67" t="s">
        <v>1313</v>
      </c>
      <c r="CV72" s="67">
        <f t="shared" si="79"/>
        <v>4</v>
      </c>
      <c r="CW72" s="8">
        <f t="shared" si="36"/>
        <v>419.13</v>
      </c>
      <c r="DA72" s="118">
        <v>419.13</v>
      </c>
      <c r="DB72" s="118" t="s">
        <v>1312</v>
      </c>
      <c r="DC72" s="67" t="s">
        <v>1315</v>
      </c>
      <c r="DD72" s="39">
        <f t="shared" si="80"/>
        <v>1</v>
      </c>
      <c r="DE72" s="126">
        <f t="shared" si="81"/>
        <v>4.8538506079907355</v>
      </c>
      <c r="DI72" s="39">
        <f t="shared" si="82"/>
        <v>86.35</v>
      </c>
      <c r="DJ72" s="67" t="s">
        <v>1312</v>
      </c>
      <c r="DM72" s="118">
        <f t="shared" si="88"/>
        <v>419.13</v>
      </c>
      <c r="DN72" s="67" t="s">
        <v>1312</v>
      </c>
      <c r="DO72" s="67" t="s">
        <v>1316</v>
      </c>
      <c r="DP72" s="67">
        <v>4</v>
      </c>
      <c r="DQ72" s="67" t="s">
        <v>1317</v>
      </c>
      <c r="DS72" s="67" t="s">
        <v>1316</v>
      </c>
      <c r="DU72" s="120">
        <v>3.0014553957006185E-2</v>
      </c>
      <c r="DV72" s="67" t="s">
        <v>1312</v>
      </c>
      <c r="DY72" s="120">
        <v>0.49576503710066089</v>
      </c>
      <c r="DZ72" s="67" t="s">
        <v>1312</v>
      </c>
      <c r="EC72" s="120">
        <v>0.32779805788180277</v>
      </c>
      <c r="ED72" s="67" t="s">
        <v>1312</v>
      </c>
      <c r="EG72" s="120">
        <v>0.14642235106053017</v>
      </c>
      <c r="EH72" s="67" t="s">
        <v>1312</v>
      </c>
      <c r="EJ72" s="2">
        <f t="shared" si="74"/>
        <v>1</v>
      </c>
      <c r="EK72" s="8">
        <f t="shared" si="75"/>
        <v>135.72</v>
      </c>
      <c r="EO72" s="123">
        <v>135.72</v>
      </c>
      <c r="EP72" s="67" t="s">
        <v>1312</v>
      </c>
      <c r="ER72" s="8">
        <f t="shared" si="43"/>
        <v>2</v>
      </c>
      <c r="ES72" s="6">
        <f t="shared" si="62"/>
        <v>72.67</v>
      </c>
      <c r="EW72" s="123">
        <v>72.67</v>
      </c>
      <c r="EX72" s="67" t="s">
        <v>1312</v>
      </c>
      <c r="EZ72" s="8">
        <f t="shared" si="44"/>
        <v>1</v>
      </c>
      <c r="FA72" s="8">
        <f t="shared" si="45"/>
        <v>386.41</v>
      </c>
      <c r="FE72" s="123">
        <v>386.41</v>
      </c>
      <c r="FF72" s="67" t="s">
        <v>1313</v>
      </c>
      <c r="FH72" s="67">
        <v>3</v>
      </c>
      <c r="FI72" s="67" t="s">
        <v>1318</v>
      </c>
      <c r="FM72" s="67">
        <v>0</v>
      </c>
      <c r="FN72" s="67" t="s">
        <v>1312</v>
      </c>
      <c r="FQ72" s="120">
        <v>0.91500000000000004</v>
      </c>
      <c r="FR72" s="67" t="s">
        <v>1312</v>
      </c>
      <c r="FU72" s="120">
        <v>8.5000000000000006E-2</v>
      </c>
      <c r="FV72" s="67" t="s">
        <v>1312</v>
      </c>
      <c r="FY72" s="67">
        <v>0</v>
      </c>
      <c r="FZ72" s="67" t="s">
        <v>1313</v>
      </c>
      <c r="GB72" s="67">
        <v>2</v>
      </c>
      <c r="GC72" s="67" t="s">
        <v>1319</v>
      </c>
      <c r="GG72" s="67" t="s">
        <v>1320</v>
      </c>
      <c r="GH72" s="67" t="s">
        <v>1312</v>
      </c>
      <c r="GJ72" s="8">
        <f t="shared" si="46"/>
        <v>4</v>
      </c>
      <c r="GK72" s="1">
        <f t="shared" si="47"/>
        <v>1.7155713883941128E-2</v>
      </c>
      <c r="GN72" s="67">
        <v>1.83</v>
      </c>
      <c r="GO72" s="67" t="s">
        <v>1321</v>
      </c>
      <c r="GP72" s="67" t="s">
        <v>1313</v>
      </c>
      <c r="GS72" s="126">
        <v>106.67</v>
      </c>
      <c r="GT72" s="67" t="s">
        <v>1283</v>
      </c>
      <c r="GV72" s="8">
        <f t="shared" si="48"/>
        <v>2</v>
      </c>
      <c r="GW72" s="1">
        <f t="shared" si="49"/>
        <v>0.32663787716592946</v>
      </c>
      <c r="HA72" s="39">
        <f>99.56+54.4+0.5</f>
        <v>154.46</v>
      </c>
      <c r="HB72" s="67" t="s">
        <v>1322</v>
      </c>
      <c r="HE72" s="126">
        <v>472.87840999999997</v>
      </c>
      <c r="HF72" s="67" t="s">
        <v>221</v>
      </c>
      <c r="HH72" s="39">
        <f t="shared" si="83"/>
        <v>1</v>
      </c>
      <c r="HI72" s="1">
        <f t="shared" si="51"/>
        <v>1.4112345731245446E-2</v>
      </c>
      <c r="HM72" s="67">
        <v>0.5</v>
      </c>
      <c r="HN72" s="67" t="s">
        <v>1314</v>
      </c>
      <c r="HQ72" s="123">
        <v>35.429971000000002</v>
      </c>
      <c r="HR72" s="67" t="s">
        <v>1323</v>
      </c>
      <c r="HT72" s="39">
        <f t="shared" si="84"/>
        <v>2</v>
      </c>
      <c r="HU72" s="10">
        <f t="shared" si="53"/>
        <v>0.19719438877755513</v>
      </c>
      <c r="HY72" s="127">
        <v>24.6</v>
      </c>
      <c r="HZ72" s="67" t="s">
        <v>1324</v>
      </c>
      <c r="IC72" s="67">
        <v>124.75</v>
      </c>
      <c r="ID72" s="67" t="s">
        <v>221</v>
      </c>
      <c r="IR72" s="42">
        <f t="shared" si="85"/>
        <v>1</v>
      </c>
      <c r="IS72" s="1">
        <f t="shared" si="55"/>
        <v>6.9910947299284496</v>
      </c>
      <c r="IW72" s="123">
        <v>769.79</v>
      </c>
      <c r="IX72" s="67" t="s">
        <v>1314</v>
      </c>
      <c r="JA72" s="126">
        <v>110.11008</v>
      </c>
      <c r="JB72" s="67" t="s">
        <v>1323</v>
      </c>
      <c r="JD72" s="39">
        <f t="shared" si="86"/>
        <v>4</v>
      </c>
      <c r="JE72" s="43">
        <f t="shared" si="87"/>
        <v>8.6328744703930468E-2</v>
      </c>
      <c r="JI72" s="107">
        <v>14.97</v>
      </c>
      <c r="JJ72" s="107" t="s">
        <v>2825</v>
      </c>
      <c r="JK72" s="39"/>
      <c r="JL72" s="39"/>
      <c r="JM72" s="107">
        <v>1.18</v>
      </c>
      <c r="JN72" s="107" t="s">
        <v>2826</v>
      </c>
      <c r="JO72" s="39"/>
      <c r="JP72" s="39"/>
      <c r="JQ72" s="39">
        <v>193.43</v>
      </c>
      <c r="JR72" s="107" t="s">
        <v>2826</v>
      </c>
      <c r="JS72" s="39"/>
      <c r="JT72" s="39"/>
      <c r="JU72" s="107">
        <v>100.48</v>
      </c>
      <c r="JV72" s="107" t="s">
        <v>2826</v>
      </c>
      <c r="JX72" s="67">
        <v>2</v>
      </c>
      <c r="JY72" s="67" t="s">
        <v>664</v>
      </c>
      <c r="KB72" s="67">
        <v>25</v>
      </c>
      <c r="KC72" s="67" t="s">
        <v>664</v>
      </c>
      <c r="KD72" s="67" t="s">
        <v>1314</v>
      </c>
      <c r="KF72" s="8">
        <f t="shared" si="58"/>
        <v>3</v>
      </c>
      <c r="KG72" s="1">
        <f t="shared" si="59"/>
        <v>0.71782710538399386</v>
      </c>
      <c r="KK72" s="67">
        <f>77.97+1.07</f>
        <v>79.039999999999992</v>
      </c>
      <c r="KL72" s="67" t="s">
        <v>1322</v>
      </c>
      <c r="KM72" s="67" t="s">
        <v>1325</v>
      </c>
      <c r="KO72" s="126">
        <v>110.11008</v>
      </c>
    </row>
    <row r="73" spans="2:302" s="39" customFormat="1" ht="16.5" hidden="1" customHeight="1" x14ac:dyDescent="0.35">
      <c r="B73" s="39" t="s">
        <v>1326</v>
      </c>
      <c r="C73" s="36" t="s">
        <v>1033</v>
      </c>
      <c r="D73" s="39" t="s">
        <v>1327</v>
      </c>
      <c r="E73" s="39" t="s">
        <v>861</v>
      </c>
      <c r="F73" s="39" t="s">
        <v>1328</v>
      </c>
      <c r="G73" s="3" t="s">
        <v>174</v>
      </c>
      <c r="H73" s="50">
        <v>1</v>
      </c>
      <c r="L73" s="42">
        <v>4</v>
      </c>
      <c r="M73" s="39" t="s">
        <v>1329</v>
      </c>
      <c r="P73" s="39" t="s">
        <v>126</v>
      </c>
      <c r="Q73" s="39" t="s">
        <v>1330</v>
      </c>
      <c r="R73" s="39" t="s">
        <v>1331</v>
      </c>
      <c r="T73" s="39" t="s">
        <v>709</v>
      </c>
      <c r="U73" s="50">
        <v>1</v>
      </c>
      <c r="W73" s="58"/>
      <c r="X73" s="8">
        <f t="shared" si="25"/>
        <v>2</v>
      </c>
      <c r="Y73" s="1">
        <f t="shared" si="26"/>
        <v>0.24580682070663296</v>
      </c>
      <c r="AC73" s="39">
        <v>119.46</v>
      </c>
      <c r="AD73" s="39" t="s">
        <v>1332</v>
      </c>
      <c r="AG73" s="39">
        <v>95.98</v>
      </c>
      <c r="AH73" s="39" t="s">
        <v>322</v>
      </c>
      <c r="AK73" s="39">
        <v>76.97</v>
      </c>
      <c r="AL73" s="39" t="s">
        <v>1333</v>
      </c>
      <c r="AN73" s="8">
        <f t="shared" si="27"/>
        <v>2</v>
      </c>
      <c r="AO73" s="1">
        <f t="shared" si="28"/>
        <v>0.29479380263551425</v>
      </c>
      <c r="AS73" s="39">
        <v>74.83</v>
      </c>
      <c r="AT73" s="39" t="s">
        <v>322</v>
      </c>
      <c r="AW73" s="39">
        <v>78.41</v>
      </c>
      <c r="AX73" s="39" t="s">
        <v>1332</v>
      </c>
      <c r="BA73" s="39">
        <v>47.95</v>
      </c>
      <c r="BB73" s="39" t="s">
        <v>1331</v>
      </c>
      <c r="BD73" s="2">
        <f t="shared" si="70"/>
        <v>3</v>
      </c>
      <c r="BE73" s="8">
        <f t="shared" si="73"/>
        <v>119.46</v>
      </c>
      <c r="BI73" s="39">
        <f t="shared" si="76"/>
        <v>119.46</v>
      </c>
      <c r="BJ73" s="39" t="s">
        <v>322</v>
      </c>
      <c r="BL73" s="2">
        <f t="shared" si="71"/>
        <v>4</v>
      </c>
      <c r="BM73" s="8">
        <f t="shared" si="30"/>
        <v>74.83</v>
      </c>
      <c r="BQ73" s="39">
        <f t="shared" si="77"/>
        <v>74.83</v>
      </c>
      <c r="BR73" s="39" t="s">
        <v>1334</v>
      </c>
      <c r="BT73" s="8">
        <f t="shared" si="72"/>
        <v>2</v>
      </c>
      <c r="BU73" s="39">
        <v>30</v>
      </c>
      <c r="BY73" s="39">
        <v>30</v>
      </c>
      <c r="BZ73" s="39" t="s">
        <v>234</v>
      </c>
      <c r="CA73" s="39" t="s">
        <v>1335</v>
      </c>
      <c r="CB73" s="39">
        <v>1</v>
      </c>
      <c r="CC73" s="39" t="str">
        <f>CF73</f>
        <v>一级</v>
      </c>
      <c r="CF73" s="39" t="s">
        <v>132</v>
      </c>
      <c r="CG73" s="58" t="s">
        <v>1336</v>
      </c>
      <c r="CH73" s="39" t="s">
        <v>1333</v>
      </c>
      <c r="CJ73" s="39">
        <f t="shared" si="89"/>
        <v>2</v>
      </c>
      <c r="CK73" s="125">
        <f t="shared" ref="CK73:CK83" si="90">CO73/CS73</f>
        <v>0</v>
      </c>
      <c r="CO73" s="39">
        <v>0</v>
      </c>
      <c r="CP73" s="39" t="s">
        <v>1334</v>
      </c>
      <c r="CQ73" s="39" t="s">
        <v>1337</v>
      </c>
      <c r="CS73" s="39">
        <f t="shared" si="78"/>
        <v>119.46</v>
      </c>
      <c r="CT73" s="39" t="s">
        <v>1334</v>
      </c>
      <c r="CV73" s="39">
        <f t="shared" si="79"/>
        <v>3</v>
      </c>
      <c r="CW73" s="8">
        <f t="shared" si="36"/>
        <v>656.54</v>
      </c>
      <c r="DA73" s="39">
        <v>656.54</v>
      </c>
      <c r="DB73" s="39" t="s">
        <v>1334</v>
      </c>
      <c r="DD73" s="39">
        <f t="shared" si="80"/>
        <v>2</v>
      </c>
      <c r="DE73" s="69">
        <f t="shared" si="81"/>
        <v>8.7737538420419607</v>
      </c>
      <c r="DI73" s="39">
        <f t="shared" si="82"/>
        <v>74.83</v>
      </c>
      <c r="DJ73" s="39" t="s">
        <v>322</v>
      </c>
      <c r="DM73" s="118">
        <f t="shared" si="88"/>
        <v>656.54</v>
      </c>
      <c r="DN73" s="39" t="s">
        <v>1338</v>
      </c>
      <c r="DP73" s="39">
        <v>2</v>
      </c>
      <c r="DQ73" s="14" t="s">
        <v>1339</v>
      </c>
      <c r="DR73" s="39" t="s">
        <v>1338</v>
      </c>
      <c r="DS73" s="39" t="s">
        <v>1340</v>
      </c>
      <c r="DU73" s="136">
        <v>0.20230000000000001</v>
      </c>
      <c r="DV73" s="39" t="s">
        <v>1338</v>
      </c>
      <c r="DY73" s="136">
        <v>0.54039999999999999</v>
      </c>
      <c r="DZ73" s="39" t="s">
        <v>322</v>
      </c>
      <c r="EC73" s="136">
        <v>0.25729999999999997</v>
      </c>
      <c r="ED73" s="39" t="s">
        <v>1338</v>
      </c>
      <c r="EG73" s="40">
        <v>0</v>
      </c>
      <c r="EH73" s="39" t="s">
        <v>322</v>
      </c>
      <c r="EJ73" s="2">
        <f t="shared" si="74"/>
        <v>1</v>
      </c>
      <c r="EK73" s="8">
        <f t="shared" si="75"/>
        <v>233.71</v>
      </c>
      <c r="EO73" s="39">
        <v>233.71</v>
      </c>
      <c r="EP73" s="39" t="s">
        <v>1334</v>
      </c>
      <c r="ER73" s="8">
        <f t="shared" si="43"/>
        <v>2</v>
      </c>
      <c r="ES73" s="6">
        <f t="shared" si="62"/>
        <v>58.31</v>
      </c>
      <c r="EW73" s="39">
        <v>58.31</v>
      </c>
      <c r="EX73" s="39" t="s">
        <v>1341</v>
      </c>
      <c r="EZ73" s="8">
        <f t="shared" si="44"/>
        <v>1</v>
      </c>
      <c r="FA73" s="8">
        <f t="shared" si="45"/>
        <v>647.86</v>
      </c>
      <c r="FE73" s="39">
        <v>647.86</v>
      </c>
      <c r="FF73" s="39" t="s">
        <v>1341</v>
      </c>
      <c r="FH73" s="39">
        <v>4</v>
      </c>
      <c r="FI73" s="39" t="s">
        <v>1342</v>
      </c>
      <c r="FM73" s="40">
        <v>0.13619999999999999</v>
      </c>
      <c r="FN73" s="39" t="s">
        <v>1338</v>
      </c>
      <c r="FQ73" s="40">
        <v>0.60089999999999999</v>
      </c>
      <c r="FR73" s="39" t="s">
        <v>322</v>
      </c>
      <c r="FU73" s="40">
        <v>0.26290000000000002</v>
      </c>
      <c r="FV73" s="39" t="s">
        <v>322</v>
      </c>
      <c r="FY73" s="50">
        <v>0</v>
      </c>
      <c r="FZ73" s="39" t="s">
        <v>1338</v>
      </c>
      <c r="GB73" s="39">
        <v>2</v>
      </c>
      <c r="GC73" s="39" t="str">
        <f>GG73</f>
        <v>房地产销售：100%</v>
      </c>
      <c r="GG73" s="39" t="s">
        <v>1343</v>
      </c>
      <c r="GH73" s="39" t="s">
        <v>156</v>
      </c>
      <c r="GJ73" s="8">
        <f t="shared" si="46"/>
        <v>4</v>
      </c>
      <c r="GK73" s="1">
        <f t="shared" si="47"/>
        <v>0</v>
      </c>
      <c r="GL73" s="36"/>
      <c r="GM73" s="36"/>
      <c r="GN73" s="36">
        <v>0</v>
      </c>
      <c r="GO73" s="36" t="s">
        <v>1344</v>
      </c>
      <c r="GP73" s="36" t="s">
        <v>1345</v>
      </c>
      <c r="GQ73" s="36"/>
      <c r="GR73" s="36"/>
      <c r="GS73" s="38">
        <v>74.1482605267</v>
      </c>
      <c r="GT73" s="39" t="s">
        <v>1346</v>
      </c>
      <c r="GV73" s="8">
        <f t="shared" si="48"/>
        <v>3</v>
      </c>
      <c r="GW73" s="1">
        <f t="shared" si="49"/>
        <v>0.45892529079794175</v>
      </c>
      <c r="GX73" s="36"/>
      <c r="GY73" s="36"/>
      <c r="GZ73" s="36"/>
      <c r="HA73" s="38">
        <v>166.86491024270001</v>
      </c>
      <c r="HB73" s="36" t="s">
        <v>156</v>
      </c>
      <c r="HC73" s="36"/>
      <c r="HD73" s="36"/>
      <c r="HE73" s="38">
        <v>363.5992907529</v>
      </c>
      <c r="HF73" s="39" t="s">
        <v>221</v>
      </c>
      <c r="HH73" s="39">
        <f t="shared" si="83"/>
        <v>1</v>
      </c>
      <c r="HI73" s="1">
        <f t="shared" si="51"/>
        <v>2.5416512850162002E-2</v>
      </c>
      <c r="HM73" s="69">
        <v>0.71643582269999995</v>
      </c>
      <c r="HN73" s="39" t="s">
        <v>1345</v>
      </c>
      <c r="HQ73" s="78">
        <v>28.187809512800001</v>
      </c>
      <c r="HR73" s="39" t="s">
        <v>1347</v>
      </c>
      <c r="HT73" s="39">
        <f t="shared" si="84"/>
        <v>4</v>
      </c>
      <c r="HU73" s="10">
        <f t="shared" si="53"/>
        <v>0</v>
      </c>
      <c r="HY73" s="39">
        <v>0</v>
      </c>
      <c r="HZ73" s="39" t="s">
        <v>156</v>
      </c>
      <c r="IC73" s="39">
        <v>57.545999999999999</v>
      </c>
      <c r="ID73" s="39" t="s">
        <v>1348</v>
      </c>
      <c r="IR73" s="42">
        <f t="shared" si="85"/>
        <v>3</v>
      </c>
      <c r="IS73" s="1">
        <f t="shared" si="55"/>
        <v>1.5270921730218248</v>
      </c>
      <c r="IW73" s="39">
        <v>115.3</v>
      </c>
      <c r="IX73" s="39" t="s">
        <v>1349</v>
      </c>
      <c r="JA73" s="69">
        <v>75.502973584000003</v>
      </c>
      <c r="JB73" s="39" t="s">
        <v>1350</v>
      </c>
      <c r="JD73" s="39">
        <f t="shared" si="86"/>
        <v>4</v>
      </c>
      <c r="JE73" s="43">
        <f t="shared" si="87"/>
        <v>0.12296113189848887</v>
      </c>
      <c r="JI73" s="69">
        <v>19.086321999999999</v>
      </c>
      <c r="JJ73" s="39" t="s">
        <v>1341</v>
      </c>
      <c r="JM73" s="39">
        <v>0.92</v>
      </c>
      <c r="JN73" s="39" t="s">
        <v>1341</v>
      </c>
      <c r="JQ73" s="39">
        <v>163.74</v>
      </c>
      <c r="JR73" s="39" t="s">
        <v>1341</v>
      </c>
      <c r="JU73" s="39">
        <v>173.7</v>
      </c>
      <c r="JV73" s="39" t="s">
        <v>1341</v>
      </c>
      <c r="JX73" s="39">
        <v>2</v>
      </c>
      <c r="JY73" s="39" t="s">
        <v>1351</v>
      </c>
      <c r="KB73" s="39">
        <v>7</v>
      </c>
      <c r="KC73" s="39" t="s">
        <v>1352</v>
      </c>
      <c r="KD73" s="39" t="s">
        <v>1349</v>
      </c>
      <c r="KF73" s="8">
        <f t="shared" si="58"/>
        <v>3</v>
      </c>
      <c r="KG73" s="1">
        <f t="shared" si="59"/>
        <v>0.84937052086634535</v>
      </c>
      <c r="KK73" s="39">
        <v>64.13</v>
      </c>
      <c r="KL73" s="39" t="s">
        <v>156</v>
      </c>
      <c r="KM73" s="39" t="s">
        <v>1353</v>
      </c>
      <c r="KO73" s="69">
        <v>75.502973584000003</v>
      </c>
      <c r="KP73" s="39" t="s">
        <v>1350</v>
      </c>
    </row>
    <row r="74" spans="2:302" s="39" customFormat="1" ht="16.5" customHeight="1" x14ac:dyDescent="0.35">
      <c r="B74" s="39" t="s">
        <v>1354</v>
      </c>
      <c r="C74" s="36" t="s">
        <v>1033</v>
      </c>
      <c r="D74" s="39" t="s">
        <v>171</v>
      </c>
      <c r="E74" s="39" t="s">
        <v>1355</v>
      </c>
      <c r="F74" s="39" t="s">
        <v>1356</v>
      </c>
      <c r="G74" s="3" t="s">
        <v>174</v>
      </c>
      <c r="H74" s="41">
        <v>0.78539999999999999</v>
      </c>
      <c r="L74" s="42">
        <v>3</v>
      </c>
      <c r="M74" s="39" t="s">
        <v>1357</v>
      </c>
      <c r="P74" s="39" t="s">
        <v>864</v>
      </c>
      <c r="Q74" s="39" t="s">
        <v>1358</v>
      </c>
      <c r="R74" s="39" t="s">
        <v>1359</v>
      </c>
      <c r="T74" s="39" t="s">
        <v>709</v>
      </c>
      <c r="U74" s="50">
        <v>1</v>
      </c>
      <c r="X74" s="8">
        <f t="shared" si="25"/>
        <v>6</v>
      </c>
      <c r="Y74" s="1">
        <f t="shared" si="26"/>
        <v>-0.36886152498527386</v>
      </c>
      <c r="AC74" s="39">
        <v>21.22</v>
      </c>
      <c r="AD74" s="39" t="s">
        <v>1360</v>
      </c>
      <c r="AG74" s="39">
        <v>39.25</v>
      </c>
      <c r="AH74" s="39" t="s">
        <v>1361</v>
      </c>
      <c r="AK74" s="39">
        <v>54.39</v>
      </c>
      <c r="AL74" s="39" t="s">
        <v>1359</v>
      </c>
      <c r="AN74" s="8">
        <f t="shared" si="27"/>
        <v>6</v>
      </c>
      <c r="AO74" s="1">
        <f t="shared" si="28"/>
        <v>-0.44700986955282623</v>
      </c>
      <c r="AS74" s="39">
        <v>16.03</v>
      </c>
      <c r="AT74" s="39" t="s">
        <v>1362</v>
      </c>
      <c r="AW74" s="39">
        <v>26.59</v>
      </c>
      <c r="AX74" s="39" t="s">
        <v>1359</v>
      </c>
      <c r="BA74" s="39">
        <v>52.85</v>
      </c>
      <c r="BB74" s="39" t="s">
        <v>1359</v>
      </c>
      <c r="BD74" s="2">
        <f t="shared" si="70"/>
        <v>5</v>
      </c>
      <c r="BE74" s="8">
        <f t="shared" si="73"/>
        <v>21.22</v>
      </c>
      <c r="BI74" s="39">
        <f t="shared" si="76"/>
        <v>21.22</v>
      </c>
      <c r="BJ74" s="39" t="s">
        <v>1362</v>
      </c>
      <c r="BL74" s="2">
        <f t="shared" si="71"/>
        <v>5</v>
      </c>
      <c r="BM74" s="8">
        <f t="shared" si="30"/>
        <v>16.03</v>
      </c>
      <c r="BQ74" s="39">
        <f t="shared" si="77"/>
        <v>16.03</v>
      </c>
      <c r="BR74" s="39" t="s">
        <v>1363</v>
      </c>
      <c r="BT74" s="8">
        <f t="shared" si="72"/>
        <v>3</v>
      </c>
      <c r="BU74" s="39">
        <v>195</v>
      </c>
      <c r="BY74" s="39">
        <v>195</v>
      </c>
      <c r="BZ74" s="39" t="s">
        <v>234</v>
      </c>
      <c r="CB74" s="39">
        <v>1</v>
      </c>
      <c r="CC74" s="39" t="str">
        <f>CF74</f>
        <v>一级</v>
      </c>
      <c r="CF74" s="39" t="s">
        <v>132</v>
      </c>
      <c r="CG74" s="39" t="s">
        <v>1364</v>
      </c>
      <c r="CH74" s="39" t="s">
        <v>1361</v>
      </c>
      <c r="CJ74" s="39">
        <f t="shared" si="89"/>
        <v>1</v>
      </c>
      <c r="CK74" s="125">
        <f t="shared" si="90"/>
        <v>4.3694627709707827</v>
      </c>
      <c r="CO74" s="39">
        <v>92.72</v>
      </c>
      <c r="CP74" s="39" t="s">
        <v>1363</v>
      </c>
      <c r="CS74" s="39">
        <f t="shared" si="78"/>
        <v>21.22</v>
      </c>
      <c r="CT74" s="39" t="s">
        <v>1362</v>
      </c>
      <c r="CV74" s="39">
        <f t="shared" si="79"/>
        <v>4</v>
      </c>
      <c r="CW74" s="8">
        <f t="shared" si="36"/>
        <v>325.39999999999998</v>
      </c>
      <c r="DA74" s="39">
        <v>325.39999999999998</v>
      </c>
      <c r="DB74" s="39" t="s">
        <v>1360</v>
      </c>
      <c r="DD74" s="39">
        <f t="shared" si="80"/>
        <v>2</v>
      </c>
      <c r="DE74" s="69">
        <f t="shared" si="81"/>
        <v>20.29943855271366</v>
      </c>
      <c r="DI74" s="39">
        <f t="shared" si="82"/>
        <v>16.03</v>
      </c>
      <c r="DJ74" s="39" t="s">
        <v>1360</v>
      </c>
      <c r="DM74" s="118">
        <f t="shared" si="88"/>
        <v>325.39999999999998</v>
      </c>
      <c r="DN74" s="39" t="s">
        <v>1360</v>
      </c>
      <c r="DP74" s="39">
        <v>4</v>
      </c>
      <c r="DQ74" s="39" t="s">
        <v>1365</v>
      </c>
      <c r="DR74" s="39" t="s">
        <v>1362</v>
      </c>
      <c r="DU74" s="40" t="s">
        <v>1366</v>
      </c>
      <c r="DY74" s="40" t="s">
        <v>1366</v>
      </c>
      <c r="EC74" s="40" t="s">
        <v>1366</v>
      </c>
      <c r="EG74" s="40" t="s">
        <v>1366</v>
      </c>
      <c r="EJ74" s="2">
        <f t="shared" si="74"/>
        <v>0</v>
      </c>
      <c r="EK74" s="8" t="str">
        <f t="shared" si="75"/>
        <v>数据缺失</v>
      </c>
      <c r="EO74" s="39" t="s">
        <v>1366</v>
      </c>
      <c r="ER74" s="8">
        <f t="shared" si="43"/>
        <v>0</v>
      </c>
      <c r="ES74" s="6" t="str">
        <f t="shared" si="62"/>
        <v>数据缺失</v>
      </c>
      <c r="EW74" s="39" t="s">
        <v>1367</v>
      </c>
      <c r="EZ74" s="8">
        <f t="shared" si="44"/>
        <v>1</v>
      </c>
      <c r="FA74" s="8">
        <f t="shared" si="45"/>
        <v>292.39999999999998</v>
      </c>
      <c r="FE74" s="39">
        <v>292.39999999999998</v>
      </c>
      <c r="FF74" s="39" t="s">
        <v>1361</v>
      </c>
      <c r="FG74" s="39" t="s">
        <v>1368</v>
      </c>
      <c r="FH74" s="39">
        <v>4</v>
      </c>
      <c r="FI74" s="39" t="s">
        <v>1369</v>
      </c>
      <c r="FL74" s="39" t="s">
        <v>1370</v>
      </c>
      <c r="FM74" s="50">
        <v>0</v>
      </c>
      <c r="FN74" s="39" t="s">
        <v>1361</v>
      </c>
      <c r="FQ74" s="40">
        <v>0.4229</v>
      </c>
      <c r="FR74" s="39" t="s">
        <v>1371</v>
      </c>
      <c r="FU74" s="39">
        <v>57.71</v>
      </c>
      <c r="FV74" s="39" t="s">
        <v>1359</v>
      </c>
      <c r="FY74" s="50">
        <v>0</v>
      </c>
      <c r="FZ74" s="39" t="s">
        <v>1359</v>
      </c>
      <c r="GB74" s="36">
        <v>1</v>
      </c>
      <c r="GC74" s="36" t="str">
        <f>GG74</f>
        <v>房地产开发占比73.48%；建筑施工占比19.52%</v>
      </c>
      <c r="GD74" s="36"/>
      <c r="GE74" s="36"/>
      <c r="GF74" s="36"/>
      <c r="GG74" s="36" t="s">
        <v>1372</v>
      </c>
      <c r="GH74" s="39" t="s">
        <v>1362</v>
      </c>
      <c r="GJ74" s="8">
        <f t="shared" si="46"/>
        <v>3</v>
      </c>
      <c r="GK74" s="1">
        <f t="shared" si="47"/>
        <v>5.0594519303440569E-2</v>
      </c>
      <c r="GN74" s="69">
        <v>1.7739879999999999</v>
      </c>
      <c r="GO74" s="39" t="s">
        <v>1373</v>
      </c>
      <c r="GP74" s="39" t="s">
        <v>1362</v>
      </c>
      <c r="GS74" s="69">
        <v>35.062849186500003</v>
      </c>
      <c r="GT74" s="39" t="s">
        <v>221</v>
      </c>
      <c r="GV74" s="8">
        <f t="shared" si="48"/>
        <v>1</v>
      </c>
      <c r="GW74" s="1">
        <f t="shared" si="49"/>
        <v>9.3206630777724953E-2</v>
      </c>
      <c r="HA74" s="39">
        <v>23.14</v>
      </c>
      <c r="HB74" s="39" t="s">
        <v>1374</v>
      </c>
      <c r="HE74" s="69">
        <v>248.2655987768</v>
      </c>
      <c r="HF74" s="39" t="s">
        <v>1375</v>
      </c>
      <c r="HH74" s="39">
        <f t="shared" si="83"/>
        <v>1</v>
      </c>
      <c r="HI74" s="1">
        <f t="shared" si="51"/>
        <v>1.7542946797041301E-2</v>
      </c>
      <c r="HM74" s="69">
        <v>0.44125999999999999</v>
      </c>
      <c r="HN74" s="39" t="s">
        <v>1376</v>
      </c>
      <c r="HQ74" s="78">
        <v>25.153128781900001</v>
      </c>
      <c r="HR74" s="39" t="s">
        <v>1375</v>
      </c>
      <c r="HT74" s="39">
        <f t="shared" si="84"/>
        <v>4</v>
      </c>
      <c r="HU74" s="10">
        <f t="shared" si="53"/>
        <v>7.1569270607889487E-4</v>
      </c>
      <c r="HY74" s="69">
        <v>3.5180719999999999E-2</v>
      </c>
      <c r="HZ74" s="39" t="s">
        <v>1374</v>
      </c>
      <c r="IC74" s="69">
        <v>49.156180720000002</v>
      </c>
      <c r="ID74" s="39" t="s">
        <v>1377</v>
      </c>
      <c r="IR74" s="42">
        <f t="shared" si="85"/>
        <v>2</v>
      </c>
      <c r="IS74" s="1">
        <f t="shared" si="55"/>
        <v>2.8155154841539543</v>
      </c>
      <c r="IW74" s="39">
        <v>170.19</v>
      </c>
      <c r="IX74" s="36" t="s">
        <v>1374</v>
      </c>
      <c r="JA74" s="69">
        <v>60.447190206499997</v>
      </c>
      <c r="JB74" s="39" t="s">
        <v>1377</v>
      </c>
      <c r="JD74" s="39">
        <f t="shared" si="86"/>
        <v>4</v>
      </c>
      <c r="JE74" s="43">
        <f t="shared" si="87"/>
        <v>0.11068818158466244</v>
      </c>
      <c r="JF74" s="36"/>
      <c r="JG74" s="36"/>
      <c r="JH74" s="36"/>
      <c r="JI74" s="36">
        <v>14.22</v>
      </c>
      <c r="JJ74" s="36" t="s">
        <v>1362</v>
      </c>
      <c r="JK74" s="36"/>
      <c r="JL74" s="36"/>
      <c r="JM74" s="36">
        <v>1.87</v>
      </c>
      <c r="JN74" s="36" t="s">
        <v>1360</v>
      </c>
      <c r="JO74" s="36"/>
      <c r="JP74" s="36"/>
      <c r="JQ74" s="36">
        <v>81.69</v>
      </c>
      <c r="JR74" s="36" t="s">
        <v>1362</v>
      </c>
      <c r="JS74" s="36" t="s">
        <v>1378</v>
      </c>
      <c r="JT74" s="36"/>
      <c r="JU74" s="36">
        <v>55.71</v>
      </c>
      <c r="JV74" s="36" t="s">
        <v>1360</v>
      </c>
      <c r="JX74" s="39">
        <v>2</v>
      </c>
      <c r="JY74" s="39" t="s">
        <v>634</v>
      </c>
      <c r="KB74" s="39">
        <v>16</v>
      </c>
      <c r="KC74" s="39" t="s">
        <v>634</v>
      </c>
      <c r="KD74" s="39" t="s">
        <v>595</v>
      </c>
      <c r="KF74" s="8">
        <f t="shared" si="58"/>
        <v>4</v>
      </c>
      <c r="KG74" s="1">
        <f t="shared" si="59"/>
        <v>1.060501568079615</v>
      </c>
      <c r="KK74" s="69">
        <v>64.104339999999993</v>
      </c>
      <c r="KL74" s="39" t="s">
        <v>1374</v>
      </c>
      <c r="KM74" s="39" t="s">
        <v>1379</v>
      </c>
      <c r="KO74" s="69">
        <v>60.447190206499997</v>
      </c>
      <c r="KP74" s="39" t="s">
        <v>221</v>
      </c>
    </row>
    <row r="75" spans="2:302" s="39" customFormat="1" ht="16.5" hidden="1" customHeight="1" x14ac:dyDescent="0.35">
      <c r="B75" s="39" t="s">
        <v>1380</v>
      </c>
      <c r="C75" s="36" t="s">
        <v>1033</v>
      </c>
      <c r="D75" s="39" t="s">
        <v>1381</v>
      </c>
      <c r="E75" s="39" t="s">
        <v>861</v>
      </c>
      <c r="F75" s="39" t="s">
        <v>1382</v>
      </c>
      <c r="G75" s="3" t="s">
        <v>174</v>
      </c>
      <c r="H75" s="40">
        <v>0.78869999999999996</v>
      </c>
      <c r="L75" s="42">
        <v>4</v>
      </c>
      <c r="M75" s="39" t="s">
        <v>1383</v>
      </c>
      <c r="P75" s="137" t="s">
        <v>1384</v>
      </c>
      <c r="Q75" s="39" t="s">
        <v>770</v>
      </c>
      <c r="R75" s="39" t="s">
        <v>156</v>
      </c>
      <c r="T75" s="39" t="s">
        <v>129</v>
      </c>
      <c r="U75" s="40">
        <v>0.45610000000000001</v>
      </c>
      <c r="X75" s="8">
        <f t="shared" si="25"/>
        <v>1</v>
      </c>
      <c r="Y75" s="1">
        <f t="shared" si="26"/>
        <v>1.8921383936111176</v>
      </c>
      <c r="Z75" s="36"/>
      <c r="AA75" s="36"/>
      <c r="AB75" s="36"/>
      <c r="AC75" s="36">
        <v>168.16</v>
      </c>
      <c r="AD75" s="36" t="s">
        <v>1121</v>
      </c>
      <c r="AE75" s="36"/>
      <c r="AF75" s="36"/>
      <c r="AG75" s="36">
        <v>30.56</v>
      </c>
      <c r="AH75" s="36" t="s">
        <v>695</v>
      </c>
      <c r="AI75" s="36"/>
      <c r="AJ75" s="36"/>
      <c r="AK75" s="36">
        <v>108.5</v>
      </c>
      <c r="AL75" s="36" t="s">
        <v>1385</v>
      </c>
      <c r="AN75" s="8">
        <f t="shared" si="27"/>
        <v>2</v>
      </c>
      <c r="AO75" s="43">
        <f>(AS75-BA75)/BA75</f>
        <v>0.21805915931499747</v>
      </c>
      <c r="AP75" s="36"/>
      <c r="AQ75" s="36"/>
      <c r="AR75" s="36"/>
      <c r="AS75" s="36">
        <v>117.36</v>
      </c>
      <c r="AT75" s="36" t="s">
        <v>1121</v>
      </c>
      <c r="AU75" s="36"/>
      <c r="AV75" s="36"/>
      <c r="AW75" s="36" t="s">
        <v>264</v>
      </c>
      <c r="AX75" s="36"/>
      <c r="AY75" s="36"/>
      <c r="AZ75" s="36"/>
      <c r="BA75" s="36">
        <v>96.35</v>
      </c>
      <c r="BB75" s="36" t="s">
        <v>1385</v>
      </c>
      <c r="BD75" s="2">
        <f t="shared" si="70"/>
        <v>3</v>
      </c>
      <c r="BE75" s="8">
        <f t="shared" si="73"/>
        <v>168.16</v>
      </c>
      <c r="BI75" s="39">
        <f t="shared" si="76"/>
        <v>168.16</v>
      </c>
      <c r="BJ75" s="39" t="s">
        <v>1386</v>
      </c>
      <c r="BL75" s="2">
        <f t="shared" si="71"/>
        <v>3</v>
      </c>
      <c r="BM75" s="8">
        <f t="shared" si="30"/>
        <v>117.36</v>
      </c>
      <c r="BQ75" s="39">
        <f t="shared" si="77"/>
        <v>117.36</v>
      </c>
      <c r="BR75" s="39" t="s">
        <v>1121</v>
      </c>
      <c r="BT75" s="8">
        <f t="shared" si="72"/>
        <v>2</v>
      </c>
      <c r="BU75" s="39">
        <v>75</v>
      </c>
      <c r="BY75" s="39">
        <v>75</v>
      </c>
      <c r="BZ75" s="39" t="s">
        <v>234</v>
      </c>
      <c r="CA75" s="39" t="s">
        <v>1387</v>
      </c>
      <c r="CB75" s="39">
        <v>1</v>
      </c>
      <c r="CC75" s="39" t="str">
        <f>CF75</f>
        <v>一级</v>
      </c>
      <c r="CF75" s="39" t="s">
        <v>132</v>
      </c>
      <c r="CG75" s="39" t="s">
        <v>1364</v>
      </c>
      <c r="CH75" s="36" t="s">
        <v>156</v>
      </c>
      <c r="CI75" s="39" t="s">
        <v>1388</v>
      </c>
      <c r="CJ75" s="39">
        <f t="shared" si="89"/>
        <v>0</v>
      </c>
      <c r="CK75" s="39" t="s">
        <v>264</v>
      </c>
      <c r="CO75" s="39" t="s">
        <v>264</v>
      </c>
      <c r="CS75" s="39">
        <f t="shared" si="78"/>
        <v>168.16</v>
      </c>
      <c r="CT75" s="39" t="s">
        <v>1121</v>
      </c>
      <c r="CV75" s="36">
        <f t="shared" si="79"/>
        <v>5</v>
      </c>
      <c r="CW75" s="8">
        <f t="shared" si="36"/>
        <v>59.6</v>
      </c>
      <c r="DA75" s="39">
        <v>59.6</v>
      </c>
      <c r="DB75" s="36" t="s">
        <v>156</v>
      </c>
      <c r="DC75" s="14" t="s">
        <v>1389</v>
      </c>
      <c r="DD75" s="39">
        <f t="shared" si="80"/>
        <v>3</v>
      </c>
      <c r="DE75" s="38">
        <f t="shared" si="81"/>
        <v>0.50783912747102933</v>
      </c>
      <c r="DF75" s="36"/>
      <c r="DG75" s="36"/>
      <c r="DH75" s="36"/>
      <c r="DI75" s="39">
        <f t="shared" si="82"/>
        <v>117.36</v>
      </c>
      <c r="DJ75" s="36" t="str">
        <f>BR75</f>
        <v>评级20160624</v>
      </c>
      <c r="DM75" s="118">
        <f t="shared" si="88"/>
        <v>59.6</v>
      </c>
      <c r="DN75" s="36" t="s">
        <v>1265</v>
      </c>
      <c r="DO75" s="14" t="s">
        <v>1390</v>
      </c>
      <c r="DP75" s="36">
        <v>1</v>
      </c>
      <c r="DQ75" s="36" t="s">
        <v>1391</v>
      </c>
      <c r="DR75" s="36"/>
      <c r="DS75" s="36"/>
      <c r="DT75" s="36"/>
      <c r="DU75" s="41">
        <v>1</v>
      </c>
      <c r="DV75" s="36" t="s">
        <v>1265</v>
      </c>
      <c r="DW75" s="36"/>
      <c r="DX75" s="36"/>
      <c r="DY75" s="41">
        <v>0</v>
      </c>
      <c r="DZ75" s="36" t="s">
        <v>1265</v>
      </c>
      <c r="EA75" s="36"/>
      <c r="EB75" s="36"/>
      <c r="EC75" s="41">
        <v>0</v>
      </c>
      <c r="ED75" s="36" t="s">
        <v>1265</v>
      </c>
      <c r="EE75" s="36"/>
      <c r="EF75" s="36"/>
      <c r="EG75" s="41">
        <v>0</v>
      </c>
      <c r="EH75" s="36" t="s">
        <v>1265</v>
      </c>
      <c r="EJ75" s="2">
        <f t="shared" si="74"/>
        <v>3</v>
      </c>
      <c r="EK75" s="8">
        <f t="shared" si="75"/>
        <v>40.28</v>
      </c>
      <c r="EO75" s="39">
        <v>40.28</v>
      </c>
      <c r="EP75" s="39" t="s">
        <v>1392</v>
      </c>
      <c r="ER75" s="8">
        <f t="shared" si="43"/>
        <v>2</v>
      </c>
      <c r="ES75" s="6">
        <f t="shared" si="62"/>
        <v>50.27</v>
      </c>
      <c r="EW75" s="39">
        <v>50.27</v>
      </c>
      <c r="EX75" s="39" t="s">
        <v>1392</v>
      </c>
      <c r="EZ75" s="8">
        <f t="shared" si="44"/>
        <v>3</v>
      </c>
      <c r="FA75" s="8">
        <f t="shared" si="45"/>
        <v>58.114800000000002</v>
      </c>
      <c r="FB75" s="36"/>
      <c r="FC75" s="36"/>
      <c r="FD75" s="36"/>
      <c r="FE75" s="38">
        <v>58.114800000000002</v>
      </c>
      <c r="FF75" s="36" t="s">
        <v>1265</v>
      </c>
      <c r="FH75" s="36">
        <v>1</v>
      </c>
      <c r="FI75" s="36" t="s">
        <v>1391</v>
      </c>
      <c r="FJ75" s="36"/>
      <c r="FK75" s="36"/>
      <c r="FL75" s="36"/>
      <c r="FM75" s="86">
        <v>1</v>
      </c>
      <c r="FN75" s="36" t="s">
        <v>1265</v>
      </c>
      <c r="FO75" s="36"/>
      <c r="FP75" s="36"/>
      <c r="FQ75" s="36">
        <v>0</v>
      </c>
      <c r="FR75" s="36" t="s">
        <v>1265</v>
      </c>
      <c r="FS75" s="36"/>
      <c r="FT75" s="36"/>
      <c r="FU75" s="36">
        <v>0</v>
      </c>
      <c r="FV75" s="36" t="s">
        <v>1265</v>
      </c>
      <c r="FW75" s="36"/>
      <c r="FX75" s="36"/>
      <c r="FY75" s="36">
        <v>0</v>
      </c>
      <c r="FZ75" s="36" t="s">
        <v>1265</v>
      </c>
      <c r="GB75" s="39">
        <v>1</v>
      </c>
      <c r="GC75" s="39" t="str">
        <f>GG75</f>
        <v>房产业务：78.87%；承包及设计规划：6.69%</v>
      </c>
      <c r="GG75" s="39" t="s">
        <v>1393</v>
      </c>
      <c r="GH75" s="39" t="s">
        <v>1265</v>
      </c>
      <c r="GJ75" s="8">
        <f t="shared" si="46"/>
        <v>4</v>
      </c>
      <c r="GK75" s="1">
        <f t="shared" si="47"/>
        <v>0</v>
      </c>
      <c r="GL75" s="36"/>
      <c r="GM75" s="36"/>
      <c r="GN75" s="36">
        <v>0</v>
      </c>
      <c r="GO75" s="36" t="s">
        <v>1394</v>
      </c>
      <c r="GP75" s="36" t="s">
        <v>1265</v>
      </c>
      <c r="GS75" s="69">
        <v>79.769453691699994</v>
      </c>
      <c r="GT75" s="39" t="s">
        <v>1280</v>
      </c>
      <c r="GV75" s="8">
        <f t="shared" si="48"/>
        <v>0</v>
      </c>
      <c r="GW75" s="67" t="s">
        <v>1298</v>
      </c>
      <c r="HA75" s="39" t="s">
        <v>1271</v>
      </c>
      <c r="HE75" s="69">
        <v>438.19411953639997</v>
      </c>
      <c r="HF75" s="39" t="s">
        <v>1280</v>
      </c>
      <c r="HH75" s="39">
        <f t="shared" si="83"/>
        <v>1</v>
      </c>
      <c r="HI75" s="1">
        <f t="shared" si="51"/>
        <v>3.7797591699514923E-3</v>
      </c>
      <c r="HM75" s="69">
        <v>0.1784</v>
      </c>
      <c r="HN75" s="39" t="s">
        <v>1265</v>
      </c>
      <c r="HQ75" s="78">
        <v>47.198774307700006</v>
      </c>
      <c r="HR75" s="39" t="s">
        <v>1280</v>
      </c>
      <c r="HT75" s="39">
        <f t="shared" si="84"/>
        <v>3</v>
      </c>
      <c r="HU75" s="10">
        <f t="shared" si="53"/>
        <v>9.2270813754248712E-2</v>
      </c>
      <c r="HY75" s="107">
        <v>4.46</v>
      </c>
      <c r="HZ75" s="39" t="s">
        <v>1265</v>
      </c>
      <c r="IC75" s="69">
        <v>48.335977743500003</v>
      </c>
      <c r="ID75" s="39" t="s">
        <v>1280</v>
      </c>
      <c r="IR75" s="42">
        <f t="shared" si="85"/>
        <v>4</v>
      </c>
      <c r="IS75" s="1">
        <f t="shared" si="55"/>
        <v>0.86726897297982053</v>
      </c>
      <c r="IT75" s="36"/>
      <c r="IU75" s="36"/>
      <c r="IV75" s="36"/>
      <c r="IW75" s="36">
        <v>179.17</v>
      </c>
      <c r="IX75" s="36" t="s">
        <v>1392</v>
      </c>
      <c r="IY75" s="36" t="s">
        <v>1395</v>
      </c>
      <c r="JA75" s="69">
        <v>206.59104105200001</v>
      </c>
      <c r="JB75" s="39" t="s">
        <v>1280</v>
      </c>
      <c r="JD75" s="39">
        <f t="shared" si="86"/>
        <v>2</v>
      </c>
      <c r="JE75" s="43">
        <f t="shared" si="87"/>
        <v>5.6076663088136185E-2</v>
      </c>
      <c r="JF75" s="36"/>
      <c r="JG75" s="36"/>
      <c r="JH75" s="36"/>
      <c r="JI75" s="36">
        <v>50.73</v>
      </c>
      <c r="JJ75" s="36" t="s">
        <v>1392</v>
      </c>
      <c r="JK75" s="36"/>
      <c r="JL75" s="36"/>
      <c r="JM75" s="36">
        <v>7.36</v>
      </c>
      <c r="JN75" s="36" t="s">
        <v>1392</v>
      </c>
      <c r="JO75" s="36"/>
      <c r="JP75" s="36"/>
      <c r="JQ75" s="36">
        <v>112.34</v>
      </c>
      <c r="JR75" s="36" t="s">
        <v>1392</v>
      </c>
      <c r="JS75" s="36"/>
      <c r="JT75" s="36"/>
      <c r="JU75" s="36">
        <v>133.49</v>
      </c>
      <c r="JV75" s="36" t="s">
        <v>1392</v>
      </c>
      <c r="JX75" s="39">
        <v>1</v>
      </c>
      <c r="JY75" s="39" t="s">
        <v>1285</v>
      </c>
      <c r="KB75" s="39">
        <v>1</v>
      </c>
      <c r="KC75" s="39" t="s">
        <v>619</v>
      </c>
      <c r="KD75" s="39" t="s">
        <v>1265</v>
      </c>
      <c r="KF75" s="8">
        <f t="shared" si="58"/>
        <v>1</v>
      </c>
      <c r="KG75" s="1">
        <f t="shared" si="59"/>
        <v>0</v>
      </c>
      <c r="KK75" s="39">
        <v>0</v>
      </c>
      <c r="KL75" s="39" t="s">
        <v>1265</v>
      </c>
      <c r="KO75" s="69">
        <v>206.59104105200001</v>
      </c>
      <c r="KP75" s="39" t="s">
        <v>1280</v>
      </c>
    </row>
    <row r="76" spans="2:302" s="39" customFormat="1" ht="16.5" customHeight="1" x14ac:dyDescent="0.35">
      <c r="B76" s="39" t="s">
        <v>1380</v>
      </c>
      <c r="C76" s="36" t="s">
        <v>1033</v>
      </c>
      <c r="D76" s="39" t="s">
        <v>171</v>
      </c>
      <c r="E76" s="39" t="s">
        <v>861</v>
      </c>
      <c r="F76" s="39" t="s">
        <v>1396</v>
      </c>
      <c r="G76" s="3" t="s">
        <v>249</v>
      </c>
      <c r="H76" s="40">
        <v>0.65249999999999997</v>
      </c>
      <c r="L76" s="138">
        <v>3</v>
      </c>
      <c r="M76" s="36" t="s">
        <v>1397</v>
      </c>
      <c r="N76" s="36"/>
      <c r="O76" s="36"/>
      <c r="P76" s="137" t="s">
        <v>1398</v>
      </c>
      <c r="Q76" s="36" t="s">
        <v>1399</v>
      </c>
      <c r="R76" s="36" t="s">
        <v>1400</v>
      </c>
      <c r="S76" s="36"/>
      <c r="T76" s="36" t="s">
        <v>203</v>
      </c>
      <c r="U76" s="41">
        <v>0.55610000000000004</v>
      </c>
      <c r="X76" s="8">
        <f t="shared" si="25"/>
        <v>0</v>
      </c>
      <c r="Y76" s="36" t="s">
        <v>264</v>
      </c>
      <c r="Z76" s="36"/>
      <c r="AA76" s="36"/>
      <c r="AB76" s="36"/>
      <c r="AC76" s="36">
        <v>108.5</v>
      </c>
      <c r="AD76" s="36" t="s">
        <v>1385</v>
      </c>
      <c r="AE76" s="36"/>
      <c r="AF76" s="36"/>
      <c r="AG76" s="36" t="s">
        <v>264</v>
      </c>
      <c r="AH76" s="36"/>
      <c r="AI76" s="36"/>
      <c r="AJ76" s="36"/>
      <c r="AK76" s="36" t="s">
        <v>264</v>
      </c>
      <c r="AN76" s="8">
        <f t="shared" si="27"/>
        <v>0</v>
      </c>
      <c r="AO76" s="36" t="s">
        <v>264</v>
      </c>
      <c r="AP76" s="36"/>
      <c r="AQ76" s="36"/>
      <c r="AR76" s="36"/>
      <c r="AS76" s="36">
        <v>96.35</v>
      </c>
      <c r="AT76" s="36" t="s">
        <v>1385</v>
      </c>
      <c r="AU76" s="36"/>
      <c r="AV76" s="36"/>
      <c r="AW76" s="36" t="s">
        <v>264</v>
      </c>
      <c r="AX76" s="36"/>
      <c r="AY76" s="36"/>
      <c r="AZ76" s="36"/>
      <c r="BA76" s="36" t="s">
        <v>1401</v>
      </c>
      <c r="BD76" s="2">
        <f t="shared" si="70"/>
        <v>3</v>
      </c>
      <c r="BE76" s="8">
        <f t="shared" si="73"/>
        <v>108.5</v>
      </c>
      <c r="BF76" s="36"/>
      <c r="BG76" s="36"/>
      <c r="BH76" s="36"/>
      <c r="BI76" s="39">
        <f t="shared" si="76"/>
        <v>108.5</v>
      </c>
      <c r="BJ76" s="36" t="str">
        <f>AD76</f>
        <v>评级20140627</v>
      </c>
      <c r="BK76" s="36"/>
      <c r="BL76" s="2">
        <f t="shared" si="71"/>
        <v>4</v>
      </c>
      <c r="BM76" s="8">
        <f t="shared" si="30"/>
        <v>96.35</v>
      </c>
      <c r="BN76" s="36"/>
      <c r="BO76" s="36"/>
      <c r="BP76" s="36"/>
      <c r="BQ76" s="39">
        <f t="shared" si="77"/>
        <v>96.35</v>
      </c>
      <c r="BR76" s="36" t="str">
        <f>AT76</f>
        <v>评级20140627</v>
      </c>
      <c r="BT76" s="8">
        <f t="shared" si="72"/>
        <v>2</v>
      </c>
      <c r="BU76" s="39">
        <v>81</v>
      </c>
      <c r="BY76" s="39">
        <v>81</v>
      </c>
      <c r="BZ76" s="39" t="s">
        <v>1161</v>
      </c>
      <c r="CA76" s="39" t="s">
        <v>1402</v>
      </c>
      <c r="CB76" s="39">
        <v>1</v>
      </c>
      <c r="CC76" s="39" t="str">
        <f>CF76</f>
        <v>一级</v>
      </c>
      <c r="CF76" s="39" t="s">
        <v>132</v>
      </c>
      <c r="CG76" s="39" t="s">
        <v>1364</v>
      </c>
      <c r="CH76" s="39" t="s">
        <v>1403</v>
      </c>
      <c r="CI76" s="39" t="s">
        <v>1404</v>
      </c>
      <c r="CJ76" s="36">
        <f t="shared" si="89"/>
        <v>0</v>
      </c>
      <c r="CK76" s="39" t="s">
        <v>264</v>
      </c>
      <c r="CL76" s="36"/>
      <c r="CM76" s="36"/>
      <c r="CN76" s="36"/>
      <c r="CO76" s="36" t="s">
        <v>264</v>
      </c>
      <c r="CP76" s="36"/>
      <c r="CQ76" s="36"/>
      <c r="CR76" s="36"/>
      <c r="CS76" s="39">
        <f t="shared" si="78"/>
        <v>108.5</v>
      </c>
      <c r="CT76" s="36" t="str">
        <f>AD76</f>
        <v>评级20140627</v>
      </c>
      <c r="CV76" s="36">
        <f t="shared" si="79"/>
        <v>0</v>
      </c>
      <c r="CW76" s="8" t="str">
        <f t="shared" si="36"/>
        <v>数据缺失</v>
      </c>
      <c r="CX76" s="36"/>
      <c r="CY76" s="36"/>
      <c r="CZ76" s="36"/>
      <c r="DA76" s="36" t="s">
        <v>264</v>
      </c>
      <c r="DD76" s="39">
        <f t="shared" si="80"/>
        <v>0</v>
      </c>
      <c r="DE76" s="38" t="s">
        <v>264</v>
      </c>
      <c r="DF76" s="36"/>
      <c r="DG76" s="36"/>
      <c r="DH76" s="36"/>
      <c r="DI76" s="39">
        <f t="shared" si="82"/>
        <v>96.35</v>
      </c>
      <c r="DJ76" s="36" t="str">
        <f>BR76</f>
        <v>评级20140627</v>
      </c>
      <c r="DK76" s="36"/>
      <c r="DL76" s="36"/>
      <c r="DM76" s="118" t="str">
        <f t="shared" si="88"/>
        <v>数据缺失</v>
      </c>
      <c r="DP76" s="39">
        <v>5</v>
      </c>
      <c r="DQ76" s="39" t="s">
        <v>1401</v>
      </c>
      <c r="DU76" s="40" t="s">
        <v>264</v>
      </c>
      <c r="DY76" s="40" t="s">
        <v>264</v>
      </c>
      <c r="EC76" s="40" t="s">
        <v>264</v>
      </c>
      <c r="EG76" s="40" t="s">
        <v>264</v>
      </c>
      <c r="EJ76" s="2">
        <f t="shared" si="74"/>
        <v>3</v>
      </c>
      <c r="EK76" s="8">
        <f t="shared" si="75"/>
        <v>40</v>
      </c>
      <c r="EL76" s="36"/>
      <c r="EM76" s="36"/>
      <c r="EN76" s="36"/>
      <c r="EO76" s="36">
        <v>40</v>
      </c>
      <c r="EP76" s="36" t="s">
        <v>1385</v>
      </c>
      <c r="EQ76" s="36"/>
      <c r="ER76" s="8">
        <f t="shared" si="43"/>
        <v>2</v>
      </c>
      <c r="ES76" s="6">
        <f t="shared" si="62"/>
        <v>66</v>
      </c>
      <c r="ET76" s="36"/>
      <c r="EU76" s="36"/>
      <c r="EV76" s="36"/>
      <c r="EW76" s="36">
        <v>66</v>
      </c>
      <c r="EX76" s="36" t="s">
        <v>1405</v>
      </c>
      <c r="EZ76" s="8">
        <f t="shared" si="44"/>
        <v>1</v>
      </c>
      <c r="FA76" s="8">
        <f t="shared" si="45"/>
        <v>224.67000000000002</v>
      </c>
      <c r="FE76" s="39">
        <f>175.77+48.9</f>
        <v>224.67000000000002</v>
      </c>
      <c r="FF76" s="36" t="s">
        <v>1385</v>
      </c>
      <c r="FG76" s="39" t="s">
        <v>1406</v>
      </c>
      <c r="FH76" s="36">
        <v>1</v>
      </c>
      <c r="FI76" s="36" t="s">
        <v>1407</v>
      </c>
      <c r="FJ76" s="36" t="s">
        <v>1385</v>
      </c>
      <c r="FK76" s="39" t="s">
        <v>1406</v>
      </c>
      <c r="FL76" s="36"/>
      <c r="FM76" s="86">
        <v>1</v>
      </c>
      <c r="FN76" s="36" t="s">
        <v>1385</v>
      </c>
      <c r="FO76" s="36"/>
      <c r="FP76" s="36"/>
      <c r="FQ76" s="36">
        <v>0</v>
      </c>
      <c r="FR76" s="36" t="s">
        <v>1385</v>
      </c>
      <c r="FS76" s="36"/>
      <c r="FT76" s="36"/>
      <c r="FU76" s="36">
        <v>0</v>
      </c>
      <c r="FV76" s="36" t="s">
        <v>1385</v>
      </c>
      <c r="FW76" s="36"/>
      <c r="FX76" s="36"/>
      <c r="FY76" s="36">
        <v>0</v>
      </c>
      <c r="FZ76" s="36" t="s">
        <v>1385</v>
      </c>
      <c r="GB76" s="36">
        <v>3</v>
      </c>
      <c r="GC76" s="36" t="str">
        <f>GG76</f>
        <v>房产业务占比65.25%</v>
      </c>
      <c r="GD76" s="36"/>
      <c r="GE76" s="36"/>
      <c r="GF76" s="36"/>
      <c r="GG76" s="36" t="s">
        <v>1408</v>
      </c>
      <c r="GH76" s="36" t="s">
        <v>681</v>
      </c>
      <c r="GJ76" s="8">
        <f t="shared" si="46"/>
        <v>4</v>
      </c>
      <c r="GK76" s="1">
        <f t="shared" si="47"/>
        <v>0</v>
      </c>
      <c r="GN76" s="39">
        <v>0</v>
      </c>
      <c r="GO76" s="36" t="s">
        <v>1409</v>
      </c>
      <c r="GP76" s="39" t="s">
        <v>681</v>
      </c>
      <c r="GS76" s="69">
        <v>35.165978958700002</v>
      </c>
      <c r="GT76" s="39" t="s">
        <v>221</v>
      </c>
      <c r="GV76" s="8">
        <f t="shared" si="48"/>
        <v>0</v>
      </c>
      <c r="GW76" s="67" t="s">
        <v>1298</v>
      </c>
      <c r="HA76" s="39" t="s">
        <v>264</v>
      </c>
      <c r="HE76" s="69">
        <v>343.97757661260005</v>
      </c>
      <c r="HF76" s="39" t="s">
        <v>1347</v>
      </c>
      <c r="HH76" s="39">
        <f t="shared" si="83"/>
        <v>1</v>
      </c>
      <c r="HI76" s="1">
        <f t="shared" si="51"/>
        <v>4.3190153954970802E-3</v>
      </c>
      <c r="HM76" s="69">
        <v>0.15002176</v>
      </c>
      <c r="HN76" s="39" t="s">
        <v>681</v>
      </c>
      <c r="HQ76" s="78">
        <v>34.735176021000001</v>
      </c>
      <c r="HR76" s="39" t="s">
        <v>221</v>
      </c>
      <c r="HT76" s="39">
        <f t="shared" si="84"/>
        <v>3</v>
      </c>
      <c r="HU76" s="10">
        <f t="shared" si="53"/>
        <v>6.4819389905397054E-2</v>
      </c>
      <c r="HY76" s="69">
        <v>3.2862051552999998</v>
      </c>
      <c r="HZ76" s="39" t="s">
        <v>1400</v>
      </c>
      <c r="IC76" s="69">
        <v>50.697872351099996</v>
      </c>
      <c r="ID76" s="39" t="s">
        <v>221</v>
      </c>
      <c r="IR76" s="42">
        <f t="shared" si="85"/>
        <v>3</v>
      </c>
      <c r="IS76" s="1">
        <f t="shared" si="55"/>
        <v>1.0559863623387713</v>
      </c>
      <c r="IT76" s="36"/>
      <c r="IU76" s="36"/>
      <c r="IV76" s="36"/>
      <c r="IW76" s="36">
        <v>162.49</v>
      </c>
      <c r="IX76" s="36" t="s">
        <v>1405</v>
      </c>
      <c r="IY76" s="36" t="s">
        <v>1410</v>
      </c>
      <c r="IZ76" s="36"/>
      <c r="JA76" s="38">
        <v>153.87509327309999</v>
      </c>
      <c r="JB76" s="39" t="s">
        <v>221</v>
      </c>
      <c r="JD76" s="39">
        <f t="shared" si="86"/>
        <v>4</v>
      </c>
      <c r="JE76" s="43">
        <f t="shared" si="87"/>
        <v>0.10802121401971761</v>
      </c>
      <c r="JI76" s="39">
        <v>26.63</v>
      </c>
      <c r="JJ76" s="36" t="s">
        <v>1385</v>
      </c>
      <c r="JM76" s="39">
        <v>2.33</v>
      </c>
      <c r="JN76" s="36" t="s">
        <v>1405</v>
      </c>
      <c r="JQ76" s="39">
        <v>114.93</v>
      </c>
      <c r="JR76" s="36" t="s">
        <v>1385</v>
      </c>
      <c r="JU76" s="39">
        <v>96.68</v>
      </c>
      <c r="JV76" s="36" t="s">
        <v>1385</v>
      </c>
      <c r="JX76" s="39">
        <v>1</v>
      </c>
      <c r="JY76" s="39" t="s">
        <v>619</v>
      </c>
      <c r="KB76" s="39">
        <v>1</v>
      </c>
      <c r="KC76" s="39" t="s">
        <v>619</v>
      </c>
      <c r="KD76" s="39" t="s">
        <v>681</v>
      </c>
      <c r="KF76" s="8">
        <f t="shared" si="58"/>
        <v>1</v>
      </c>
      <c r="KG76" s="1">
        <f t="shared" si="59"/>
        <v>0</v>
      </c>
      <c r="KK76" s="39">
        <v>0</v>
      </c>
      <c r="KL76" s="39" t="s">
        <v>1400</v>
      </c>
      <c r="KO76" s="69">
        <v>153.87509327309999</v>
      </c>
      <c r="KP76" s="39" t="s">
        <v>1347</v>
      </c>
    </row>
    <row r="77" spans="2:302" s="39" customFormat="1" ht="16.5" hidden="1" customHeight="1" x14ac:dyDescent="0.35">
      <c r="B77" s="39" t="s">
        <v>1411</v>
      </c>
      <c r="C77" s="36" t="s">
        <v>1412</v>
      </c>
      <c r="D77" s="39" t="s">
        <v>171</v>
      </c>
      <c r="E77" s="39" t="s">
        <v>861</v>
      </c>
      <c r="F77" s="39" t="s">
        <v>1413</v>
      </c>
      <c r="G77" s="3" t="s">
        <v>199</v>
      </c>
      <c r="H77" s="50">
        <f>51.84/53.8</f>
        <v>0.96356877323420087</v>
      </c>
      <c r="L77" s="138">
        <v>4</v>
      </c>
      <c r="M77" s="36" t="s">
        <v>1414</v>
      </c>
      <c r="N77" s="36"/>
      <c r="O77" s="36"/>
      <c r="P77" s="36" t="s">
        <v>319</v>
      </c>
      <c r="Q77" s="36" t="s">
        <v>1415</v>
      </c>
      <c r="R77" s="36" t="s">
        <v>395</v>
      </c>
      <c r="T77" s="36" t="s">
        <v>129</v>
      </c>
      <c r="U77" s="40">
        <f>50%*40.96%</f>
        <v>0.20480000000000001</v>
      </c>
      <c r="X77" s="8">
        <f t="shared" si="25"/>
        <v>1</v>
      </c>
      <c r="Y77" s="1">
        <f t="shared" si="26"/>
        <v>0.41712621491669238</v>
      </c>
      <c r="AC77" s="39">
        <v>57.83</v>
      </c>
      <c r="AD77" s="39" t="s">
        <v>1416</v>
      </c>
      <c r="AG77" s="39">
        <v>38.21</v>
      </c>
      <c r="AH77" s="39" t="s">
        <v>1416</v>
      </c>
      <c r="AK77" s="39">
        <v>28.93</v>
      </c>
      <c r="AL77" s="39" t="s">
        <v>1417</v>
      </c>
      <c r="AN77" s="8">
        <f t="shared" si="27"/>
        <v>1</v>
      </c>
      <c r="AO77" s="1">
        <f t="shared" si="28"/>
        <v>0.57909705760871077</v>
      </c>
      <c r="AS77" s="39">
        <v>66.12</v>
      </c>
      <c r="AT77" s="39" t="s">
        <v>1418</v>
      </c>
      <c r="AW77" s="39">
        <v>31.18</v>
      </c>
      <c r="AX77" s="39" t="s">
        <v>1416</v>
      </c>
      <c r="BA77" s="39">
        <v>30.05</v>
      </c>
      <c r="BB77" s="39" t="s">
        <v>1416</v>
      </c>
      <c r="BD77" s="2">
        <f t="shared" si="70"/>
        <v>4</v>
      </c>
      <c r="BE77" s="8">
        <f t="shared" si="73"/>
        <v>57.83</v>
      </c>
      <c r="BI77" s="39">
        <f t="shared" si="76"/>
        <v>57.83</v>
      </c>
      <c r="BJ77" s="39" t="s">
        <v>1416</v>
      </c>
      <c r="BL77" s="2">
        <f t="shared" si="71"/>
        <v>4</v>
      </c>
      <c r="BM77" s="8">
        <f t="shared" si="30"/>
        <v>66.12</v>
      </c>
      <c r="BQ77" s="39">
        <f t="shared" si="77"/>
        <v>66.12</v>
      </c>
      <c r="BR77" s="39" t="s">
        <v>1416</v>
      </c>
      <c r="BT77" s="8">
        <f t="shared" si="72"/>
        <v>3</v>
      </c>
      <c r="BU77" s="39">
        <v>141</v>
      </c>
      <c r="BY77" s="39">
        <v>141</v>
      </c>
      <c r="BZ77" s="39" t="s">
        <v>398</v>
      </c>
      <c r="CB77" s="36">
        <v>1</v>
      </c>
      <c r="CC77" s="36" t="str">
        <f>CF77</f>
        <v>一级</v>
      </c>
      <c r="CD77" s="36"/>
      <c r="CE77" s="36"/>
      <c r="CF77" s="36" t="s">
        <v>132</v>
      </c>
      <c r="CG77" s="36" t="s">
        <v>1419</v>
      </c>
      <c r="CH77" s="36" t="s">
        <v>1420</v>
      </c>
      <c r="CJ77" s="39">
        <f t="shared" si="89"/>
        <v>2</v>
      </c>
      <c r="CK77" s="125">
        <f t="shared" si="90"/>
        <v>0.4663375410686495</v>
      </c>
      <c r="CO77" s="39">
        <v>26.968299999999999</v>
      </c>
      <c r="CP77" s="39" t="s">
        <v>1418</v>
      </c>
      <c r="CS77" s="39">
        <f t="shared" si="78"/>
        <v>57.83</v>
      </c>
      <c r="CT77" s="39" t="s">
        <v>1416</v>
      </c>
      <c r="CV77" s="39">
        <v>0</v>
      </c>
      <c r="CW77" s="8" t="str">
        <f t="shared" si="36"/>
        <v>数据缺失</v>
      </c>
      <c r="DA77" s="39" t="s">
        <v>264</v>
      </c>
      <c r="DD77" s="39">
        <f t="shared" si="80"/>
        <v>0</v>
      </c>
      <c r="DE77" s="69" t="s">
        <v>1421</v>
      </c>
      <c r="DI77" s="39">
        <f t="shared" si="82"/>
        <v>66.12</v>
      </c>
      <c r="DJ77" s="39" t="s">
        <v>1416</v>
      </c>
      <c r="DM77" s="118" t="str">
        <f t="shared" si="88"/>
        <v>数据缺失</v>
      </c>
      <c r="DP77" s="39">
        <v>4</v>
      </c>
      <c r="DQ77" s="39" t="s">
        <v>1422</v>
      </c>
      <c r="DR77" s="39" t="s">
        <v>1416</v>
      </c>
      <c r="DU77" s="40" t="s">
        <v>264</v>
      </c>
      <c r="DY77" s="40" t="s">
        <v>1421</v>
      </c>
      <c r="EC77" s="40" t="s">
        <v>264</v>
      </c>
      <c r="EG77" s="40" t="s">
        <v>264</v>
      </c>
      <c r="EJ77" s="2">
        <f t="shared" si="74"/>
        <v>1</v>
      </c>
      <c r="EK77" s="8">
        <f t="shared" si="75"/>
        <v>205.3</v>
      </c>
      <c r="EL77" s="36"/>
      <c r="EM77" s="36"/>
      <c r="EN77" s="36"/>
      <c r="EO77" s="36">
        <v>205.3</v>
      </c>
      <c r="EP77" s="36" t="s">
        <v>1416</v>
      </c>
      <c r="EQ77" s="36"/>
      <c r="ER77" s="8">
        <f t="shared" si="43"/>
        <v>2</v>
      </c>
      <c r="ES77" s="6">
        <f t="shared" si="62"/>
        <v>88.91</v>
      </c>
      <c r="ET77" s="36"/>
      <c r="EU77" s="36"/>
      <c r="EV77" s="36"/>
      <c r="EW77" s="36">
        <v>88.91</v>
      </c>
      <c r="EX77" s="36" t="s">
        <v>1418</v>
      </c>
      <c r="EZ77" s="8">
        <f t="shared" si="44"/>
        <v>1</v>
      </c>
      <c r="FA77" s="8">
        <f t="shared" si="45"/>
        <v>345.48</v>
      </c>
      <c r="FE77" s="39">
        <f>438.2-92.72</f>
        <v>345.48</v>
      </c>
      <c r="FF77" s="39" t="s">
        <v>1423</v>
      </c>
      <c r="FG77" s="39" t="s">
        <v>1424</v>
      </c>
      <c r="FH77" s="39">
        <v>4</v>
      </c>
      <c r="FI77" s="39" t="s">
        <v>1425</v>
      </c>
      <c r="FM77" s="39" t="s">
        <v>264</v>
      </c>
      <c r="FQ77" s="39" t="s">
        <v>264</v>
      </c>
      <c r="FU77" s="39" t="s">
        <v>264</v>
      </c>
      <c r="FY77" s="39" t="s">
        <v>264</v>
      </c>
      <c r="GB77" s="36">
        <v>2</v>
      </c>
      <c r="GC77" s="36" t="str">
        <f>GG77</f>
        <v>房地产开发占比96.36%</v>
      </c>
      <c r="GD77" s="36"/>
      <c r="GE77" s="36"/>
      <c r="GF77" s="36"/>
      <c r="GG77" s="36" t="s">
        <v>1426</v>
      </c>
      <c r="GH77" s="39" t="s">
        <v>1427</v>
      </c>
      <c r="GJ77" s="8">
        <f t="shared" si="46"/>
        <v>4</v>
      </c>
      <c r="GK77" s="1">
        <f t="shared" si="47"/>
        <v>0</v>
      </c>
      <c r="GN77" s="39">
        <v>0</v>
      </c>
      <c r="GO77" s="36" t="s">
        <v>1409</v>
      </c>
      <c r="GP77" s="39" t="s">
        <v>1428</v>
      </c>
      <c r="GS77" s="69">
        <v>53.799032752299993</v>
      </c>
      <c r="GT77" s="39" t="s">
        <v>221</v>
      </c>
      <c r="GV77" s="8">
        <f t="shared" si="48"/>
        <v>3</v>
      </c>
      <c r="GW77" s="1">
        <f t="shared" si="49"/>
        <v>0.41565154062854326</v>
      </c>
      <c r="HA77" s="69">
        <v>89.483768459999993</v>
      </c>
      <c r="HB77" s="39" t="s">
        <v>395</v>
      </c>
      <c r="HE77" s="69">
        <v>215.28554501369999</v>
      </c>
      <c r="HF77" s="39" t="s">
        <v>221</v>
      </c>
      <c r="HH77" s="39">
        <f t="shared" si="83"/>
        <v>1</v>
      </c>
      <c r="HI77" s="1">
        <f t="shared" si="51"/>
        <v>1.874829656046887E-2</v>
      </c>
      <c r="HM77" s="69">
        <v>0.28848325499999999</v>
      </c>
      <c r="HN77" s="39" t="s">
        <v>395</v>
      </c>
      <c r="HQ77" s="78">
        <v>15.3871715262</v>
      </c>
      <c r="HR77" s="39" t="s">
        <v>221</v>
      </c>
      <c r="HT77" s="39">
        <f t="shared" si="84"/>
        <v>4</v>
      </c>
      <c r="HU77" s="10">
        <f t="shared" si="53"/>
        <v>0</v>
      </c>
      <c r="HY77" s="39">
        <v>0</v>
      </c>
      <c r="HZ77" s="39" t="s">
        <v>395</v>
      </c>
      <c r="IC77" s="39">
        <v>55.56</v>
      </c>
      <c r="ID77" s="39" t="s">
        <v>221</v>
      </c>
      <c r="IR77" s="42">
        <f t="shared" si="85"/>
        <v>1</v>
      </c>
      <c r="IS77" s="1">
        <f t="shared" si="55"/>
        <v>3.1096687110834917</v>
      </c>
      <c r="IW77" s="39">
        <v>221.3</v>
      </c>
      <c r="IX77" s="39" t="s">
        <v>597</v>
      </c>
      <c r="JA77" s="69">
        <v>71.165137048600002</v>
      </c>
      <c r="JB77" s="39" t="s">
        <v>1429</v>
      </c>
      <c r="JD77" s="39">
        <f t="shared" si="86"/>
        <v>4</v>
      </c>
      <c r="JE77" s="43">
        <f t="shared" si="87"/>
        <v>0.17252129640379962</v>
      </c>
      <c r="JI77" s="39">
        <v>10.029999999999999</v>
      </c>
      <c r="JJ77" s="39" t="s">
        <v>1423</v>
      </c>
      <c r="JM77" s="39">
        <v>0.99</v>
      </c>
      <c r="JN77" s="39" t="s">
        <v>1423</v>
      </c>
      <c r="JQ77" s="39">
        <v>66.209999999999994</v>
      </c>
      <c r="JR77" s="39" t="s">
        <v>1423</v>
      </c>
      <c r="JU77" s="39">
        <v>51.24</v>
      </c>
      <c r="JV77" s="39" t="s">
        <v>1423</v>
      </c>
      <c r="JX77" s="39">
        <v>2</v>
      </c>
      <c r="JY77" s="39" t="s">
        <v>1430</v>
      </c>
      <c r="KB77" s="39">
        <v>9</v>
      </c>
      <c r="KC77" s="39" t="s">
        <v>1430</v>
      </c>
      <c r="KD77" s="39" t="s">
        <v>1431</v>
      </c>
      <c r="KF77" s="8">
        <f t="shared" si="58"/>
        <v>3</v>
      </c>
      <c r="KG77" s="1">
        <f t="shared" si="59"/>
        <v>0.77214774366939842</v>
      </c>
      <c r="KK77" s="39">
        <v>54.95</v>
      </c>
      <c r="KL77" s="39" t="s">
        <v>1431</v>
      </c>
      <c r="KM77" s="39" t="s">
        <v>1353</v>
      </c>
      <c r="KO77" s="69">
        <v>71.165137048600002</v>
      </c>
      <c r="KP77" s="39" t="s">
        <v>1429</v>
      </c>
    </row>
    <row r="78" spans="2:302" s="39" customFormat="1" ht="15" hidden="1" customHeight="1" x14ac:dyDescent="0.35">
      <c r="B78" s="39" t="s">
        <v>1432</v>
      </c>
      <c r="C78" s="67" t="s">
        <v>767</v>
      </c>
      <c r="D78" s="39" t="s">
        <v>325</v>
      </c>
      <c r="E78" s="67" t="s">
        <v>861</v>
      </c>
      <c r="F78" s="39" t="s">
        <v>1433</v>
      </c>
      <c r="G78" s="42" t="s">
        <v>174</v>
      </c>
      <c r="H78" s="40">
        <f>20.15/20.96</f>
        <v>0.96135496183206093</v>
      </c>
      <c r="L78" s="122">
        <v>4</v>
      </c>
      <c r="M78" s="67" t="s">
        <v>2870</v>
      </c>
      <c r="N78" s="67"/>
      <c r="O78" s="67"/>
      <c r="P78" s="67" t="s">
        <v>670</v>
      </c>
      <c r="Q78" s="67" t="s">
        <v>1434</v>
      </c>
      <c r="R78" s="67" t="s">
        <v>156</v>
      </c>
      <c r="T78" s="39" t="s">
        <v>1235</v>
      </c>
      <c r="U78" s="40">
        <f>0.1213+0.49*0.0837</f>
        <v>0.16231300000000001</v>
      </c>
      <c r="X78" s="8">
        <f t="shared" si="25"/>
        <v>3</v>
      </c>
      <c r="Y78" s="1">
        <f t="shared" si="26"/>
        <v>6.9292806926459033E-2</v>
      </c>
      <c r="Z78" s="67"/>
      <c r="AA78" s="67"/>
      <c r="AB78" s="67"/>
      <c r="AC78" s="123">
        <v>21.3</v>
      </c>
      <c r="AD78" s="67" t="s">
        <v>1435</v>
      </c>
      <c r="AE78" s="67"/>
      <c r="AF78" s="67"/>
      <c r="AG78" s="123">
        <v>13.88</v>
      </c>
      <c r="AH78" s="67" t="s">
        <v>1435</v>
      </c>
      <c r="AI78" s="67"/>
      <c r="AJ78" s="67"/>
      <c r="AK78" s="123">
        <v>22.98</v>
      </c>
      <c r="AL78" s="67" t="s">
        <v>1436</v>
      </c>
      <c r="AN78" s="8">
        <f t="shared" si="27"/>
        <v>4</v>
      </c>
      <c r="AO78" s="1">
        <f t="shared" si="28"/>
        <v>-1.2994378290485387E-3</v>
      </c>
      <c r="AP78" s="67"/>
      <c r="AQ78" s="67"/>
      <c r="AR78" s="67"/>
      <c r="AS78" s="123">
        <v>17.239999999999998</v>
      </c>
      <c r="AT78" s="67" t="s">
        <v>1435</v>
      </c>
      <c r="AU78" s="67"/>
      <c r="AV78" s="67"/>
      <c r="AW78" s="123">
        <v>13.25</v>
      </c>
      <c r="AX78" s="67" t="s">
        <v>1435</v>
      </c>
      <c r="AY78" s="67"/>
      <c r="AZ78" s="67"/>
      <c r="BA78" s="123">
        <v>19.03</v>
      </c>
      <c r="BB78" s="67" t="s">
        <v>1436</v>
      </c>
      <c r="BD78" s="2">
        <f t="shared" si="70"/>
        <v>5</v>
      </c>
      <c r="BE78" s="8">
        <f t="shared" si="73"/>
        <v>21.3</v>
      </c>
      <c r="BF78" s="67"/>
      <c r="BG78" s="67"/>
      <c r="BH78" s="67"/>
      <c r="BI78" s="39">
        <f t="shared" si="76"/>
        <v>21.3</v>
      </c>
      <c r="BJ78" s="67" t="s">
        <v>1435</v>
      </c>
      <c r="BL78" s="2">
        <f t="shared" si="71"/>
        <v>5</v>
      </c>
      <c r="BM78" s="8">
        <f t="shared" si="30"/>
        <v>17.239999999999998</v>
      </c>
      <c r="BN78" s="67"/>
      <c r="BO78" s="67"/>
      <c r="BP78" s="67"/>
      <c r="BQ78" s="39">
        <f t="shared" si="77"/>
        <v>17.239999999999998</v>
      </c>
      <c r="BR78" s="67" t="s">
        <v>1437</v>
      </c>
      <c r="BT78" s="8">
        <f t="shared" si="72"/>
        <v>4</v>
      </c>
      <c r="BU78" s="67">
        <v>314</v>
      </c>
      <c r="BV78" s="67"/>
      <c r="BW78" s="67"/>
      <c r="BX78" s="67"/>
      <c r="BY78" s="67">
        <v>314</v>
      </c>
      <c r="BZ78" s="124" t="s">
        <v>131</v>
      </c>
      <c r="CB78" s="67">
        <v>1</v>
      </c>
      <c r="CC78" s="67" t="s">
        <v>711</v>
      </c>
      <c r="CD78" s="67"/>
      <c r="CE78" s="67"/>
      <c r="CF78" s="67" t="s">
        <v>1438</v>
      </c>
      <c r="CG78" s="67" t="s">
        <v>1213</v>
      </c>
      <c r="CH78" s="124" t="s">
        <v>699</v>
      </c>
      <c r="CJ78" s="67">
        <f t="shared" si="89"/>
        <v>2</v>
      </c>
      <c r="CK78" s="125">
        <f t="shared" si="90"/>
        <v>0</v>
      </c>
      <c r="CL78" s="67"/>
      <c r="CM78" s="67"/>
      <c r="CN78" s="67"/>
      <c r="CO78" s="123">
        <v>0</v>
      </c>
      <c r="CP78" s="67" t="s">
        <v>1437</v>
      </c>
      <c r="CQ78" s="67" t="s">
        <v>1439</v>
      </c>
      <c r="CR78" s="67"/>
      <c r="CS78" s="39">
        <f t="shared" si="78"/>
        <v>21.3</v>
      </c>
      <c r="CT78" s="67" t="s">
        <v>1437</v>
      </c>
      <c r="CV78" s="39">
        <f>IF(CW78="数据缺失",0,IF(CW78&lt;0,0,IF(CW78&lt;100,5,IF(CW78&lt;500,4,IF(CW78&lt;1000,3,IF(CW78&lt;2000,2,1))))))</f>
        <v>5</v>
      </c>
      <c r="CW78" s="8">
        <f t="shared" si="36"/>
        <v>10.44</v>
      </c>
      <c r="DA78" s="39">
        <v>10.44</v>
      </c>
      <c r="DB78" s="39" t="s">
        <v>1435</v>
      </c>
      <c r="DD78" s="39">
        <f t="shared" si="80"/>
        <v>3</v>
      </c>
      <c r="DE78" s="126">
        <f>DM78/DI78</f>
        <v>0.60556844547563804</v>
      </c>
      <c r="DF78" s="67"/>
      <c r="DG78" s="67"/>
      <c r="DH78" s="67"/>
      <c r="DI78" s="39">
        <f t="shared" si="82"/>
        <v>17.239999999999998</v>
      </c>
      <c r="DJ78" s="67" t="s">
        <v>1440</v>
      </c>
      <c r="DM78" s="118">
        <f t="shared" si="88"/>
        <v>10.44</v>
      </c>
      <c r="DN78" s="39" t="s">
        <v>1437</v>
      </c>
      <c r="DP78" s="67">
        <v>1</v>
      </c>
      <c r="DQ78" s="67" t="s">
        <v>1441</v>
      </c>
      <c r="DR78" s="67"/>
      <c r="DS78" s="67"/>
      <c r="DT78" s="67"/>
      <c r="DU78" s="120">
        <v>1</v>
      </c>
      <c r="DV78" s="67" t="s">
        <v>1437</v>
      </c>
      <c r="DW78" s="67"/>
      <c r="DX78" s="67"/>
      <c r="DY78" s="120">
        <v>0</v>
      </c>
      <c r="DZ78" s="67" t="s">
        <v>1437</v>
      </c>
      <c r="EA78" s="67"/>
      <c r="EB78" s="67"/>
      <c r="EC78" s="120">
        <v>0</v>
      </c>
      <c r="ED78" s="67" t="s">
        <v>1435</v>
      </c>
      <c r="EE78" s="67"/>
      <c r="EF78" s="67"/>
      <c r="EG78" s="120">
        <v>0</v>
      </c>
      <c r="EH78" s="67" t="s">
        <v>1437</v>
      </c>
      <c r="EJ78" s="2">
        <f t="shared" si="74"/>
        <v>3</v>
      </c>
      <c r="EK78" s="8">
        <f t="shared" si="75"/>
        <v>21.63</v>
      </c>
      <c r="EL78" s="67"/>
      <c r="EM78" s="67"/>
      <c r="EN78" s="67"/>
      <c r="EO78" s="123">
        <v>21.63</v>
      </c>
      <c r="EP78" s="67" t="s">
        <v>1437</v>
      </c>
      <c r="EQ78" s="67"/>
      <c r="ER78" s="8">
        <f t="shared" si="43"/>
        <v>5</v>
      </c>
      <c r="ES78" s="6">
        <f t="shared" si="62"/>
        <v>0</v>
      </c>
      <c r="ET78" s="67"/>
      <c r="EU78" s="67"/>
      <c r="EV78" s="67"/>
      <c r="EW78" s="123">
        <v>0</v>
      </c>
      <c r="EX78" s="67" t="s">
        <v>1435</v>
      </c>
      <c r="EZ78" s="8">
        <f t="shared" si="44"/>
        <v>2</v>
      </c>
      <c r="FA78" s="8">
        <f t="shared" si="45"/>
        <v>101.58</v>
      </c>
      <c r="FB78" s="67"/>
      <c r="FC78" s="67"/>
      <c r="FD78" s="67"/>
      <c r="FE78" s="123">
        <v>101.58</v>
      </c>
      <c r="FF78" s="67" t="s">
        <v>1435</v>
      </c>
      <c r="FH78" s="67">
        <v>1</v>
      </c>
      <c r="FI78" s="67" t="s">
        <v>1442</v>
      </c>
      <c r="FJ78" s="67"/>
      <c r="FK78" s="67"/>
      <c r="FL78" s="67"/>
      <c r="FM78" s="120">
        <v>0.56559999999999999</v>
      </c>
      <c r="FN78" s="67" t="s">
        <v>156</v>
      </c>
      <c r="FO78" s="67"/>
      <c r="FP78" s="67"/>
      <c r="FQ78" s="120">
        <v>0</v>
      </c>
      <c r="FR78" s="67" t="s">
        <v>156</v>
      </c>
      <c r="FS78" s="67"/>
      <c r="FT78" s="67"/>
      <c r="FU78" s="120">
        <v>0.46439999999999998</v>
      </c>
      <c r="FV78" s="67" t="s">
        <v>156</v>
      </c>
      <c r="FW78" s="67"/>
      <c r="FX78" s="67"/>
      <c r="FY78" s="120">
        <v>0</v>
      </c>
      <c r="FZ78" s="67" t="s">
        <v>156</v>
      </c>
      <c r="GB78" s="67">
        <v>2</v>
      </c>
      <c r="GC78" s="67" t="s">
        <v>1443</v>
      </c>
      <c r="GD78" s="67"/>
      <c r="GE78" s="67"/>
      <c r="GF78" s="67"/>
      <c r="GG78" s="67" t="s">
        <v>1443</v>
      </c>
      <c r="GH78" s="67" t="s">
        <v>1435</v>
      </c>
      <c r="GJ78" s="8">
        <f t="shared" si="46"/>
        <v>4</v>
      </c>
      <c r="GK78" s="1">
        <f t="shared" si="47"/>
        <v>2.1474153908880921E-2</v>
      </c>
      <c r="GL78" s="67"/>
      <c r="GM78" s="67"/>
      <c r="GN78" s="67">
        <v>0.45</v>
      </c>
      <c r="GO78" s="67" t="s">
        <v>1444</v>
      </c>
      <c r="GP78" s="67" t="s">
        <v>1435</v>
      </c>
      <c r="GQ78" s="67"/>
      <c r="GR78" s="67"/>
      <c r="GS78" s="126">
        <v>20.9554239906</v>
      </c>
      <c r="GT78" s="39" t="s">
        <v>221</v>
      </c>
      <c r="GV78" s="8">
        <f t="shared" si="48"/>
        <v>1</v>
      </c>
      <c r="GW78" s="1">
        <f t="shared" si="49"/>
        <v>0.14365629923598458</v>
      </c>
      <c r="HA78" s="39">
        <v>13.33</v>
      </c>
      <c r="HB78" s="39" t="s">
        <v>156</v>
      </c>
      <c r="HE78" s="69">
        <v>92.790918817299996</v>
      </c>
      <c r="HF78" s="39" t="s">
        <v>144</v>
      </c>
      <c r="HH78" s="39">
        <f t="shared" si="83"/>
        <v>1</v>
      </c>
      <c r="HI78" s="1">
        <f t="shared" si="51"/>
        <v>0</v>
      </c>
      <c r="HJ78" s="67"/>
      <c r="HK78" s="67"/>
      <c r="HL78" s="67"/>
      <c r="HM78" s="67">
        <v>0</v>
      </c>
      <c r="HN78" s="67" t="s">
        <v>156</v>
      </c>
      <c r="HQ78" s="78">
        <v>12.6424557518</v>
      </c>
      <c r="HR78" s="39" t="s">
        <v>221</v>
      </c>
      <c r="HT78" s="39">
        <f t="shared" si="84"/>
        <v>1</v>
      </c>
      <c r="HU78" s="10">
        <f t="shared" si="53"/>
        <v>0.73974208675263775</v>
      </c>
      <c r="HV78" s="67"/>
      <c r="HW78" s="67"/>
      <c r="HX78" s="67"/>
      <c r="HY78" s="127">
        <v>6.31</v>
      </c>
      <c r="HZ78" s="67" t="s">
        <v>156</v>
      </c>
      <c r="IA78" s="67"/>
      <c r="IB78" s="67"/>
      <c r="IC78" s="123">
        <v>8.5299999999999994</v>
      </c>
      <c r="ID78" s="39" t="s">
        <v>221</v>
      </c>
      <c r="IR78" s="42">
        <f t="shared" si="85"/>
        <v>4</v>
      </c>
      <c r="IS78" s="1">
        <f t="shared" si="55"/>
        <v>0.55871576429669179</v>
      </c>
      <c r="IW78" s="39">
        <v>19.5</v>
      </c>
      <c r="IX78" s="39" t="s">
        <v>156</v>
      </c>
      <c r="JA78" s="69">
        <v>34.901467340100005</v>
      </c>
      <c r="JB78" s="39" t="s">
        <v>221</v>
      </c>
      <c r="JD78" s="39">
        <f t="shared" si="86"/>
        <v>2</v>
      </c>
      <c r="JE78" s="43">
        <f t="shared" si="87"/>
        <v>5.6309614744305375E-2</v>
      </c>
      <c r="JF78" s="67"/>
      <c r="JG78" s="67"/>
      <c r="JH78" s="67"/>
      <c r="JI78" s="123">
        <v>4.5999999999999996</v>
      </c>
      <c r="JJ78" s="67" t="s">
        <v>1435</v>
      </c>
      <c r="JK78" s="67"/>
      <c r="JL78" s="67"/>
      <c r="JM78" s="123">
        <v>4.32</v>
      </c>
      <c r="JN78" s="67" t="s">
        <v>1435</v>
      </c>
      <c r="JO78" s="67"/>
      <c r="JP78" s="67"/>
      <c r="JQ78" s="123">
        <v>19.190000000000001</v>
      </c>
      <c r="JR78" s="67" t="s">
        <v>1435</v>
      </c>
      <c r="JS78" s="67"/>
      <c r="JT78" s="67"/>
      <c r="JU78" s="123">
        <v>18.63</v>
      </c>
      <c r="JV78" s="67" t="s">
        <v>1435</v>
      </c>
      <c r="JX78" s="39">
        <v>2</v>
      </c>
      <c r="JY78" s="39" t="s">
        <v>1445</v>
      </c>
      <c r="KB78" s="39">
        <v>23</v>
      </c>
      <c r="KC78" s="39" t="s">
        <v>1445</v>
      </c>
      <c r="KD78" s="39" t="s">
        <v>156</v>
      </c>
      <c r="KF78" s="8">
        <f t="shared" si="58"/>
        <v>1</v>
      </c>
      <c r="KG78" s="1">
        <f t="shared" si="59"/>
        <v>1.4326045238376712E-2</v>
      </c>
      <c r="KK78" s="39">
        <v>0.5</v>
      </c>
      <c r="KL78" s="39" t="s">
        <v>156</v>
      </c>
      <c r="KO78" s="69">
        <v>34.901467340100005</v>
      </c>
      <c r="KP78" s="39" t="s">
        <v>221</v>
      </c>
    </row>
    <row r="79" spans="2:302" s="39" customFormat="1" ht="15" hidden="1" customHeight="1" x14ac:dyDescent="0.35">
      <c r="B79" s="39" t="s">
        <v>1432</v>
      </c>
      <c r="C79" s="67" t="s">
        <v>767</v>
      </c>
      <c r="D79" s="39" t="s">
        <v>325</v>
      </c>
      <c r="E79" s="67" t="s">
        <v>861</v>
      </c>
      <c r="F79" s="39" t="s">
        <v>1446</v>
      </c>
      <c r="G79" s="42" t="s">
        <v>249</v>
      </c>
      <c r="H79" s="40">
        <f>15.24/18.99</f>
        <v>0.80252764612954197</v>
      </c>
      <c r="L79" s="122">
        <v>4</v>
      </c>
      <c r="M79" s="67" t="s">
        <v>2871</v>
      </c>
      <c r="N79" s="67"/>
      <c r="O79" s="67"/>
      <c r="P79" s="67" t="s">
        <v>670</v>
      </c>
      <c r="Q79" s="67" t="s">
        <v>1434</v>
      </c>
      <c r="R79" s="39" t="s">
        <v>681</v>
      </c>
      <c r="T79" s="39" t="s">
        <v>1235</v>
      </c>
      <c r="U79" s="40">
        <f>0.1213+0.49*0.0837</f>
        <v>0.16231300000000001</v>
      </c>
      <c r="X79" s="8">
        <f t="shared" si="25"/>
        <v>1</v>
      </c>
      <c r="Y79" s="1">
        <f t="shared" si="26"/>
        <v>1.3179570311251141</v>
      </c>
      <c r="AC79" s="123">
        <v>22.98</v>
      </c>
      <c r="AD79" s="39" t="s">
        <v>1436</v>
      </c>
      <c r="AG79" s="39">
        <f>5.3+0.17</f>
        <v>5.47</v>
      </c>
      <c r="AH79" s="39" t="s">
        <v>1436</v>
      </c>
      <c r="AK79" s="39">
        <f>12.54+0.04</f>
        <v>12.579999999999998</v>
      </c>
      <c r="AL79" s="39" t="s">
        <v>1436</v>
      </c>
      <c r="AN79" s="8">
        <f t="shared" si="27"/>
        <v>1</v>
      </c>
      <c r="AO79" s="1">
        <f t="shared" si="28"/>
        <v>1.0127384344766934</v>
      </c>
      <c r="AS79" s="69">
        <f>18.94+0.088</f>
        <v>19.028000000000002</v>
      </c>
      <c r="AT79" s="39" t="s">
        <v>1436</v>
      </c>
      <c r="AW79" s="39">
        <f>4.37+0.63</f>
        <v>5</v>
      </c>
      <c r="AX79" s="39" t="s">
        <v>1436</v>
      </c>
      <c r="BA79" s="39">
        <f>22.4+0.34</f>
        <v>22.74</v>
      </c>
      <c r="BB79" s="39" t="s">
        <v>1436</v>
      </c>
      <c r="BD79" s="2">
        <f t="shared" si="70"/>
        <v>5</v>
      </c>
      <c r="BE79" s="8">
        <f t="shared" si="73"/>
        <v>22.98</v>
      </c>
      <c r="BF79" s="67"/>
      <c r="BG79" s="67"/>
      <c r="BH79" s="67"/>
      <c r="BI79" s="39">
        <f t="shared" si="76"/>
        <v>22.98</v>
      </c>
      <c r="BJ79" s="67" t="s">
        <v>1436</v>
      </c>
      <c r="BK79" s="67"/>
      <c r="BL79" s="2">
        <f t="shared" si="71"/>
        <v>5</v>
      </c>
      <c r="BM79" s="15">
        <f t="shared" si="30"/>
        <v>19.028000000000002</v>
      </c>
      <c r="BN79" s="67"/>
      <c r="BO79" s="67"/>
      <c r="BP79" s="67"/>
      <c r="BQ79" s="69">
        <f t="shared" si="77"/>
        <v>19.028000000000002</v>
      </c>
      <c r="BR79" s="67" t="s">
        <v>1436</v>
      </c>
      <c r="BT79" s="8">
        <f t="shared" si="72"/>
        <v>3</v>
      </c>
      <c r="BU79" s="67">
        <v>130</v>
      </c>
      <c r="BV79" s="67"/>
      <c r="BW79" s="67"/>
      <c r="BX79" s="67"/>
      <c r="BY79" s="67">
        <v>130</v>
      </c>
      <c r="BZ79" s="121" t="s">
        <v>1447</v>
      </c>
      <c r="CB79" s="67">
        <v>1</v>
      </c>
      <c r="CC79" s="67" t="s">
        <v>711</v>
      </c>
      <c r="CD79" s="67"/>
      <c r="CE79" s="67"/>
      <c r="CF79" s="67" t="s">
        <v>711</v>
      </c>
      <c r="CG79" s="67" t="s">
        <v>1213</v>
      </c>
      <c r="CH79" s="67" t="s">
        <v>360</v>
      </c>
      <c r="CJ79" s="67">
        <f t="shared" si="89"/>
        <v>2</v>
      </c>
      <c r="CK79" s="125">
        <f t="shared" si="90"/>
        <v>0.34986945169712791</v>
      </c>
      <c r="CO79" s="39">
        <v>8.0399999999999991</v>
      </c>
      <c r="CP79" s="67" t="s">
        <v>1436</v>
      </c>
      <c r="CS79" s="39">
        <f t="shared" si="78"/>
        <v>22.98</v>
      </c>
      <c r="CT79" s="67" t="s">
        <v>1436</v>
      </c>
      <c r="CV79" s="39">
        <v>0</v>
      </c>
      <c r="CW79" s="8" t="str">
        <f t="shared" si="36"/>
        <v>数据缺失</v>
      </c>
      <c r="DA79" s="39" t="s">
        <v>264</v>
      </c>
      <c r="DD79" s="39">
        <f t="shared" si="80"/>
        <v>0</v>
      </c>
      <c r="DE79" s="69" t="s">
        <v>264</v>
      </c>
      <c r="DF79" s="67"/>
      <c r="DG79" s="67"/>
      <c r="DH79" s="67"/>
      <c r="DI79" s="39">
        <f t="shared" si="82"/>
        <v>19.028000000000002</v>
      </c>
      <c r="DJ79" s="67" t="s">
        <v>1436</v>
      </c>
      <c r="DM79" s="118" t="str">
        <f t="shared" si="88"/>
        <v>数据缺失</v>
      </c>
      <c r="DP79" s="39">
        <v>1</v>
      </c>
      <c r="DQ79" s="39" t="s">
        <v>1448</v>
      </c>
      <c r="DR79" s="67" t="s">
        <v>1449</v>
      </c>
      <c r="DU79" s="40" t="s">
        <v>1450</v>
      </c>
      <c r="DY79" s="40" t="s">
        <v>1450</v>
      </c>
      <c r="EC79" s="40" t="s">
        <v>1450</v>
      </c>
      <c r="EG79" s="40" t="s">
        <v>1450</v>
      </c>
      <c r="EJ79" s="2">
        <f t="shared" si="74"/>
        <v>3</v>
      </c>
      <c r="EK79" s="8">
        <f t="shared" si="75"/>
        <v>25.65</v>
      </c>
      <c r="EL79" s="67"/>
      <c r="EM79" s="67"/>
      <c r="EN79" s="67"/>
      <c r="EO79" s="123">
        <v>25.65</v>
      </c>
      <c r="EP79" s="67" t="s">
        <v>1436</v>
      </c>
      <c r="EQ79" s="67"/>
      <c r="ER79" s="8">
        <f t="shared" si="43"/>
        <v>4</v>
      </c>
      <c r="ES79" s="6">
        <f t="shared" si="62"/>
        <v>10.81</v>
      </c>
      <c r="ET79" s="67"/>
      <c r="EU79" s="67"/>
      <c r="EV79" s="67"/>
      <c r="EW79" s="123">
        <v>10.81</v>
      </c>
      <c r="EX79" s="67" t="s">
        <v>1449</v>
      </c>
      <c r="EZ79" s="8">
        <f t="shared" si="44"/>
        <v>3</v>
      </c>
      <c r="FA79" s="8">
        <f t="shared" si="45"/>
        <v>72.209999999999994</v>
      </c>
      <c r="FE79" s="39">
        <v>72.209999999999994</v>
      </c>
      <c r="FF79" s="39" t="s">
        <v>1449</v>
      </c>
      <c r="FH79" s="39">
        <v>1</v>
      </c>
      <c r="FI79" s="39" t="s">
        <v>1451</v>
      </c>
      <c r="FM79" s="39" t="s">
        <v>264</v>
      </c>
      <c r="FQ79" s="40" t="s">
        <v>1450</v>
      </c>
      <c r="FU79" s="39" t="s">
        <v>1450</v>
      </c>
      <c r="FY79" s="40" t="s">
        <v>264</v>
      </c>
      <c r="GB79" s="39">
        <v>3</v>
      </c>
      <c r="GC79" s="39" t="s">
        <v>1452</v>
      </c>
      <c r="GG79" s="39" t="s">
        <v>1452</v>
      </c>
      <c r="GH79" s="39" t="s">
        <v>681</v>
      </c>
      <c r="GJ79" s="8">
        <f t="shared" si="46"/>
        <v>4</v>
      </c>
      <c r="GK79" s="1">
        <f t="shared" si="47"/>
        <v>2.8428754540482305E-2</v>
      </c>
      <c r="GN79" s="39">
        <v>0.54</v>
      </c>
      <c r="GO79" s="39" t="s">
        <v>1453</v>
      </c>
      <c r="GP79" s="39" t="s">
        <v>681</v>
      </c>
      <c r="GS79" s="69">
        <v>18.994852526199999</v>
      </c>
      <c r="GT79" s="39" t="s">
        <v>1454</v>
      </c>
      <c r="GV79" s="8">
        <f t="shared" si="48"/>
        <v>0</v>
      </c>
      <c r="GW79" s="67" t="s">
        <v>1298</v>
      </c>
      <c r="GX79" s="67"/>
      <c r="GY79" s="67"/>
      <c r="GZ79" s="67"/>
      <c r="HA79" s="67" t="s">
        <v>1450</v>
      </c>
      <c r="HB79" s="67"/>
      <c r="HC79" s="67"/>
      <c r="HD79" s="67"/>
      <c r="HE79" s="126">
        <v>78.995967256499995</v>
      </c>
      <c r="HF79" s="39" t="s">
        <v>1454</v>
      </c>
      <c r="HH79" s="39">
        <f t="shared" si="83"/>
        <v>1</v>
      </c>
      <c r="HI79" s="1">
        <f t="shared" si="51"/>
        <v>0</v>
      </c>
      <c r="HM79" s="39">
        <v>0</v>
      </c>
      <c r="HN79" s="39" t="s">
        <v>1455</v>
      </c>
      <c r="HQ79" s="78">
        <v>8.1861332373</v>
      </c>
      <c r="HR79" s="39" t="s">
        <v>1454</v>
      </c>
      <c r="HT79" s="39">
        <f t="shared" si="84"/>
        <v>3</v>
      </c>
      <c r="HU79" s="10">
        <f t="shared" si="53"/>
        <v>6.6672660761111294E-2</v>
      </c>
      <c r="HY79" s="39">
        <v>0.2</v>
      </c>
      <c r="HZ79" s="39" t="s">
        <v>681</v>
      </c>
      <c r="IC79" s="69">
        <v>2.99973029</v>
      </c>
      <c r="ID79" s="39" t="s">
        <v>221</v>
      </c>
      <c r="IR79" s="42">
        <f t="shared" si="85"/>
        <v>0</v>
      </c>
      <c r="IS79" s="39" t="s">
        <v>1450</v>
      </c>
      <c r="IW79" s="39" t="s">
        <v>1450</v>
      </c>
      <c r="JA79" s="69">
        <v>31.3905870215</v>
      </c>
      <c r="JB79" s="39" t="s">
        <v>1454</v>
      </c>
      <c r="JD79" s="39">
        <f t="shared" si="86"/>
        <v>2</v>
      </c>
      <c r="JE79" s="43">
        <f t="shared" si="87"/>
        <v>4.7511881484563555E-2</v>
      </c>
      <c r="JF79" s="67"/>
      <c r="JI79" s="123">
        <v>5.07</v>
      </c>
      <c r="JJ79" s="67" t="s">
        <v>1449</v>
      </c>
      <c r="JK79" s="67"/>
      <c r="JL79" s="67"/>
      <c r="JM79" s="123">
        <v>18.510000000000002</v>
      </c>
      <c r="JN79" s="67" t="s">
        <v>1449</v>
      </c>
      <c r="JO79" s="67"/>
      <c r="JP79" s="67"/>
      <c r="JQ79" s="123">
        <v>5.73</v>
      </c>
      <c r="JR79" s="67" t="s">
        <v>1449</v>
      </c>
      <c r="JS79" s="67"/>
      <c r="JT79" s="67"/>
      <c r="JU79" s="123">
        <v>5.8</v>
      </c>
      <c r="JV79" s="67" t="s">
        <v>1436</v>
      </c>
      <c r="JX79" s="39">
        <v>2</v>
      </c>
      <c r="JY79" s="39" t="s">
        <v>1456</v>
      </c>
      <c r="KB79" s="39">
        <v>24</v>
      </c>
      <c r="KC79" s="39" t="s">
        <v>1445</v>
      </c>
      <c r="KD79" s="39" t="s">
        <v>1455</v>
      </c>
      <c r="KF79" s="8">
        <f t="shared" si="58"/>
        <v>1</v>
      </c>
      <c r="KG79" s="1">
        <f t="shared" si="59"/>
        <v>5.4156362187035186E-2</v>
      </c>
      <c r="KH79" s="67"/>
      <c r="KI79" s="67"/>
      <c r="KJ79" s="67"/>
      <c r="KK79" s="123">
        <v>1.7</v>
      </c>
      <c r="KL79" s="67" t="s">
        <v>681</v>
      </c>
      <c r="KM79" s="67"/>
      <c r="KN79" s="67"/>
      <c r="KO79" s="126">
        <v>31.3905870215</v>
      </c>
      <c r="KP79" s="39" t="s">
        <v>1454</v>
      </c>
    </row>
    <row r="80" spans="2:302" s="39" customFormat="1" ht="15" hidden="1" customHeight="1" x14ac:dyDescent="0.35">
      <c r="B80" s="39" t="s">
        <v>1457</v>
      </c>
      <c r="C80" s="67" t="s">
        <v>767</v>
      </c>
      <c r="D80" s="39" t="s">
        <v>325</v>
      </c>
      <c r="E80" s="67" t="s">
        <v>1257</v>
      </c>
      <c r="F80" s="39" t="s">
        <v>1458</v>
      </c>
      <c r="G80" s="42" t="s">
        <v>174</v>
      </c>
      <c r="H80" s="40">
        <f>1.46/5.325</f>
        <v>0.27417840375586855</v>
      </c>
      <c r="I80" s="39" t="s">
        <v>688</v>
      </c>
      <c r="J80" s="39" t="s">
        <v>1459</v>
      </c>
      <c r="L80" s="42"/>
      <c r="U80" s="40"/>
      <c r="X80" s="8"/>
      <c r="Y80" s="1"/>
      <c r="AN80" s="8"/>
      <c r="AO80" s="1"/>
      <c r="BD80" s="2">
        <f t="shared" si="70"/>
        <v>5</v>
      </c>
      <c r="BE80" s="8"/>
      <c r="BL80" s="2">
        <f t="shared" si="71"/>
        <v>5</v>
      </c>
      <c r="BM80" s="8"/>
      <c r="BT80" s="8"/>
      <c r="CK80" s="125"/>
      <c r="CW80" s="8"/>
      <c r="DE80" s="69"/>
      <c r="DM80" s="118"/>
      <c r="DU80" s="40"/>
      <c r="DY80" s="40"/>
      <c r="EC80" s="40"/>
      <c r="EG80" s="40"/>
      <c r="EJ80" s="2"/>
      <c r="EK80" s="8"/>
      <c r="ER80" s="8"/>
      <c r="ES80" s="6"/>
      <c r="EZ80" s="8"/>
      <c r="FA80" s="8"/>
      <c r="FM80" s="40"/>
      <c r="FQ80" s="40"/>
      <c r="FU80" s="40"/>
      <c r="FY80" s="40"/>
      <c r="GJ80" s="8"/>
      <c r="GK80" s="1"/>
      <c r="GS80" s="69"/>
      <c r="GV80" s="8"/>
      <c r="GW80" s="1"/>
      <c r="HE80" s="69"/>
      <c r="HI80" s="1"/>
      <c r="HQ80" s="78"/>
      <c r="HU80" s="10"/>
      <c r="IR80" s="42"/>
      <c r="IS80" s="1"/>
      <c r="JA80" s="69"/>
      <c r="JE80" s="43"/>
      <c r="KF80" s="8"/>
      <c r="KG80" s="1"/>
      <c r="KO80" s="69"/>
    </row>
    <row r="81" spans="2:302" s="39" customFormat="1" ht="15" hidden="1" customHeight="1" x14ac:dyDescent="0.35">
      <c r="B81" s="39" t="s">
        <v>1457</v>
      </c>
      <c r="C81" s="67" t="s">
        <v>767</v>
      </c>
      <c r="D81" s="39" t="s">
        <v>325</v>
      </c>
      <c r="E81" s="67" t="s">
        <v>861</v>
      </c>
      <c r="F81" s="39" t="s">
        <v>1460</v>
      </c>
      <c r="G81" s="42" t="s">
        <v>199</v>
      </c>
      <c r="H81" s="40">
        <f>1.31/5.68</f>
        <v>0.23063380281690143</v>
      </c>
      <c r="I81" s="39" t="s">
        <v>1461</v>
      </c>
      <c r="J81" s="39" t="s">
        <v>1462</v>
      </c>
      <c r="L81" s="42"/>
      <c r="U81" s="40"/>
      <c r="X81" s="8"/>
      <c r="Y81" s="1"/>
      <c r="AN81" s="8"/>
      <c r="AO81" s="1"/>
      <c r="BD81" s="2">
        <f t="shared" si="70"/>
        <v>5</v>
      </c>
      <c r="BE81" s="8"/>
      <c r="BL81" s="2">
        <f t="shared" si="71"/>
        <v>5</v>
      </c>
      <c r="BM81" s="8"/>
      <c r="BT81" s="8"/>
      <c r="CK81" s="125"/>
      <c r="CW81" s="8"/>
      <c r="DE81" s="69"/>
      <c r="DM81" s="118"/>
      <c r="DU81" s="40"/>
      <c r="DY81" s="40"/>
      <c r="EC81" s="40"/>
      <c r="EG81" s="40"/>
      <c r="EJ81" s="2"/>
      <c r="EK81" s="8"/>
      <c r="ER81" s="8"/>
      <c r="ES81" s="6"/>
      <c r="EZ81" s="8"/>
      <c r="FA81" s="8"/>
      <c r="FQ81" s="40"/>
      <c r="FY81" s="40"/>
      <c r="GJ81" s="8"/>
      <c r="GK81" s="1"/>
      <c r="GS81" s="69"/>
      <c r="GV81" s="8"/>
      <c r="GW81" s="1"/>
      <c r="HE81" s="69"/>
      <c r="HI81" s="1"/>
      <c r="HQ81" s="78"/>
      <c r="HU81" s="10"/>
      <c r="IR81" s="42"/>
      <c r="IS81" s="1"/>
      <c r="JA81" s="69"/>
      <c r="JE81" s="43"/>
      <c r="KF81" s="8"/>
      <c r="KG81" s="1"/>
      <c r="KO81" s="69"/>
    </row>
    <row r="82" spans="2:302" s="39" customFormat="1" ht="15" hidden="1" customHeight="1" x14ac:dyDescent="0.35">
      <c r="B82" s="119" t="s">
        <v>1463</v>
      </c>
      <c r="C82" s="67" t="s">
        <v>767</v>
      </c>
      <c r="D82" s="39" t="s">
        <v>325</v>
      </c>
      <c r="E82" s="67" t="s">
        <v>861</v>
      </c>
      <c r="F82" s="119" t="s">
        <v>1464</v>
      </c>
      <c r="G82" s="130" t="s">
        <v>174</v>
      </c>
      <c r="H82" s="40">
        <f>10.82/11.94</f>
        <v>0.90619765494137361</v>
      </c>
      <c r="L82" s="42">
        <v>4</v>
      </c>
      <c r="M82" s="119" t="s">
        <v>1465</v>
      </c>
      <c r="P82" s="39" t="s">
        <v>1384</v>
      </c>
      <c r="Q82" s="39" t="s">
        <v>1466</v>
      </c>
      <c r="R82" s="119" t="s">
        <v>840</v>
      </c>
      <c r="T82" s="39" t="s">
        <v>129</v>
      </c>
      <c r="U82" s="40">
        <f>0.6184*0.5*0.25+0.5*0.25</f>
        <v>0.20229999999999998</v>
      </c>
      <c r="X82" s="8">
        <f t="shared" si="25"/>
        <v>2</v>
      </c>
      <c r="Y82" s="1">
        <f t="shared" si="26"/>
        <v>0.20280103668261568</v>
      </c>
      <c r="Z82" s="119"/>
      <c r="AA82" s="119"/>
      <c r="AB82" s="119"/>
      <c r="AC82" s="128">
        <v>9.01</v>
      </c>
      <c r="AD82" s="119" t="s">
        <v>840</v>
      </c>
      <c r="AE82" s="119"/>
      <c r="AF82" s="119"/>
      <c r="AG82" s="128">
        <v>8.16</v>
      </c>
      <c r="AH82" s="119" t="s">
        <v>840</v>
      </c>
      <c r="AI82" s="119"/>
      <c r="AJ82" s="119"/>
      <c r="AK82" s="119">
        <v>6.27</v>
      </c>
      <c r="AL82" s="119" t="s">
        <v>840</v>
      </c>
      <c r="AN82" s="8">
        <f t="shared" si="27"/>
        <v>2</v>
      </c>
      <c r="AO82" s="1">
        <f t="shared" si="28"/>
        <v>0.17058056099151991</v>
      </c>
      <c r="AP82" s="119"/>
      <c r="AQ82" s="119"/>
      <c r="AR82" s="119"/>
      <c r="AS82" s="128">
        <v>10</v>
      </c>
      <c r="AT82" s="119" t="s">
        <v>840</v>
      </c>
      <c r="AU82" s="119"/>
      <c r="AV82" s="119"/>
      <c r="AW82" s="128">
        <v>8.4</v>
      </c>
      <c r="AX82" s="119" t="s">
        <v>840</v>
      </c>
      <c r="AY82" s="119"/>
      <c r="AZ82" s="119"/>
      <c r="BA82" s="128">
        <v>7.3</v>
      </c>
      <c r="BB82" s="119" t="s">
        <v>1467</v>
      </c>
      <c r="BD82" s="2">
        <f t="shared" si="70"/>
        <v>5</v>
      </c>
      <c r="BE82" s="8">
        <f t="shared" si="73"/>
        <v>9.01</v>
      </c>
      <c r="BF82" s="119"/>
      <c r="BG82" s="119"/>
      <c r="BH82" s="119"/>
      <c r="BI82" s="39">
        <f t="shared" si="76"/>
        <v>9.01</v>
      </c>
      <c r="BJ82" s="119" t="s">
        <v>1468</v>
      </c>
      <c r="BK82" s="119"/>
      <c r="BL82" s="2">
        <f t="shared" si="71"/>
        <v>5</v>
      </c>
      <c r="BM82" s="8">
        <f t="shared" si="30"/>
        <v>10</v>
      </c>
      <c r="BN82" s="119"/>
      <c r="BO82" s="119"/>
      <c r="BP82" s="119"/>
      <c r="BQ82" s="39">
        <f t="shared" si="77"/>
        <v>10</v>
      </c>
      <c r="BR82" s="119" t="s">
        <v>1468</v>
      </c>
      <c r="BT82" s="8">
        <f t="shared" si="72"/>
        <v>4</v>
      </c>
      <c r="BU82" s="119">
        <v>349</v>
      </c>
      <c r="BV82" s="119"/>
      <c r="BW82" s="119"/>
      <c r="BX82" s="119"/>
      <c r="BY82" s="119">
        <v>349</v>
      </c>
      <c r="BZ82" s="129" t="s">
        <v>131</v>
      </c>
      <c r="CB82" s="39">
        <v>1</v>
      </c>
      <c r="CC82" s="39" t="str">
        <f>CF82</f>
        <v>一级</v>
      </c>
      <c r="CF82" s="39" t="s">
        <v>132</v>
      </c>
      <c r="CG82" s="39" t="s">
        <v>1469</v>
      </c>
      <c r="CH82" s="39" t="s">
        <v>1468</v>
      </c>
      <c r="CJ82" s="119">
        <f>IF(CK82="数据缺失",0,IF(CK82&lt;0,0,IF(CK82&lt;2,2,IF(CK82&lt;=5,1,3))))</f>
        <v>2</v>
      </c>
      <c r="CK82" s="125">
        <f t="shared" si="90"/>
        <v>0</v>
      </c>
      <c r="CL82" s="119"/>
      <c r="CM82" s="119"/>
      <c r="CN82" s="119"/>
      <c r="CO82" s="128">
        <v>0</v>
      </c>
      <c r="CP82" s="119" t="s">
        <v>840</v>
      </c>
      <c r="CQ82" s="119"/>
      <c r="CR82" s="119"/>
      <c r="CS82" s="39">
        <f t="shared" si="78"/>
        <v>9.01</v>
      </c>
      <c r="CT82" s="119" t="s">
        <v>1468</v>
      </c>
      <c r="CV82" s="130">
        <f>IF(CW82="数据缺失",0,IF(CW82&lt;0,0,IF(CW82&lt;100,5,IF(CW82&lt;500,4,IF(CW82&lt;1000,3,IF(CW82&lt;2000,2,1))))))</f>
        <v>5</v>
      </c>
      <c r="CW82" s="8">
        <f t="shared" si="36"/>
        <v>0</v>
      </c>
      <c r="CX82" s="119"/>
      <c r="CY82" s="119"/>
      <c r="CZ82" s="119"/>
      <c r="DA82" s="128">
        <v>0</v>
      </c>
      <c r="DB82" s="119" t="s">
        <v>1468</v>
      </c>
      <c r="DD82" s="39">
        <f t="shared" si="80"/>
        <v>3</v>
      </c>
      <c r="DE82" s="132">
        <f>DM82/DI82</f>
        <v>0</v>
      </c>
      <c r="DF82" s="119"/>
      <c r="DG82" s="119"/>
      <c r="DH82" s="119"/>
      <c r="DI82" s="39">
        <f t="shared" si="82"/>
        <v>10</v>
      </c>
      <c r="DJ82" s="119" t="s">
        <v>840</v>
      </c>
      <c r="DK82" s="119"/>
      <c r="DL82" s="119"/>
      <c r="DM82" s="118">
        <f t="shared" si="88"/>
        <v>0</v>
      </c>
      <c r="DN82" s="119" t="s">
        <v>1468</v>
      </c>
      <c r="DO82" s="119" t="s">
        <v>840</v>
      </c>
      <c r="DP82" s="39">
        <v>5</v>
      </c>
      <c r="DQ82" s="119" t="s">
        <v>1470</v>
      </c>
      <c r="DR82" s="119" t="s">
        <v>1468</v>
      </c>
      <c r="DU82" s="40" t="s">
        <v>1471</v>
      </c>
      <c r="DY82" s="40" t="s">
        <v>1471</v>
      </c>
      <c r="EC82" s="40" t="s">
        <v>264</v>
      </c>
      <c r="EG82" s="40" t="s">
        <v>1471</v>
      </c>
      <c r="EJ82" s="2">
        <f t="shared" si="74"/>
        <v>3</v>
      </c>
      <c r="EK82" s="8">
        <f t="shared" si="75"/>
        <v>41.29</v>
      </c>
      <c r="EL82" s="119"/>
      <c r="EM82" s="119"/>
      <c r="EN82" s="119"/>
      <c r="EO82" s="128">
        <v>41.29</v>
      </c>
      <c r="EP82" s="119" t="s">
        <v>1468</v>
      </c>
      <c r="EQ82" s="119" t="s">
        <v>1472</v>
      </c>
      <c r="ER82" s="8">
        <f t="shared" si="43"/>
        <v>3</v>
      </c>
      <c r="ES82" s="6">
        <f t="shared" si="62"/>
        <v>39.69</v>
      </c>
      <c r="ET82" s="119"/>
      <c r="EU82" s="119"/>
      <c r="EV82" s="119"/>
      <c r="EW82" s="128">
        <v>39.69</v>
      </c>
      <c r="EX82" s="119" t="s">
        <v>1468</v>
      </c>
      <c r="EZ82" s="8">
        <f t="shared" si="44"/>
        <v>4</v>
      </c>
      <c r="FA82" s="8">
        <f t="shared" si="45"/>
        <v>41.51</v>
      </c>
      <c r="FB82" s="119"/>
      <c r="FC82" s="119"/>
      <c r="FD82" s="119"/>
      <c r="FE82" s="128">
        <v>41.51</v>
      </c>
      <c r="FF82" s="119" t="s">
        <v>1473</v>
      </c>
      <c r="FH82" s="119">
        <v>1</v>
      </c>
      <c r="FI82" s="119" t="s">
        <v>1474</v>
      </c>
      <c r="FJ82" s="119"/>
      <c r="FK82" s="119"/>
      <c r="FL82" s="119"/>
      <c r="FM82" s="131">
        <v>0.629</v>
      </c>
      <c r="FN82" s="119" t="s">
        <v>1473</v>
      </c>
      <c r="FO82" s="119"/>
      <c r="FP82" s="119"/>
      <c r="FQ82" s="131">
        <v>0</v>
      </c>
      <c r="FR82" s="119" t="s">
        <v>841</v>
      </c>
      <c r="FS82" s="119"/>
      <c r="FT82" s="119"/>
      <c r="FU82" s="131">
        <v>0.371</v>
      </c>
      <c r="FV82" s="119" t="s">
        <v>1473</v>
      </c>
      <c r="FW82" s="119"/>
      <c r="FX82" s="119"/>
      <c r="FY82" s="131">
        <v>0</v>
      </c>
      <c r="FZ82" s="119" t="s">
        <v>1473</v>
      </c>
      <c r="GB82" s="39">
        <v>2</v>
      </c>
      <c r="GC82" s="39" t="s">
        <v>1475</v>
      </c>
      <c r="GG82" s="39" t="s">
        <v>1475</v>
      </c>
      <c r="GH82" s="119" t="s">
        <v>1476</v>
      </c>
      <c r="GJ82" s="8">
        <f t="shared" si="46"/>
        <v>3</v>
      </c>
      <c r="GK82" s="1">
        <f t="shared" si="47"/>
        <v>8.4558362254373284E-2</v>
      </c>
      <c r="GN82" s="39">
        <v>1.01</v>
      </c>
      <c r="GO82" s="39" t="s">
        <v>1477</v>
      </c>
      <c r="GP82" s="39" t="s">
        <v>1113</v>
      </c>
      <c r="GS82" s="69">
        <v>11.944412983799999</v>
      </c>
      <c r="GT82" s="39" t="s">
        <v>1478</v>
      </c>
      <c r="GV82" s="8">
        <f t="shared" si="48"/>
        <v>3</v>
      </c>
      <c r="GW82" s="1">
        <f t="shared" si="49"/>
        <v>0.4698889362798358</v>
      </c>
      <c r="GX82" s="119"/>
      <c r="GY82" s="119"/>
      <c r="GZ82" s="119"/>
      <c r="HA82" s="128">
        <v>44.07</v>
      </c>
      <c r="HB82" s="119" t="s">
        <v>1476</v>
      </c>
      <c r="HC82" s="119"/>
      <c r="HD82" s="119"/>
      <c r="HE82" s="132">
        <v>93.788120122400002</v>
      </c>
      <c r="HF82" s="39" t="s">
        <v>221</v>
      </c>
      <c r="HH82" s="39">
        <f t="shared" si="83"/>
        <v>1</v>
      </c>
      <c r="HI82" s="1">
        <f t="shared" si="51"/>
        <v>9.6740888133346695E-3</v>
      </c>
      <c r="HJ82" s="119"/>
      <c r="HK82" s="119"/>
      <c r="HL82" s="119"/>
      <c r="HM82" s="128">
        <v>0.08</v>
      </c>
      <c r="HN82" s="119" t="s">
        <v>1476</v>
      </c>
      <c r="HO82" s="119"/>
      <c r="HP82" s="119"/>
      <c r="HQ82" s="128">
        <v>8.2695126687000009</v>
      </c>
      <c r="HR82" s="39" t="s">
        <v>1478</v>
      </c>
      <c r="HT82" s="39">
        <f t="shared" si="84"/>
        <v>4</v>
      </c>
      <c r="HU82" s="10">
        <f t="shared" si="53"/>
        <v>0</v>
      </c>
      <c r="HV82" s="119"/>
      <c r="HW82" s="119"/>
      <c r="HX82" s="119"/>
      <c r="HY82" s="133">
        <v>0</v>
      </c>
      <c r="HZ82" s="119" t="s">
        <v>1476</v>
      </c>
      <c r="IA82" s="119"/>
      <c r="IB82" s="119"/>
      <c r="IC82" s="128">
        <v>24.137499999999999</v>
      </c>
      <c r="ID82" s="39" t="s">
        <v>221</v>
      </c>
      <c r="IR82" s="42">
        <f t="shared" si="85"/>
        <v>0</v>
      </c>
      <c r="IS82" s="39" t="s">
        <v>1450</v>
      </c>
      <c r="IW82" s="123" t="s">
        <v>1471</v>
      </c>
      <c r="JA82" s="69">
        <v>39.3444072287</v>
      </c>
      <c r="JB82" s="39" t="s">
        <v>221</v>
      </c>
      <c r="JD82" s="39">
        <f t="shared" si="86"/>
        <v>3</v>
      </c>
      <c r="JE82" s="43">
        <f t="shared" si="87"/>
        <v>6.6689408152822788E-2</v>
      </c>
      <c r="JI82" s="39">
        <v>3.91</v>
      </c>
      <c r="JJ82" s="39" t="s">
        <v>1473</v>
      </c>
      <c r="JM82" s="39">
        <v>2</v>
      </c>
      <c r="JN82" s="39" t="s">
        <v>1473</v>
      </c>
      <c r="JQ82" s="39">
        <v>25.42</v>
      </c>
      <c r="JR82" s="39" t="s">
        <v>1473</v>
      </c>
      <c r="JU82" s="39">
        <v>33.21</v>
      </c>
      <c r="JV82" s="39" t="s">
        <v>1473</v>
      </c>
      <c r="JX82" s="39">
        <v>2</v>
      </c>
      <c r="JY82" s="39" t="s">
        <v>1479</v>
      </c>
      <c r="KB82" s="39">
        <v>4</v>
      </c>
      <c r="KC82" s="39" t="s">
        <v>1479</v>
      </c>
      <c r="KD82" s="39" t="s">
        <v>1476</v>
      </c>
      <c r="KF82" s="8">
        <f t="shared" si="58"/>
        <v>1</v>
      </c>
      <c r="KG82" s="1">
        <f t="shared" si="59"/>
        <v>0</v>
      </c>
      <c r="KH82" s="119"/>
      <c r="KI82" s="119"/>
      <c r="KJ82" s="119"/>
      <c r="KK82" s="128">
        <v>0</v>
      </c>
      <c r="KL82" s="119" t="s">
        <v>1468</v>
      </c>
      <c r="KM82" s="119"/>
      <c r="KN82" s="119"/>
      <c r="KO82" s="132">
        <v>39.3444072287</v>
      </c>
      <c r="KP82" s="39" t="s">
        <v>1478</v>
      </c>
    </row>
    <row r="83" spans="2:302" s="39" customFormat="1" ht="15" customHeight="1" x14ac:dyDescent="0.35">
      <c r="B83" s="119" t="s">
        <v>1463</v>
      </c>
      <c r="C83" s="67" t="s">
        <v>767</v>
      </c>
      <c r="D83" s="39" t="s">
        <v>1480</v>
      </c>
      <c r="E83" s="67" t="s">
        <v>861</v>
      </c>
      <c r="F83" s="119" t="s">
        <v>1481</v>
      </c>
      <c r="G83" s="130" t="s">
        <v>249</v>
      </c>
      <c r="H83" s="40">
        <f>7.68/8.29</f>
        <v>0.92641737032569371</v>
      </c>
      <c r="L83" s="42">
        <v>4</v>
      </c>
      <c r="M83" s="119" t="s">
        <v>1465</v>
      </c>
      <c r="P83" s="39" t="s">
        <v>1384</v>
      </c>
      <c r="Q83" s="39" t="s">
        <v>1482</v>
      </c>
      <c r="R83" s="119" t="s">
        <v>840</v>
      </c>
      <c r="T83" s="39" t="s">
        <v>129</v>
      </c>
      <c r="U83" s="40">
        <f>0.6184*0.5*0.25+0.5*0.25</f>
        <v>0.20229999999999998</v>
      </c>
      <c r="X83" s="8">
        <f t="shared" si="25"/>
        <v>0</v>
      </c>
      <c r="Y83" s="36" t="s">
        <v>264</v>
      </c>
      <c r="Z83" s="119"/>
      <c r="AA83" s="119"/>
      <c r="AB83" s="119"/>
      <c r="AC83" s="119">
        <v>6.27</v>
      </c>
      <c r="AD83" s="119" t="s">
        <v>840</v>
      </c>
      <c r="AE83" s="119"/>
      <c r="AF83" s="119"/>
      <c r="AG83" s="128" t="s">
        <v>264</v>
      </c>
      <c r="AH83" s="119"/>
      <c r="AI83" s="119"/>
      <c r="AJ83" s="119"/>
      <c r="AK83" s="128" t="s">
        <v>264</v>
      </c>
      <c r="AN83" s="8">
        <f t="shared" si="27"/>
        <v>0</v>
      </c>
      <c r="AO83" s="128" t="s">
        <v>222</v>
      </c>
      <c r="AP83" s="119"/>
      <c r="AQ83" s="119"/>
      <c r="AR83" s="119"/>
      <c r="AS83" s="128">
        <v>7.3</v>
      </c>
      <c r="AT83" s="119" t="s">
        <v>1467</v>
      </c>
      <c r="AU83" s="119"/>
      <c r="AV83" s="119"/>
      <c r="AW83" s="128" t="s">
        <v>222</v>
      </c>
      <c r="AX83" s="119"/>
      <c r="AY83" s="119"/>
      <c r="AZ83" s="119"/>
      <c r="BA83" s="128" t="s">
        <v>222</v>
      </c>
      <c r="BB83" s="119" t="s">
        <v>1483</v>
      </c>
      <c r="BD83" s="2">
        <f t="shared" si="70"/>
        <v>5</v>
      </c>
      <c r="BE83" s="8">
        <f t="shared" si="73"/>
        <v>6.27</v>
      </c>
      <c r="BF83" s="119"/>
      <c r="BG83" s="119"/>
      <c r="BH83" s="119"/>
      <c r="BI83" s="39">
        <f t="shared" si="76"/>
        <v>6.27</v>
      </c>
      <c r="BJ83" s="119" t="s">
        <v>1467</v>
      </c>
      <c r="BK83" s="119"/>
      <c r="BL83" s="2">
        <f t="shared" si="71"/>
        <v>5</v>
      </c>
      <c r="BM83" s="8">
        <f t="shared" si="30"/>
        <v>7.3</v>
      </c>
      <c r="BN83" s="119"/>
      <c r="BO83" s="119"/>
      <c r="BP83" s="119"/>
      <c r="BQ83" s="39">
        <f t="shared" si="77"/>
        <v>7.3</v>
      </c>
      <c r="BR83" s="119" t="s">
        <v>840</v>
      </c>
      <c r="BT83" s="8">
        <f t="shared" si="72"/>
        <v>4</v>
      </c>
      <c r="BU83" s="119">
        <v>346</v>
      </c>
      <c r="BV83" s="119"/>
      <c r="BW83" s="119"/>
      <c r="BX83" s="119"/>
      <c r="BY83" s="119">
        <v>346</v>
      </c>
      <c r="BZ83" s="134" t="s">
        <v>1484</v>
      </c>
      <c r="CB83" s="39">
        <v>1</v>
      </c>
      <c r="CC83" s="39" t="str">
        <f>CF83</f>
        <v>一级</v>
      </c>
      <c r="CF83" s="39" t="s">
        <v>132</v>
      </c>
      <c r="CG83" s="39" t="s">
        <v>1485</v>
      </c>
      <c r="CH83" s="39" t="s">
        <v>1483</v>
      </c>
      <c r="CJ83" s="119">
        <f>IF(CK83="数据缺失",0,IF(CK83&lt;0,0,IF(CK83&lt;2,2,IF(CK83&lt;=5,1,3))))</f>
        <v>2</v>
      </c>
      <c r="CK83" s="125">
        <f t="shared" si="90"/>
        <v>0</v>
      </c>
      <c r="CL83" s="119"/>
      <c r="CM83" s="119"/>
      <c r="CN83" s="119"/>
      <c r="CO83" s="128">
        <v>0</v>
      </c>
      <c r="CP83" s="119" t="s">
        <v>1483</v>
      </c>
      <c r="CQ83" s="119"/>
      <c r="CR83" s="119"/>
      <c r="CS83" s="39">
        <f t="shared" si="78"/>
        <v>6.27</v>
      </c>
      <c r="CT83" s="119" t="s">
        <v>840</v>
      </c>
      <c r="CV83" s="130">
        <f>IF(CW83="数据缺失",0,IF(CW83&lt;0,0,IF(CW83&lt;100,5,IF(CW83&lt;500,4,IF(CW83&lt;1000,3,IF(CW83&lt;2000,2,1))))))</f>
        <v>5</v>
      </c>
      <c r="CW83" s="8">
        <f t="shared" si="36"/>
        <v>0</v>
      </c>
      <c r="CX83" s="119"/>
      <c r="CY83" s="119"/>
      <c r="CZ83" s="119"/>
      <c r="DA83" s="128">
        <v>0</v>
      </c>
      <c r="DB83" s="119" t="s">
        <v>1483</v>
      </c>
      <c r="DD83" s="39">
        <f t="shared" si="80"/>
        <v>3</v>
      </c>
      <c r="DE83" s="132">
        <f>DM83/DI83</f>
        <v>0</v>
      </c>
      <c r="DF83" s="119"/>
      <c r="DG83" s="119"/>
      <c r="DH83" s="119"/>
      <c r="DI83" s="39">
        <f t="shared" si="82"/>
        <v>7.3</v>
      </c>
      <c r="DJ83" s="119" t="s">
        <v>840</v>
      </c>
      <c r="DK83" s="119"/>
      <c r="DL83" s="119"/>
      <c r="DM83" s="118">
        <f t="shared" si="88"/>
        <v>0</v>
      </c>
      <c r="DN83" s="119" t="s">
        <v>1486</v>
      </c>
      <c r="DP83" s="119">
        <v>5</v>
      </c>
      <c r="DQ83" s="119" t="s">
        <v>1487</v>
      </c>
      <c r="DR83" s="119" t="s">
        <v>1483</v>
      </c>
      <c r="DS83" s="119"/>
      <c r="DT83" s="119"/>
      <c r="DU83" s="40" t="s">
        <v>264</v>
      </c>
      <c r="DY83" s="40" t="s">
        <v>1471</v>
      </c>
      <c r="EC83" s="40" t="s">
        <v>264</v>
      </c>
      <c r="EG83" s="40" t="s">
        <v>264</v>
      </c>
      <c r="EH83" s="119" t="s">
        <v>1488</v>
      </c>
      <c r="EJ83" s="2">
        <f t="shared" si="74"/>
        <v>4</v>
      </c>
      <c r="EK83" s="8">
        <f t="shared" si="75"/>
        <v>7.62</v>
      </c>
      <c r="EL83" s="119"/>
      <c r="EM83" s="119"/>
      <c r="EN83" s="119"/>
      <c r="EO83" s="128">
        <v>7.62</v>
      </c>
      <c r="EP83" s="119" t="s">
        <v>1489</v>
      </c>
      <c r="ER83" s="8">
        <f t="shared" si="43"/>
        <v>3</v>
      </c>
      <c r="ES83" s="6">
        <f t="shared" si="62"/>
        <v>20.3</v>
      </c>
      <c r="ET83" s="119"/>
      <c r="EU83" s="119"/>
      <c r="EV83" s="119"/>
      <c r="EW83" s="128">
        <v>20.3</v>
      </c>
      <c r="EX83" s="119" t="s">
        <v>1486</v>
      </c>
      <c r="EZ83" s="8">
        <f t="shared" si="44"/>
        <v>3</v>
      </c>
      <c r="FA83" s="8">
        <f t="shared" si="45"/>
        <v>87.13</v>
      </c>
      <c r="FE83" s="39">
        <f>13.85+20.73+20.3+14.1+3.9+11.9+2.35</f>
        <v>87.13</v>
      </c>
      <c r="FF83" s="119" t="s">
        <v>1483</v>
      </c>
      <c r="FH83" s="119">
        <v>1</v>
      </c>
      <c r="FI83" s="119" t="s">
        <v>1490</v>
      </c>
      <c r="FJ83" s="119"/>
      <c r="FK83" s="119"/>
      <c r="FL83" s="119"/>
      <c r="FM83" s="131">
        <v>0.92830000000000001</v>
      </c>
      <c r="FN83" s="119" t="s">
        <v>1483</v>
      </c>
      <c r="FO83" s="119"/>
      <c r="FP83" s="119"/>
      <c r="FQ83" s="131">
        <v>0</v>
      </c>
      <c r="FR83" s="119" t="s">
        <v>1489</v>
      </c>
      <c r="FS83" s="119"/>
      <c r="FT83" s="119"/>
      <c r="FU83" s="131">
        <v>7.17E-2</v>
      </c>
      <c r="FV83" s="119" t="s">
        <v>1488</v>
      </c>
      <c r="FW83" s="119"/>
      <c r="FX83" s="119"/>
      <c r="FY83" s="119">
        <v>0</v>
      </c>
      <c r="FZ83" s="119" t="s">
        <v>1489</v>
      </c>
      <c r="GB83" s="39">
        <v>2</v>
      </c>
      <c r="GC83" s="39" t="s">
        <v>1491</v>
      </c>
      <c r="GG83" s="39" t="s">
        <v>1491</v>
      </c>
      <c r="GH83" s="39" t="s">
        <v>1492</v>
      </c>
      <c r="GJ83" s="8">
        <f t="shared" si="46"/>
        <v>2</v>
      </c>
      <c r="GK83" s="1">
        <f t="shared" si="47"/>
        <v>0.12427578456668865</v>
      </c>
      <c r="GL83" s="119"/>
      <c r="GM83" s="119"/>
      <c r="GN83" s="119">
        <v>1.03</v>
      </c>
      <c r="GO83" s="119" t="s">
        <v>1493</v>
      </c>
      <c r="GP83" s="39" t="s">
        <v>1494</v>
      </c>
      <c r="GS83" s="69">
        <v>8.2880184872000005</v>
      </c>
      <c r="GT83" s="39" t="s">
        <v>1495</v>
      </c>
      <c r="GV83" s="8">
        <f t="shared" si="48"/>
        <v>0</v>
      </c>
      <c r="GW83" s="67" t="s">
        <v>1298</v>
      </c>
      <c r="HA83" s="39" t="s">
        <v>264</v>
      </c>
      <c r="HE83" s="132">
        <v>94.428736155799996</v>
      </c>
      <c r="HF83" s="39" t="s">
        <v>221</v>
      </c>
      <c r="HH83" s="39">
        <f t="shared" si="83"/>
        <v>1</v>
      </c>
      <c r="HI83" s="1">
        <f t="shared" si="51"/>
        <v>0</v>
      </c>
      <c r="HM83" s="39">
        <v>0</v>
      </c>
      <c r="HN83" s="39" t="s">
        <v>1494</v>
      </c>
      <c r="HQ83" s="78">
        <v>14.0772237496</v>
      </c>
      <c r="HR83" s="39" t="s">
        <v>221</v>
      </c>
      <c r="HT83" s="39">
        <f t="shared" si="84"/>
        <v>4</v>
      </c>
      <c r="HU83" s="10">
        <f t="shared" si="53"/>
        <v>0</v>
      </c>
      <c r="HV83" s="119"/>
      <c r="HW83" s="119"/>
      <c r="HX83" s="119"/>
      <c r="HY83" s="133">
        <v>0</v>
      </c>
      <c r="HZ83" s="119" t="s">
        <v>1492</v>
      </c>
      <c r="IA83" s="119"/>
      <c r="IB83" s="119"/>
      <c r="IC83" s="128">
        <v>23.446249999999999</v>
      </c>
      <c r="ID83" s="39" t="s">
        <v>221</v>
      </c>
      <c r="IR83" s="42">
        <f t="shared" si="85"/>
        <v>3</v>
      </c>
      <c r="IS83" s="1">
        <f t="shared" si="55"/>
        <v>1.0087132677694495</v>
      </c>
      <c r="IT83" s="119"/>
      <c r="IU83" s="119"/>
      <c r="IV83" s="119"/>
      <c r="IW83" s="128">
        <v>37.200000000000003</v>
      </c>
      <c r="IX83" s="119" t="s">
        <v>1489</v>
      </c>
      <c r="IY83" s="119" t="s">
        <v>1496</v>
      </c>
      <c r="IZ83" s="119"/>
      <c r="JA83" s="132">
        <v>36.878666305500005</v>
      </c>
      <c r="JB83" s="39" t="s">
        <v>1478</v>
      </c>
      <c r="JD83" s="39">
        <f t="shared" si="86"/>
        <v>1</v>
      </c>
      <c r="JE83" s="43">
        <f t="shared" si="87"/>
        <v>2.7141779855224278E-2</v>
      </c>
      <c r="JI83" s="39">
        <v>3.7</v>
      </c>
      <c r="JJ83" s="39" t="s">
        <v>1497</v>
      </c>
      <c r="JM83" s="39">
        <v>4.5599999999999996</v>
      </c>
      <c r="JN83" s="39" t="s">
        <v>1498</v>
      </c>
      <c r="JQ83" s="39">
        <v>34.92</v>
      </c>
      <c r="JR83" s="39" t="s">
        <v>1499</v>
      </c>
      <c r="JU83" s="39">
        <v>24.87</v>
      </c>
      <c r="JV83" s="39" t="s">
        <v>1500</v>
      </c>
      <c r="JX83" s="39">
        <v>2</v>
      </c>
      <c r="JY83" s="39" t="s">
        <v>1501</v>
      </c>
      <c r="KB83" s="39">
        <v>4</v>
      </c>
      <c r="KC83" s="39" t="s">
        <v>1502</v>
      </c>
      <c r="KD83" s="39" t="s">
        <v>1503</v>
      </c>
      <c r="KF83" s="8">
        <f t="shared" si="58"/>
        <v>1</v>
      </c>
      <c r="KG83" s="1">
        <f t="shared" si="59"/>
        <v>0</v>
      </c>
      <c r="KH83" s="119"/>
      <c r="KI83" s="119"/>
      <c r="KJ83" s="119"/>
      <c r="KK83" s="128">
        <v>0</v>
      </c>
      <c r="KL83" s="119" t="s">
        <v>1492</v>
      </c>
      <c r="KM83" s="119"/>
      <c r="KN83" s="119"/>
      <c r="KO83" s="132">
        <v>36.878666305500005</v>
      </c>
      <c r="KP83" s="39" t="s">
        <v>221</v>
      </c>
    </row>
    <row r="84" spans="2:302" s="39" customFormat="1" ht="15" hidden="1" customHeight="1" x14ac:dyDescent="0.35">
      <c r="B84" s="119" t="s">
        <v>1504</v>
      </c>
      <c r="C84" s="67" t="s">
        <v>767</v>
      </c>
      <c r="D84" s="39" t="s">
        <v>325</v>
      </c>
      <c r="E84" s="67" t="s">
        <v>861</v>
      </c>
      <c r="F84" s="119" t="s">
        <v>1505</v>
      </c>
      <c r="G84" s="130" t="s">
        <v>199</v>
      </c>
      <c r="H84" s="40">
        <f>23.36/35.6</f>
        <v>0.65617977528089888</v>
      </c>
      <c r="L84" s="42">
        <v>4</v>
      </c>
      <c r="M84" s="39" t="s">
        <v>1506</v>
      </c>
      <c r="P84" s="39" t="s">
        <v>1384</v>
      </c>
      <c r="Q84" s="39" t="s">
        <v>1507</v>
      </c>
      <c r="R84" s="39" t="s">
        <v>1508</v>
      </c>
      <c r="T84" s="39" t="s">
        <v>129</v>
      </c>
      <c r="U84" s="40">
        <f>0.4708*(0.1038+0.8962)</f>
        <v>0.4708</v>
      </c>
      <c r="X84" s="8">
        <f t="shared" si="25"/>
        <v>2</v>
      </c>
      <c r="Y84" s="1">
        <f t="shared" si="26"/>
        <v>0.11462780514504661</v>
      </c>
      <c r="Z84" s="119"/>
      <c r="AA84" s="119"/>
      <c r="AB84" s="119"/>
      <c r="AC84" s="128">
        <v>9.48</v>
      </c>
      <c r="AD84" s="119" t="s">
        <v>1509</v>
      </c>
      <c r="AE84" s="119"/>
      <c r="AF84" s="119"/>
      <c r="AG84" s="128">
        <v>5.6</v>
      </c>
      <c r="AH84" s="119" t="s">
        <v>1509</v>
      </c>
      <c r="AK84" s="128">
        <v>10.44</v>
      </c>
      <c r="AL84" s="119" t="s">
        <v>1509</v>
      </c>
      <c r="AN84" s="8">
        <f t="shared" si="27"/>
        <v>2</v>
      </c>
      <c r="AO84" s="1">
        <f t="shared" si="28"/>
        <v>0.19689987431922912</v>
      </c>
      <c r="AP84" s="119"/>
      <c r="AQ84" s="119"/>
      <c r="AR84" s="119"/>
      <c r="AS84" s="128">
        <v>6.79</v>
      </c>
      <c r="AT84" s="119" t="s">
        <v>1509</v>
      </c>
      <c r="AU84" s="119"/>
      <c r="AV84" s="119"/>
      <c r="AW84" s="128">
        <v>3.41</v>
      </c>
      <c r="AX84" s="119" t="s">
        <v>1509</v>
      </c>
      <c r="BA84" s="128">
        <v>8.4700000000000006</v>
      </c>
      <c r="BB84" s="119" t="s">
        <v>1509</v>
      </c>
      <c r="BD84" s="2">
        <f t="shared" si="70"/>
        <v>5</v>
      </c>
      <c r="BE84" s="8">
        <f t="shared" si="73"/>
        <v>9.48</v>
      </c>
      <c r="BF84" s="119"/>
      <c r="BG84" s="119"/>
      <c r="BH84" s="119"/>
      <c r="BI84" s="39">
        <f t="shared" si="76"/>
        <v>9.48</v>
      </c>
      <c r="BJ84" s="119" t="s">
        <v>1509</v>
      </c>
      <c r="BK84" s="119"/>
      <c r="BL84" s="2">
        <f t="shared" si="71"/>
        <v>5</v>
      </c>
      <c r="BM84" s="8">
        <f t="shared" si="30"/>
        <v>6.79</v>
      </c>
      <c r="BN84" s="119"/>
      <c r="BO84" s="119"/>
      <c r="BP84" s="119"/>
      <c r="BQ84" s="39">
        <f t="shared" si="77"/>
        <v>6.79</v>
      </c>
      <c r="BR84" s="119" t="s">
        <v>1509</v>
      </c>
      <c r="BT84" s="8">
        <f t="shared" si="72"/>
        <v>5</v>
      </c>
      <c r="BU84" s="39" t="s">
        <v>281</v>
      </c>
      <c r="BY84" s="39" t="s">
        <v>281</v>
      </c>
      <c r="BZ84" s="39" t="s">
        <v>234</v>
      </c>
      <c r="CB84" s="39">
        <v>1</v>
      </c>
      <c r="CC84" s="39" t="str">
        <f>CF84</f>
        <v>一级</v>
      </c>
      <c r="CF84" s="39" t="s">
        <v>132</v>
      </c>
      <c r="CG84" s="39" t="s">
        <v>1510</v>
      </c>
      <c r="CH84" s="39" t="s">
        <v>1508</v>
      </c>
      <c r="CJ84" s="39">
        <f>IF(CK84="数据缺失",0,IF(CK84&lt;0,0,IF(CK84&lt;2,2,IF(CK84&lt;=5,1,3))))</f>
        <v>0</v>
      </c>
      <c r="CK84" s="39" t="s">
        <v>264</v>
      </c>
      <c r="CO84" s="39" t="s">
        <v>264</v>
      </c>
      <c r="CS84" s="39">
        <f t="shared" si="78"/>
        <v>9.48</v>
      </c>
      <c r="CT84" s="39" t="s">
        <v>1509</v>
      </c>
      <c r="CV84" s="130">
        <f>IF(CW84="数据缺失",0,IF(CW84&lt;0,0,IF(CW84&lt;100,5,IF(CW84&lt;500,4,IF(CW84&lt;1000,3,IF(CW84&lt;2000,2,1))))))</f>
        <v>5</v>
      </c>
      <c r="CW84" s="8">
        <f t="shared" si="36"/>
        <v>49.4</v>
      </c>
      <c r="CX84" s="119"/>
      <c r="CY84" s="119"/>
      <c r="CZ84" s="119"/>
      <c r="DA84" s="128">
        <v>49.4</v>
      </c>
      <c r="DB84" s="119" t="s">
        <v>1509</v>
      </c>
      <c r="DD84" s="39">
        <f t="shared" si="80"/>
        <v>2</v>
      </c>
      <c r="DE84" s="132">
        <f>DM84/DI84</f>
        <v>7.2754050073637702</v>
      </c>
      <c r="DF84" s="119"/>
      <c r="DG84" s="119"/>
      <c r="DH84" s="119"/>
      <c r="DI84" s="39">
        <f t="shared" si="82"/>
        <v>6.79</v>
      </c>
      <c r="DJ84" s="119" t="s">
        <v>1511</v>
      </c>
      <c r="DK84" s="119"/>
      <c r="DL84" s="119"/>
      <c r="DM84" s="118">
        <f t="shared" si="88"/>
        <v>49.4</v>
      </c>
      <c r="DN84" s="119" t="s">
        <v>1509</v>
      </c>
      <c r="DP84" s="119">
        <v>1</v>
      </c>
      <c r="DQ84" s="119" t="s">
        <v>1512</v>
      </c>
      <c r="DR84" s="119"/>
      <c r="DS84" s="119"/>
      <c r="DT84" s="119"/>
      <c r="DU84" s="131">
        <v>1</v>
      </c>
      <c r="DV84" s="119" t="s">
        <v>1509</v>
      </c>
      <c r="DW84" s="119"/>
      <c r="DX84" s="119"/>
      <c r="DY84" s="131">
        <v>0</v>
      </c>
      <c r="DZ84" s="119" t="s">
        <v>1509</v>
      </c>
      <c r="EA84" s="119"/>
      <c r="EB84" s="119"/>
      <c r="EC84" s="131">
        <v>0</v>
      </c>
      <c r="ED84" s="119" t="s">
        <v>1509</v>
      </c>
      <c r="EE84" s="119"/>
      <c r="EF84" s="119"/>
      <c r="EG84" s="131">
        <v>0</v>
      </c>
      <c r="EH84" s="119" t="s">
        <v>1509</v>
      </c>
      <c r="EJ84" s="2">
        <f t="shared" si="74"/>
        <v>3</v>
      </c>
      <c r="EK84" s="8">
        <f t="shared" si="75"/>
        <v>36.22</v>
      </c>
      <c r="EL84" s="119"/>
      <c r="EM84" s="119"/>
      <c r="EN84" s="119"/>
      <c r="EO84" s="128">
        <v>36.22</v>
      </c>
      <c r="EP84" s="119" t="s">
        <v>1509</v>
      </c>
      <c r="EQ84" s="119"/>
      <c r="ER84" s="8">
        <f t="shared" si="43"/>
        <v>4</v>
      </c>
      <c r="ES84" s="6">
        <f t="shared" si="62"/>
        <v>19.2</v>
      </c>
      <c r="ET84" s="119"/>
      <c r="EU84" s="119"/>
      <c r="EV84" s="119"/>
      <c r="EW84" s="128">
        <v>19.2</v>
      </c>
      <c r="EX84" s="119" t="s">
        <v>1509</v>
      </c>
      <c r="EZ84" s="8">
        <f t="shared" si="44"/>
        <v>4</v>
      </c>
      <c r="FA84" s="8">
        <f t="shared" si="45"/>
        <v>23.6</v>
      </c>
      <c r="FB84" s="119"/>
      <c r="FC84" s="119"/>
      <c r="FD84" s="119"/>
      <c r="FE84" s="128">
        <v>23.6</v>
      </c>
      <c r="FF84" s="119" t="s">
        <v>1509</v>
      </c>
      <c r="FH84" s="119">
        <v>1</v>
      </c>
      <c r="FI84" s="119" t="s">
        <v>1512</v>
      </c>
      <c r="FJ84" s="119"/>
      <c r="FK84" s="119"/>
      <c r="FL84" s="119"/>
      <c r="FM84" s="131">
        <v>1</v>
      </c>
      <c r="FN84" s="119" t="s">
        <v>1509</v>
      </c>
      <c r="FO84" s="119"/>
      <c r="FP84" s="119"/>
      <c r="FQ84" s="131">
        <v>0</v>
      </c>
      <c r="FR84" s="119" t="s">
        <v>1511</v>
      </c>
      <c r="FS84" s="119"/>
      <c r="FT84" s="119"/>
      <c r="FU84" s="131">
        <v>0</v>
      </c>
      <c r="FV84" s="119" t="s">
        <v>1511</v>
      </c>
      <c r="FW84" s="119"/>
      <c r="FX84" s="119"/>
      <c r="FY84" s="131">
        <v>0</v>
      </c>
      <c r="FZ84" s="119" t="s">
        <v>1511</v>
      </c>
      <c r="GB84" s="39">
        <v>3</v>
      </c>
      <c r="GC84" s="39" t="s">
        <v>1513</v>
      </c>
      <c r="GG84" s="39" t="s">
        <v>1513</v>
      </c>
      <c r="GH84" s="119" t="s">
        <v>1514</v>
      </c>
      <c r="GJ84" s="8">
        <f t="shared" si="46"/>
        <v>1</v>
      </c>
      <c r="GK84" s="1">
        <f t="shared" si="47"/>
        <v>0.41239833769584028</v>
      </c>
      <c r="GN84" s="39">
        <f>12.02+2.66</f>
        <v>14.68</v>
      </c>
      <c r="GO84" s="119" t="s">
        <v>1515</v>
      </c>
      <c r="GS84" s="69">
        <v>35.596651727599998</v>
      </c>
      <c r="GT84" s="39" t="s">
        <v>1516</v>
      </c>
      <c r="GV84" s="8">
        <f t="shared" si="48"/>
        <v>1</v>
      </c>
      <c r="GW84" s="1">
        <f t="shared" si="49"/>
        <v>0.18412683100436433</v>
      </c>
      <c r="GX84" s="119"/>
      <c r="GY84" s="119"/>
      <c r="GZ84" s="119"/>
      <c r="HA84" s="119">
        <v>25.84</v>
      </c>
      <c r="HB84" s="119" t="s">
        <v>1511</v>
      </c>
      <c r="HC84" s="119" t="s">
        <v>1517</v>
      </c>
      <c r="HE84" s="69">
        <v>140.33804774160001</v>
      </c>
      <c r="HF84" s="39" t="s">
        <v>221</v>
      </c>
      <c r="HH84" s="39">
        <f t="shared" si="83"/>
        <v>1</v>
      </c>
      <c r="HI84" s="1">
        <f t="shared" si="51"/>
        <v>4.4761636736002176E-2</v>
      </c>
      <c r="HJ84" s="119"/>
      <c r="HK84" s="119"/>
      <c r="HL84" s="119"/>
      <c r="HM84" s="128">
        <v>0.6</v>
      </c>
      <c r="HN84" s="119" t="s">
        <v>1514</v>
      </c>
      <c r="HQ84" s="78">
        <v>13.4043355818</v>
      </c>
      <c r="HR84" s="39" t="s">
        <v>221</v>
      </c>
      <c r="HT84" s="39">
        <f t="shared" si="84"/>
        <v>1</v>
      </c>
      <c r="HU84" s="10">
        <f t="shared" si="53"/>
        <v>0.57233113670848801</v>
      </c>
      <c r="HV84" s="119"/>
      <c r="HW84" s="119"/>
      <c r="HX84" s="119"/>
      <c r="HY84" s="133">
        <v>10.74</v>
      </c>
      <c r="HZ84" s="119" t="s">
        <v>395</v>
      </c>
      <c r="IA84" s="119"/>
      <c r="IB84" s="119"/>
      <c r="IC84" s="128">
        <v>18.765360315300001</v>
      </c>
      <c r="ID84" s="39" t="s">
        <v>221</v>
      </c>
      <c r="IR84" s="42">
        <f t="shared" si="85"/>
        <v>1</v>
      </c>
      <c r="IS84" s="1">
        <f t="shared" si="55"/>
        <v>4.2865659248137806</v>
      </c>
      <c r="IT84" s="119"/>
      <c r="IU84" s="119"/>
      <c r="IV84" s="119"/>
      <c r="IW84" s="128">
        <v>149.69999999999999</v>
      </c>
      <c r="IX84" s="119" t="s">
        <v>1509</v>
      </c>
      <c r="IY84" s="119" t="s">
        <v>1518</v>
      </c>
      <c r="IZ84" s="119"/>
      <c r="JA84" s="132">
        <v>34.9230602365</v>
      </c>
      <c r="JB84" s="39" t="s">
        <v>221</v>
      </c>
      <c r="JD84" s="39">
        <f t="shared" si="86"/>
        <v>3</v>
      </c>
      <c r="JE84" s="43">
        <f t="shared" si="87"/>
        <v>6.5975492079311138E-2</v>
      </c>
      <c r="JF84" s="119"/>
      <c r="JG84" s="119"/>
      <c r="JH84" s="119"/>
      <c r="JI84" s="128">
        <v>11.36</v>
      </c>
      <c r="JJ84" s="119" t="s">
        <v>1509</v>
      </c>
      <c r="JK84" s="119"/>
      <c r="JL84" s="119"/>
      <c r="JM84" s="128">
        <v>3.11</v>
      </c>
      <c r="JN84" s="119" t="s">
        <v>1519</v>
      </c>
      <c r="JO84" s="119"/>
      <c r="JP84" s="119"/>
      <c r="JQ84" s="128">
        <v>59.69</v>
      </c>
      <c r="JR84" s="119" t="s">
        <v>1509</v>
      </c>
      <c r="JS84" s="119"/>
      <c r="JT84" s="119"/>
      <c r="JU84" s="128">
        <v>51.04</v>
      </c>
      <c r="JV84" s="119" t="s">
        <v>1509</v>
      </c>
      <c r="JX84" s="119">
        <v>2</v>
      </c>
      <c r="JY84" s="119" t="s">
        <v>1057</v>
      </c>
      <c r="JZ84" s="119"/>
      <c r="KA84" s="119"/>
      <c r="KB84" s="119">
        <v>24</v>
      </c>
      <c r="KC84" s="119" t="s">
        <v>1057</v>
      </c>
      <c r="KD84" s="39" t="s">
        <v>395</v>
      </c>
      <c r="KF84" s="8">
        <f t="shared" si="58"/>
        <v>1</v>
      </c>
      <c r="KG84" s="1">
        <f t="shared" si="59"/>
        <v>8.7334843491529937E-2</v>
      </c>
      <c r="KH84" s="119"/>
      <c r="KI84" s="119"/>
      <c r="KJ84" s="119"/>
      <c r="KK84" s="128">
        <v>3.05</v>
      </c>
      <c r="KL84" s="119" t="s">
        <v>1520</v>
      </c>
      <c r="KM84" s="119"/>
      <c r="KN84" s="119"/>
      <c r="KO84" s="132">
        <v>34.9230602365</v>
      </c>
      <c r="KP84" s="39" t="s">
        <v>1521</v>
      </c>
    </row>
    <row r="85" spans="2:302" s="39" customFormat="1" ht="15" hidden="1" customHeight="1" x14ac:dyDescent="0.35">
      <c r="B85" s="119" t="s">
        <v>1522</v>
      </c>
      <c r="C85" s="67" t="s">
        <v>1523</v>
      </c>
      <c r="D85" s="39" t="s">
        <v>325</v>
      </c>
      <c r="E85" s="67" t="s">
        <v>861</v>
      </c>
      <c r="F85" s="119" t="s">
        <v>1524</v>
      </c>
      <c r="G85" s="130" t="s">
        <v>249</v>
      </c>
      <c r="H85" s="40">
        <f>(16.81+5.83+2.39)/35.3335373623</f>
        <v>0.70839213587220351</v>
      </c>
      <c r="L85" s="42">
        <v>4</v>
      </c>
      <c r="M85" s="39" t="s">
        <v>1506</v>
      </c>
      <c r="P85" s="39" t="s">
        <v>1384</v>
      </c>
      <c r="Q85" s="39" t="s">
        <v>1507</v>
      </c>
      <c r="R85" s="39" t="s">
        <v>1525</v>
      </c>
      <c r="T85" s="39" t="s">
        <v>1526</v>
      </c>
      <c r="U85" s="40">
        <f>0.4708*(0.1038+0.8962)</f>
        <v>0.4708</v>
      </c>
      <c r="X85" s="8">
        <f t="shared" si="25"/>
        <v>4</v>
      </c>
      <c r="Y85" s="1">
        <f t="shared" si="26"/>
        <v>-4.1324575807334341E-2</v>
      </c>
      <c r="AC85" s="39">
        <f>3.88+1.72</f>
        <v>5.6</v>
      </c>
      <c r="AD85" s="39" t="s">
        <v>1527</v>
      </c>
      <c r="AG85" s="39">
        <f>5.95+4.49</f>
        <v>10.440000000000001</v>
      </c>
      <c r="AH85" s="39" t="s">
        <v>713</v>
      </c>
      <c r="AK85" s="39">
        <f>4.31+3.25</f>
        <v>7.56</v>
      </c>
      <c r="AL85" s="39" t="s">
        <v>713</v>
      </c>
      <c r="AN85" s="8">
        <f t="shared" si="27"/>
        <v>5</v>
      </c>
      <c r="AO85" s="1">
        <f t="shared" si="28"/>
        <v>-0.12433824137645805</v>
      </c>
      <c r="AS85" s="39">
        <f>1.85+1.56</f>
        <v>3.41</v>
      </c>
      <c r="AT85" s="39" t="s">
        <v>713</v>
      </c>
      <c r="AW85" s="39">
        <f>4.05+4.42</f>
        <v>8.4699999999999989</v>
      </c>
      <c r="AX85" s="39" t="s">
        <v>1527</v>
      </c>
      <c r="BA85" s="39">
        <f>3.22+3.06</f>
        <v>6.28</v>
      </c>
      <c r="BB85" s="39" t="s">
        <v>1527</v>
      </c>
      <c r="BD85" s="2">
        <f t="shared" si="70"/>
        <v>5</v>
      </c>
      <c r="BE85" s="8">
        <f t="shared" si="73"/>
        <v>5.6</v>
      </c>
      <c r="BI85" s="39">
        <f t="shared" si="76"/>
        <v>5.6</v>
      </c>
      <c r="BJ85" s="39" t="s">
        <v>713</v>
      </c>
      <c r="BL85" s="2">
        <f t="shared" si="71"/>
        <v>5</v>
      </c>
      <c r="BM85" s="8">
        <f t="shared" si="30"/>
        <v>3.41</v>
      </c>
      <c r="BQ85" s="39">
        <f t="shared" si="77"/>
        <v>3.41</v>
      </c>
      <c r="BR85" s="39" t="s">
        <v>713</v>
      </c>
      <c r="BT85" s="8">
        <f t="shared" si="72"/>
        <v>5</v>
      </c>
      <c r="BU85" s="119" t="s">
        <v>1528</v>
      </c>
      <c r="BV85" s="119"/>
      <c r="BW85" s="119"/>
      <c r="BX85" s="119"/>
      <c r="BY85" s="119" t="s">
        <v>1528</v>
      </c>
      <c r="BZ85" s="134" t="s">
        <v>1484</v>
      </c>
      <c r="CB85" s="107">
        <v>1</v>
      </c>
      <c r="CC85" s="107" t="str">
        <f>CF85</f>
        <v>一级</v>
      </c>
      <c r="CD85" s="107"/>
      <c r="CE85" s="107"/>
      <c r="CF85" s="107" t="s">
        <v>132</v>
      </c>
      <c r="CG85" s="107" t="s">
        <v>2300</v>
      </c>
      <c r="CH85" s="107" t="s">
        <v>2301</v>
      </c>
      <c r="CJ85" s="39">
        <f>IF(CK85="数据缺失",0,IF(CK85&lt;0,0,IF(CK85&lt;2,2,IF(CK85&lt;=5,1,3))))</f>
        <v>0</v>
      </c>
      <c r="CK85" s="39" t="s">
        <v>264</v>
      </c>
      <c r="CO85" s="39" t="s">
        <v>1271</v>
      </c>
      <c r="CS85" s="39">
        <f t="shared" si="78"/>
        <v>5.6</v>
      </c>
      <c r="CT85" s="39" t="s">
        <v>1527</v>
      </c>
      <c r="CV85" s="130">
        <f>IF(CW85="数据缺失",0,IF(CW85&lt;0,0,IF(CW85&lt;100,5,IF(CW85&lt;500,4,IF(CW85&lt;1000,3,IF(CW85&lt;2000,2,1))))))</f>
        <v>5</v>
      </c>
      <c r="CW85" s="8">
        <f t="shared" si="36"/>
        <v>64.8</v>
      </c>
      <c r="CX85" s="119"/>
      <c r="CY85" s="119"/>
      <c r="CZ85" s="119"/>
      <c r="DA85" s="128">
        <v>64.8</v>
      </c>
      <c r="DB85" s="119" t="s">
        <v>713</v>
      </c>
      <c r="DD85" s="39">
        <f t="shared" si="80"/>
        <v>1</v>
      </c>
      <c r="DE85" s="69">
        <v>3.41</v>
      </c>
      <c r="DI85" s="39">
        <f t="shared" si="82"/>
        <v>3.41</v>
      </c>
      <c r="DJ85" s="39" t="s">
        <v>1527</v>
      </c>
      <c r="DM85" s="118">
        <f t="shared" si="88"/>
        <v>64.8</v>
      </c>
      <c r="DN85" s="119" t="s">
        <v>713</v>
      </c>
      <c r="DP85" s="119">
        <v>1</v>
      </c>
      <c r="DQ85" s="119" t="s">
        <v>1512</v>
      </c>
      <c r="DR85" s="119"/>
      <c r="DS85" s="119"/>
      <c r="DT85" s="119"/>
      <c r="DU85" s="131">
        <v>1</v>
      </c>
      <c r="DV85" s="119" t="s">
        <v>1527</v>
      </c>
      <c r="DW85" s="119"/>
      <c r="DX85" s="119"/>
      <c r="DY85" s="131">
        <v>0</v>
      </c>
      <c r="DZ85" s="119" t="s">
        <v>713</v>
      </c>
      <c r="EA85" s="119"/>
      <c r="EB85" s="119"/>
      <c r="EC85" s="131">
        <v>0</v>
      </c>
      <c r="ED85" s="119" t="s">
        <v>713</v>
      </c>
      <c r="EE85" s="119"/>
      <c r="EF85" s="119"/>
      <c r="EG85" s="131">
        <v>0</v>
      </c>
      <c r="EH85" s="119" t="s">
        <v>1527</v>
      </c>
      <c r="EJ85" s="2">
        <f t="shared" si="74"/>
        <v>4</v>
      </c>
      <c r="EK85" s="8">
        <f t="shared" si="75"/>
        <v>17.7</v>
      </c>
      <c r="EO85" s="39">
        <v>17.7</v>
      </c>
      <c r="EP85" s="39" t="s">
        <v>1527</v>
      </c>
      <c r="ER85" s="8">
        <f t="shared" si="43"/>
        <v>5</v>
      </c>
      <c r="ES85" s="6">
        <f t="shared" si="62"/>
        <v>0</v>
      </c>
      <c r="EW85" s="39">
        <v>0</v>
      </c>
      <c r="EX85" s="39" t="s">
        <v>1527</v>
      </c>
      <c r="EZ85" s="8">
        <f t="shared" si="44"/>
        <v>4</v>
      </c>
      <c r="FA85" s="8">
        <f t="shared" si="45"/>
        <v>25.5</v>
      </c>
      <c r="FE85" s="39">
        <v>25.5</v>
      </c>
      <c r="FF85" s="39" t="s">
        <v>713</v>
      </c>
      <c r="FH85" s="119">
        <v>1</v>
      </c>
      <c r="FI85" s="119" t="s">
        <v>1512</v>
      </c>
      <c r="FJ85" s="119"/>
      <c r="FK85" s="119"/>
      <c r="FL85" s="119"/>
      <c r="FM85" s="131">
        <v>1</v>
      </c>
      <c r="FN85" s="119" t="s">
        <v>713</v>
      </c>
      <c r="FO85" s="119"/>
      <c r="FP85" s="119"/>
      <c r="FQ85" s="131">
        <v>0</v>
      </c>
      <c r="FR85" s="119" t="s">
        <v>1527</v>
      </c>
      <c r="FS85" s="119"/>
      <c r="FT85" s="119"/>
      <c r="FU85" s="131">
        <v>0</v>
      </c>
      <c r="FV85" s="119" t="s">
        <v>1527</v>
      </c>
      <c r="FW85" s="119"/>
      <c r="FX85" s="119"/>
      <c r="FY85" s="131">
        <v>0</v>
      </c>
      <c r="FZ85" s="119" t="s">
        <v>713</v>
      </c>
      <c r="GB85" s="39">
        <v>3</v>
      </c>
      <c r="GC85" s="39" t="s">
        <v>1529</v>
      </c>
      <c r="GE85" s="40"/>
      <c r="GG85" s="39" t="s">
        <v>1530</v>
      </c>
      <c r="GH85" s="39" t="s">
        <v>681</v>
      </c>
      <c r="GJ85" s="8">
        <f t="shared" si="46"/>
        <v>1</v>
      </c>
      <c r="GK85" s="1">
        <f t="shared" si="47"/>
        <v>0.2329231833091584</v>
      </c>
      <c r="GL85" s="119"/>
      <c r="GN85" s="39">
        <f>5.83+2.4</f>
        <v>8.23</v>
      </c>
      <c r="GO85" s="119" t="s">
        <v>1531</v>
      </c>
      <c r="GP85" s="39" t="s">
        <v>1532</v>
      </c>
      <c r="GS85" s="69">
        <v>35.3335373623</v>
      </c>
      <c r="GT85" s="39" t="s">
        <v>1533</v>
      </c>
      <c r="GV85" s="8">
        <f t="shared" si="48"/>
        <v>1</v>
      </c>
      <c r="GW85" s="1">
        <f t="shared" si="49"/>
        <v>0.13827115989275124</v>
      </c>
      <c r="GX85" s="119"/>
      <c r="GY85" s="119"/>
      <c r="GZ85" s="119"/>
      <c r="HA85" s="119">
        <v>18.22</v>
      </c>
      <c r="HB85" s="119" t="s">
        <v>1532</v>
      </c>
      <c r="HC85" s="119"/>
      <c r="HD85" s="119"/>
      <c r="HE85" s="132">
        <v>131.77006697659999</v>
      </c>
      <c r="HF85" s="39" t="s">
        <v>1534</v>
      </c>
      <c r="HH85" s="39">
        <f t="shared" si="83"/>
        <v>1</v>
      </c>
      <c r="HI85" s="1">
        <f t="shared" si="51"/>
        <v>3.90918629893513E-2</v>
      </c>
      <c r="HJ85" s="119"/>
      <c r="HK85" s="119"/>
      <c r="HL85" s="119"/>
      <c r="HM85" s="128">
        <v>0.6</v>
      </c>
      <c r="HN85" s="119" t="s">
        <v>1532</v>
      </c>
      <c r="HO85" s="119"/>
      <c r="HP85" s="119"/>
      <c r="HQ85" s="128">
        <v>15.3484626753</v>
      </c>
      <c r="HR85" s="39" t="s">
        <v>1096</v>
      </c>
      <c r="HT85" s="39">
        <f t="shared" si="84"/>
        <v>1</v>
      </c>
      <c r="HU85" s="10">
        <f t="shared" si="53"/>
        <v>0.45927635936202704</v>
      </c>
      <c r="HV85" s="119"/>
      <c r="HW85" s="119"/>
      <c r="HX85" s="119"/>
      <c r="HY85" s="133">
        <v>7.24</v>
      </c>
      <c r="HZ85" s="119" t="s">
        <v>1532</v>
      </c>
      <c r="IA85" s="119"/>
      <c r="IB85" s="119"/>
      <c r="IC85" s="128">
        <v>15.763929173399999</v>
      </c>
      <c r="ID85" s="39" t="s">
        <v>1533</v>
      </c>
      <c r="IR85" s="42">
        <f t="shared" si="85"/>
        <v>2</v>
      </c>
      <c r="IS85" s="1">
        <f t="shared" si="55"/>
        <v>2.6537651315443109</v>
      </c>
      <c r="IT85" s="119"/>
      <c r="IU85" s="119"/>
      <c r="IV85" s="119"/>
      <c r="IW85" s="128">
        <v>85</v>
      </c>
      <c r="IX85" s="119" t="s">
        <v>1535</v>
      </c>
      <c r="IY85" s="119" t="s">
        <v>1410</v>
      </c>
      <c r="IZ85" s="119"/>
      <c r="JA85" s="132">
        <v>32.029963386599995</v>
      </c>
      <c r="JB85" s="39" t="s">
        <v>1096</v>
      </c>
      <c r="JD85" s="39">
        <f t="shared" si="86"/>
        <v>3</v>
      </c>
      <c r="JE85" s="43">
        <f t="shared" si="87"/>
        <v>6.5951567357718135E-2</v>
      </c>
      <c r="JI85" s="83">
        <v>9.16</v>
      </c>
      <c r="JJ85" s="39" t="s">
        <v>1527</v>
      </c>
      <c r="JM85" s="39">
        <v>2.92</v>
      </c>
      <c r="JN85" s="39" t="s">
        <v>1527</v>
      </c>
      <c r="JQ85" s="128">
        <v>51.04</v>
      </c>
      <c r="JR85" s="39" t="s">
        <v>713</v>
      </c>
      <c r="JU85" s="128">
        <v>44.09</v>
      </c>
      <c r="JV85" s="39" t="s">
        <v>713</v>
      </c>
      <c r="JX85" s="39">
        <v>2</v>
      </c>
      <c r="JY85" s="39" t="s">
        <v>1057</v>
      </c>
      <c r="KB85" s="39">
        <v>24</v>
      </c>
      <c r="KC85" s="39" t="s">
        <v>1536</v>
      </c>
      <c r="KD85" s="39" t="s">
        <v>1532</v>
      </c>
      <c r="KF85" s="8">
        <f t="shared" si="58"/>
        <v>1</v>
      </c>
      <c r="KG85" s="1">
        <f t="shared" si="59"/>
        <v>0.181392651932617</v>
      </c>
      <c r="KK85" s="39">
        <v>5.81</v>
      </c>
      <c r="KL85" s="39" t="s">
        <v>1532</v>
      </c>
      <c r="KO85" s="69">
        <v>32.029963386599995</v>
      </c>
      <c r="KP85" s="39" t="s">
        <v>1534</v>
      </c>
    </row>
    <row r="86" spans="2:302" s="39" customFormat="1" ht="15" customHeight="1" x14ac:dyDescent="0.35">
      <c r="B86" s="36" t="s">
        <v>1537</v>
      </c>
      <c r="C86" s="36" t="s">
        <v>1412</v>
      </c>
      <c r="D86" s="39" t="s">
        <v>171</v>
      </c>
      <c r="E86" s="67" t="s">
        <v>861</v>
      </c>
      <c r="F86" s="36" t="s">
        <v>1538</v>
      </c>
      <c r="G86" s="3" t="s">
        <v>199</v>
      </c>
      <c r="H86" s="40">
        <v>0.67400000000000004</v>
      </c>
      <c r="L86" s="138">
        <v>3</v>
      </c>
      <c r="M86" s="36" t="s">
        <v>1539</v>
      </c>
      <c r="N86" s="36"/>
      <c r="O86" s="36"/>
      <c r="P86" s="36" t="s">
        <v>1540</v>
      </c>
      <c r="Q86" s="36" t="s">
        <v>1541</v>
      </c>
      <c r="R86" s="36" t="s">
        <v>1542</v>
      </c>
      <c r="S86" s="36"/>
      <c r="T86" s="36" t="s">
        <v>709</v>
      </c>
      <c r="U86" s="86">
        <v>1</v>
      </c>
      <c r="X86" s="8">
        <f t="shared" si="25"/>
        <v>1</v>
      </c>
      <c r="Y86" s="1">
        <f t="shared" si="26"/>
        <v>0.83546813842234957</v>
      </c>
      <c r="AC86" s="39">
        <v>7.26</v>
      </c>
      <c r="AD86" s="39" t="s">
        <v>1542</v>
      </c>
      <c r="AG86" s="39">
        <v>4.43</v>
      </c>
      <c r="AH86" s="39" t="s">
        <v>1543</v>
      </c>
      <c r="AK86" s="39">
        <v>2.1800000000000002</v>
      </c>
      <c r="AL86" s="39" t="s">
        <v>1542</v>
      </c>
      <c r="AN86" s="8">
        <f t="shared" si="27"/>
        <v>0</v>
      </c>
      <c r="AO86" s="36" t="s">
        <v>264</v>
      </c>
      <c r="AP86" s="36"/>
      <c r="AQ86" s="36"/>
      <c r="AR86" s="36"/>
      <c r="AS86" s="36" t="s">
        <v>264</v>
      </c>
      <c r="AT86" s="36"/>
      <c r="AU86" s="36"/>
      <c r="AV86" s="36"/>
      <c r="AW86" s="36" t="s">
        <v>264</v>
      </c>
      <c r="AX86" s="36"/>
      <c r="AY86" s="36"/>
      <c r="AZ86" s="36"/>
      <c r="BA86" s="36" t="s">
        <v>1544</v>
      </c>
      <c r="BD86" s="2">
        <f t="shared" si="70"/>
        <v>5</v>
      </c>
      <c r="BE86" s="8">
        <f t="shared" si="73"/>
        <v>7.26</v>
      </c>
      <c r="BI86" s="39">
        <f t="shared" si="76"/>
        <v>7.26</v>
      </c>
      <c r="BJ86" s="39" t="s">
        <v>1543</v>
      </c>
      <c r="BL86" s="2">
        <f t="shared" si="71"/>
        <v>0</v>
      </c>
      <c r="BM86" s="8" t="str">
        <f t="shared" si="30"/>
        <v>数据缺失</v>
      </c>
      <c r="BN86" s="36"/>
      <c r="BO86" s="36"/>
      <c r="BP86" s="36"/>
      <c r="BQ86" s="39" t="str">
        <f t="shared" si="77"/>
        <v>数据缺失</v>
      </c>
      <c r="BT86" s="8">
        <f t="shared" si="72"/>
        <v>3</v>
      </c>
      <c r="BU86" s="39">
        <v>251</v>
      </c>
      <c r="BY86" s="39">
        <v>251</v>
      </c>
      <c r="BZ86" s="39" t="s">
        <v>398</v>
      </c>
      <c r="CA86" s="39" t="s">
        <v>1545</v>
      </c>
      <c r="CB86" s="36">
        <v>0</v>
      </c>
      <c r="CC86" s="36" t="str">
        <f>CF86</f>
        <v>数据缺失</v>
      </c>
      <c r="CD86" s="36"/>
      <c r="CE86" s="36"/>
      <c r="CF86" s="36" t="s">
        <v>1271</v>
      </c>
      <c r="CG86" s="36" t="s">
        <v>1271</v>
      </c>
      <c r="CJ86" s="36">
        <f t="shared" ref="CJ86:CJ105" si="91">IF(CK86="数据缺失",0,IF(CK86&lt;0,0,IF(CK86&lt;2,2,IF(CK86&lt;=5,1,3))))</f>
        <v>0</v>
      </c>
      <c r="CK86" s="39" t="s">
        <v>264</v>
      </c>
      <c r="CL86" s="36"/>
      <c r="CM86" s="36"/>
      <c r="CN86" s="36"/>
      <c r="CO86" s="36" t="s">
        <v>1271</v>
      </c>
      <c r="CP86" s="36"/>
      <c r="CS86" s="39">
        <f t="shared" si="78"/>
        <v>7.26</v>
      </c>
      <c r="CT86" s="39" t="s">
        <v>1543</v>
      </c>
      <c r="CV86" s="36">
        <f t="shared" ref="CV86:CV105" si="92">IF(CW86="数据缺失",0,IF(CW86&lt;0,0,IF(CW86&lt;100,5,IF(CW86&lt;500,4,IF(CW86&lt;1000,3,IF(CW86&lt;2000,2,1))))))</f>
        <v>5</v>
      </c>
      <c r="CW86" s="8">
        <f t="shared" si="36"/>
        <v>12.4</v>
      </c>
      <c r="CX86" s="36"/>
      <c r="CY86" s="36"/>
      <c r="CZ86" s="36"/>
      <c r="DA86" s="36">
        <v>12.4</v>
      </c>
      <c r="DB86" s="36" t="s">
        <v>1543</v>
      </c>
      <c r="DD86" s="39">
        <f t="shared" si="80"/>
        <v>0</v>
      </c>
      <c r="DE86" s="38" t="s">
        <v>1271</v>
      </c>
      <c r="DF86" s="36"/>
      <c r="DG86" s="36"/>
      <c r="DH86" s="36"/>
      <c r="DI86" s="39" t="str">
        <f t="shared" si="82"/>
        <v>数据缺失</v>
      </c>
      <c r="DJ86" s="36"/>
      <c r="DK86" s="36"/>
      <c r="DL86" s="36"/>
      <c r="DM86" s="118">
        <f t="shared" si="88"/>
        <v>12.4</v>
      </c>
      <c r="DN86" s="35" t="str">
        <f>DB86</f>
        <v>评级20150619</v>
      </c>
      <c r="DP86" s="39">
        <v>1</v>
      </c>
      <c r="DQ86" s="39" t="s">
        <v>1546</v>
      </c>
      <c r="DR86" s="39" t="s">
        <v>1543</v>
      </c>
      <c r="DU86" s="40" t="s">
        <v>1271</v>
      </c>
      <c r="DY86" s="40" t="s">
        <v>1271</v>
      </c>
      <c r="EC86" s="40" t="s">
        <v>1271</v>
      </c>
      <c r="EG86" s="40" t="s">
        <v>264</v>
      </c>
      <c r="EJ86" s="2">
        <f t="shared" si="74"/>
        <v>0</v>
      </c>
      <c r="EK86" s="8" t="str">
        <f t="shared" si="75"/>
        <v>数据缺失</v>
      </c>
      <c r="EL86" s="36"/>
      <c r="EM86" s="36"/>
      <c r="EN86" s="36"/>
      <c r="EO86" s="36" t="s">
        <v>1271</v>
      </c>
      <c r="EP86" s="36"/>
      <c r="EQ86" s="36"/>
      <c r="ER86" s="8">
        <f t="shared" si="43"/>
        <v>0</v>
      </c>
      <c r="ES86" s="6" t="str">
        <f t="shared" si="62"/>
        <v>数据缺失</v>
      </c>
      <c r="ET86" s="36"/>
      <c r="EU86" s="36"/>
      <c r="EV86" s="36"/>
      <c r="EW86" s="36" t="s">
        <v>1271</v>
      </c>
      <c r="EZ86" s="8">
        <f t="shared" si="44"/>
        <v>0</v>
      </c>
      <c r="FA86" s="8" t="str">
        <f t="shared" si="45"/>
        <v>数据缺失</v>
      </c>
      <c r="FB86" s="36"/>
      <c r="FC86" s="36"/>
      <c r="FD86" s="36"/>
      <c r="FE86" s="36" t="s">
        <v>1271</v>
      </c>
      <c r="FH86" s="39">
        <v>1</v>
      </c>
      <c r="FI86" s="39" t="s">
        <v>1547</v>
      </c>
      <c r="FJ86" s="39" t="s">
        <v>1543</v>
      </c>
      <c r="FM86" s="36" t="s">
        <v>1271</v>
      </c>
      <c r="FN86" s="36"/>
      <c r="FO86" s="36"/>
      <c r="FP86" s="36"/>
      <c r="FQ86" s="36" t="s">
        <v>264</v>
      </c>
      <c r="FR86" s="36"/>
      <c r="FS86" s="36"/>
      <c r="FT86" s="36"/>
      <c r="FU86" s="36" t="s">
        <v>1271</v>
      </c>
      <c r="FV86" s="36"/>
      <c r="FW86" s="36"/>
      <c r="FX86" s="36"/>
      <c r="FY86" s="36" t="s">
        <v>1271</v>
      </c>
      <c r="GB86" s="39">
        <v>3</v>
      </c>
      <c r="GC86" s="39" t="s">
        <v>1548</v>
      </c>
      <c r="GG86" s="39" t="s">
        <v>1548</v>
      </c>
      <c r="GH86" s="39" t="s">
        <v>1549</v>
      </c>
      <c r="GJ86" s="8">
        <f t="shared" si="46"/>
        <v>1</v>
      </c>
      <c r="GK86" s="1">
        <f t="shared" si="47"/>
        <v>0.31196528467782164</v>
      </c>
      <c r="GN86" s="39">
        <v>10.85</v>
      </c>
      <c r="GO86" s="39" t="s">
        <v>1550</v>
      </c>
      <c r="GP86" s="39" t="s">
        <v>1549</v>
      </c>
      <c r="GS86" s="69">
        <v>34.779510839499999</v>
      </c>
      <c r="GT86" s="39" t="s">
        <v>1280</v>
      </c>
      <c r="GV86" s="8">
        <f t="shared" si="48"/>
        <v>1</v>
      </c>
      <c r="GW86" s="1">
        <f t="shared" si="49"/>
        <v>9.3632661095611289E-2</v>
      </c>
      <c r="HA86" s="39">
        <v>18.101819290000002</v>
      </c>
      <c r="HB86" s="39" t="s">
        <v>1551</v>
      </c>
      <c r="HE86" s="69">
        <v>193.32804470349998</v>
      </c>
      <c r="HF86" s="39" t="s">
        <v>1280</v>
      </c>
      <c r="HH86" s="39">
        <f t="shared" si="83"/>
        <v>1</v>
      </c>
      <c r="HI86" s="1">
        <f t="shared" si="51"/>
        <v>1.1668184099663229E-2</v>
      </c>
      <c r="HM86" s="69">
        <v>0.11935348</v>
      </c>
      <c r="HN86" s="39" t="s">
        <v>395</v>
      </c>
      <c r="HQ86" s="78">
        <v>10.228967848</v>
      </c>
      <c r="HR86" s="39" t="s">
        <v>221</v>
      </c>
      <c r="HT86" s="39">
        <f t="shared" si="84"/>
        <v>1</v>
      </c>
      <c r="HU86" s="10">
        <f t="shared" si="53"/>
        <v>0.5529071684209278</v>
      </c>
      <c r="HY86" s="107">
        <f>16.03-5.75</f>
        <v>10.280000000000001</v>
      </c>
      <c r="HZ86" s="36" t="s">
        <v>395</v>
      </c>
      <c r="IC86" s="180">
        <v>18.592632881500002</v>
      </c>
      <c r="ID86" s="107" t="s">
        <v>144</v>
      </c>
      <c r="IR86" s="42">
        <f t="shared" si="85"/>
        <v>0</v>
      </c>
      <c r="IS86" s="39" t="s">
        <v>1450</v>
      </c>
      <c r="IW86" s="39" t="s">
        <v>264</v>
      </c>
      <c r="JA86" s="69">
        <v>79.529311031600002</v>
      </c>
      <c r="JB86" s="39" t="s">
        <v>221</v>
      </c>
      <c r="JD86" s="39">
        <f t="shared" si="86"/>
        <v>2</v>
      </c>
      <c r="JE86" s="43">
        <f t="shared" si="87"/>
        <v>5.6722912369065515E-2</v>
      </c>
      <c r="JF86" s="36"/>
      <c r="JG86" s="36"/>
      <c r="JH86" s="36"/>
      <c r="JI86" s="36">
        <v>10.46</v>
      </c>
      <c r="JJ86" s="36" t="s">
        <v>1542</v>
      </c>
      <c r="JK86" s="36"/>
      <c r="JL86" s="36"/>
      <c r="JM86" s="36">
        <v>3.48</v>
      </c>
      <c r="JN86" s="36" t="s">
        <v>1542</v>
      </c>
      <c r="JO86" s="36"/>
      <c r="JP86" s="36"/>
      <c r="JQ86" s="36">
        <v>57.88</v>
      </c>
      <c r="JR86" s="36" t="s">
        <v>1542</v>
      </c>
      <c r="JS86" s="36"/>
      <c r="JT86" s="36"/>
      <c r="JU86" s="36">
        <v>48.1</v>
      </c>
      <c r="JV86" s="36" t="s">
        <v>1542</v>
      </c>
      <c r="JX86" s="36">
        <v>1</v>
      </c>
      <c r="JY86" s="36" t="s">
        <v>1552</v>
      </c>
      <c r="JZ86" s="36"/>
      <c r="KA86" s="36"/>
      <c r="KB86" s="36">
        <v>2</v>
      </c>
      <c r="KC86" s="36" t="str">
        <f>JY86</f>
        <v>德勤华永会计师事务所（特殊普通合伙）</v>
      </c>
      <c r="KD86" s="36" t="s">
        <v>1551</v>
      </c>
      <c r="KF86" s="8">
        <f t="shared" si="58"/>
        <v>1</v>
      </c>
      <c r="KG86" s="1">
        <f t="shared" si="59"/>
        <v>5.3313676995331793E-2</v>
      </c>
      <c r="KK86" s="39">
        <v>4.24</v>
      </c>
      <c r="KL86" s="39" t="s">
        <v>395</v>
      </c>
      <c r="KO86" s="69">
        <v>79.529311031600002</v>
      </c>
      <c r="KP86" s="39" t="s">
        <v>221</v>
      </c>
    </row>
    <row r="87" spans="2:302" s="39" customFormat="1" ht="15" customHeight="1" x14ac:dyDescent="0.35">
      <c r="B87" s="36" t="s">
        <v>1553</v>
      </c>
      <c r="C87" s="36" t="s">
        <v>1554</v>
      </c>
      <c r="D87" s="39" t="s">
        <v>1555</v>
      </c>
      <c r="E87" s="67" t="s">
        <v>1556</v>
      </c>
      <c r="F87" s="36" t="s">
        <v>1557</v>
      </c>
      <c r="G87" s="3" t="s">
        <v>174</v>
      </c>
      <c r="H87" s="44">
        <v>0.92179999999999995</v>
      </c>
      <c r="L87" s="138">
        <v>4</v>
      </c>
      <c r="M87" s="36" t="s">
        <v>1558</v>
      </c>
      <c r="N87" s="36"/>
      <c r="O87" s="36"/>
      <c r="P87" s="36" t="s">
        <v>1559</v>
      </c>
      <c r="Q87" s="36" t="s">
        <v>1541</v>
      </c>
      <c r="R87" s="36" t="s">
        <v>1274</v>
      </c>
      <c r="S87" s="36"/>
      <c r="T87" s="36" t="s">
        <v>129</v>
      </c>
      <c r="U87" s="41">
        <v>0.49370000000000003</v>
      </c>
      <c r="X87" s="8">
        <f t="shared" si="25"/>
        <v>4</v>
      </c>
      <c r="Y87" s="1">
        <f t="shared" si="26"/>
        <v>-3.7336218743975746E-2</v>
      </c>
      <c r="AC87" s="39">
        <v>2.08</v>
      </c>
      <c r="AD87" s="39" t="s">
        <v>1560</v>
      </c>
      <c r="AG87" s="39">
        <v>7.26</v>
      </c>
      <c r="AH87" s="39" t="s">
        <v>1560</v>
      </c>
      <c r="AK87" s="39">
        <v>4.43</v>
      </c>
      <c r="AL87" s="39" t="s">
        <v>1560</v>
      </c>
      <c r="AN87" s="8">
        <f t="shared" si="27"/>
        <v>0</v>
      </c>
      <c r="AO87" s="36" t="s">
        <v>264</v>
      </c>
      <c r="AP87" s="36"/>
      <c r="AQ87" s="36"/>
      <c r="AR87" s="36"/>
      <c r="AS87" s="36" t="s">
        <v>1298</v>
      </c>
      <c r="AT87" s="36"/>
      <c r="AU87" s="36"/>
      <c r="AV87" s="36"/>
      <c r="AW87" s="36" t="s">
        <v>1298</v>
      </c>
      <c r="AX87" s="36"/>
      <c r="AY87" s="36"/>
      <c r="AZ87" s="36"/>
      <c r="BA87" s="36" t="s">
        <v>1298</v>
      </c>
      <c r="BD87" s="2">
        <f t="shared" si="70"/>
        <v>5</v>
      </c>
      <c r="BE87" s="8">
        <f t="shared" si="73"/>
        <v>2.08</v>
      </c>
      <c r="BI87" s="39">
        <f t="shared" si="76"/>
        <v>2.08</v>
      </c>
      <c r="BJ87" s="39" t="s">
        <v>1560</v>
      </c>
      <c r="BL87" s="2">
        <f t="shared" si="71"/>
        <v>0</v>
      </c>
      <c r="BM87" s="8" t="str">
        <f t="shared" si="30"/>
        <v>数据缺失</v>
      </c>
      <c r="BN87" s="36"/>
      <c r="BO87" s="36"/>
      <c r="BP87" s="36"/>
      <c r="BQ87" s="39" t="str">
        <f t="shared" si="77"/>
        <v>数据缺失</v>
      </c>
      <c r="BT87" s="8">
        <f t="shared" si="72"/>
        <v>4</v>
      </c>
      <c r="BU87" s="39">
        <v>318</v>
      </c>
      <c r="BY87" s="39">
        <v>318</v>
      </c>
      <c r="BZ87" s="39" t="s">
        <v>234</v>
      </c>
      <c r="CB87" s="160">
        <v>4</v>
      </c>
      <c r="CC87" s="160" t="s">
        <v>2820</v>
      </c>
      <c r="CD87" s="36" t="s">
        <v>2821</v>
      </c>
      <c r="CE87" s="36"/>
      <c r="CF87" s="160" t="s">
        <v>2822</v>
      </c>
      <c r="CH87" s="107" t="s">
        <v>2823</v>
      </c>
      <c r="CJ87" s="39">
        <f t="shared" si="91"/>
        <v>0</v>
      </c>
      <c r="CK87" s="39" t="s">
        <v>264</v>
      </c>
      <c r="CO87" s="39" t="s">
        <v>264</v>
      </c>
      <c r="CS87" s="39">
        <f t="shared" si="78"/>
        <v>2.08</v>
      </c>
      <c r="CT87" s="39" t="s">
        <v>1561</v>
      </c>
      <c r="CV87" s="36">
        <f t="shared" si="92"/>
        <v>5</v>
      </c>
      <c r="CW87" s="8">
        <f t="shared" si="36"/>
        <v>12.4</v>
      </c>
      <c r="CX87" s="36"/>
      <c r="CY87" s="36"/>
      <c r="CZ87" s="36"/>
      <c r="DA87" s="36">
        <v>12.4</v>
      </c>
      <c r="DB87" s="36" t="s">
        <v>1561</v>
      </c>
      <c r="DD87" s="39">
        <f t="shared" si="80"/>
        <v>0</v>
      </c>
      <c r="DE87" s="38" t="s">
        <v>264</v>
      </c>
      <c r="DF87" s="36"/>
      <c r="DG87" s="36"/>
      <c r="DH87" s="36"/>
      <c r="DI87" s="39" t="str">
        <f t="shared" si="82"/>
        <v>数据缺失</v>
      </c>
      <c r="DJ87" s="36"/>
      <c r="DK87" s="36"/>
      <c r="DL87" s="36"/>
      <c r="DM87" s="118">
        <f t="shared" si="88"/>
        <v>12.4</v>
      </c>
      <c r="DN87" s="35" t="s">
        <v>1560</v>
      </c>
      <c r="DP87" s="39">
        <v>1</v>
      </c>
      <c r="DQ87" s="39" t="s">
        <v>1546</v>
      </c>
      <c r="DR87" s="35" t="s">
        <v>1561</v>
      </c>
      <c r="DU87" s="40" t="s">
        <v>264</v>
      </c>
      <c r="DY87" s="40" t="s">
        <v>264</v>
      </c>
      <c r="EC87" s="40" t="s">
        <v>1298</v>
      </c>
      <c r="EG87" s="40" t="s">
        <v>1562</v>
      </c>
      <c r="EJ87" s="2">
        <f t="shared" si="74"/>
        <v>0</v>
      </c>
      <c r="EK87" s="8" t="str">
        <f t="shared" si="75"/>
        <v>数据缺失</v>
      </c>
      <c r="EL87" s="36"/>
      <c r="EM87" s="36"/>
      <c r="EN87" s="36"/>
      <c r="EO87" s="36" t="s">
        <v>264</v>
      </c>
      <c r="EP87" s="36"/>
      <c r="EQ87" s="36"/>
      <c r="ER87" s="8">
        <f t="shared" si="43"/>
        <v>0</v>
      </c>
      <c r="ES87" s="6" t="str">
        <f t="shared" si="62"/>
        <v>数据缺失</v>
      </c>
      <c r="ET87" s="36"/>
      <c r="EU87" s="36"/>
      <c r="EV87" s="36"/>
      <c r="EW87" s="36" t="s">
        <v>1298</v>
      </c>
      <c r="EX87" s="36"/>
      <c r="EY87" s="36"/>
      <c r="EZ87" s="8">
        <f t="shared" si="44"/>
        <v>0</v>
      </c>
      <c r="FA87" s="8" t="str">
        <f t="shared" si="45"/>
        <v>数据缺失</v>
      </c>
      <c r="FB87" s="36"/>
      <c r="FC87" s="36"/>
      <c r="FD87" s="36"/>
      <c r="FE87" s="36" t="s">
        <v>264</v>
      </c>
      <c r="FH87" s="39">
        <v>1</v>
      </c>
      <c r="FI87" s="39" t="s">
        <v>1563</v>
      </c>
      <c r="FJ87" s="39" t="s">
        <v>1561</v>
      </c>
      <c r="FM87" s="36" t="s">
        <v>264</v>
      </c>
      <c r="FN87" s="36"/>
      <c r="FO87" s="36"/>
      <c r="FP87" s="36"/>
      <c r="FQ87" s="36" t="s">
        <v>1298</v>
      </c>
      <c r="FR87" s="36"/>
      <c r="FS87" s="36"/>
      <c r="FT87" s="36"/>
      <c r="FU87" s="36" t="s">
        <v>264</v>
      </c>
      <c r="FV87" s="36"/>
      <c r="FW87" s="36"/>
      <c r="FX87" s="36"/>
      <c r="FY87" s="36" t="s">
        <v>264</v>
      </c>
      <c r="GB87" s="39">
        <v>2</v>
      </c>
      <c r="GC87" s="39" t="s">
        <v>1564</v>
      </c>
      <c r="GG87" s="39" t="s">
        <v>1564</v>
      </c>
      <c r="GH87" s="39" t="s">
        <v>1560</v>
      </c>
      <c r="GJ87" s="8">
        <f t="shared" si="46"/>
        <v>1</v>
      </c>
      <c r="GK87" s="1">
        <f t="shared" si="47"/>
        <v>0.78098672678160919</v>
      </c>
      <c r="GN87" s="69">
        <v>11.712021030000001</v>
      </c>
      <c r="GO87" s="39" t="s">
        <v>1565</v>
      </c>
      <c r="GP87" s="39" t="s">
        <v>1561</v>
      </c>
      <c r="GS87" s="69">
        <v>14.9964405647</v>
      </c>
      <c r="GT87" s="39" t="s">
        <v>221</v>
      </c>
      <c r="GV87" s="8">
        <f t="shared" si="48"/>
        <v>1</v>
      </c>
      <c r="GW87" s="1">
        <f t="shared" si="49"/>
        <v>1.3351549270257883E-2</v>
      </c>
      <c r="HA87" s="69">
        <v>2.36344596</v>
      </c>
      <c r="HB87" s="39" t="s">
        <v>156</v>
      </c>
      <c r="HE87" s="69">
        <v>177.0166077479</v>
      </c>
      <c r="HF87" s="39" t="s">
        <v>221</v>
      </c>
      <c r="HH87" s="39">
        <f t="shared" si="83"/>
        <v>1</v>
      </c>
      <c r="HI87" s="1">
        <f t="shared" si="51"/>
        <v>0</v>
      </c>
      <c r="HM87" s="39">
        <v>0</v>
      </c>
      <c r="HN87" s="39" t="s">
        <v>156</v>
      </c>
      <c r="HQ87" s="78">
        <v>10.409210380199999</v>
      </c>
      <c r="HR87" s="39" t="s">
        <v>221</v>
      </c>
      <c r="HT87" s="39">
        <f t="shared" si="84"/>
        <v>4</v>
      </c>
      <c r="HU87" s="10">
        <f t="shared" si="53"/>
        <v>0</v>
      </c>
      <c r="HY87" s="39">
        <v>0</v>
      </c>
      <c r="HZ87" s="39" t="s">
        <v>156</v>
      </c>
      <c r="IC87" s="39">
        <v>18.4835324425</v>
      </c>
      <c r="ID87" s="39" t="s">
        <v>221</v>
      </c>
      <c r="IR87" s="42">
        <f t="shared" si="85"/>
        <v>4</v>
      </c>
      <c r="IS87" s="1">
        <f t="shared" si="55"/>
        <v>0.45832095396209299</v>
      </c>
      <c r="IW87" s="39">
        <v>41.7</v>
      </c>
      <c r="IX87" s="39" t="s">
        <v>156</v>
      </c>
      <c r="JA87" s="69">
        <v>90.984275624999995</v>
      </c>
      <c r="JB87" s="39" t="s">
        <v>1283</v>
      </c>
      <c r="JD87" s="39">
        <f t="shared" si="86"/>
        <v>2</v>
      </c>
      <c r="JE87" s="43">
        <f t="shared" si="87"/>
        <v>4.8952691860616876E-2</v>
      </c>
      <c r="JI87" s="39">
        <v>7.97</v>
      </c>
      <c r="JJ87" s="39" t="s">
        <v>1561</v>
      </c>
      <c r="JM87" s="39">
        <v>4.3099999999999996</v>
      </c>
      <c r="JN87" s="39" t="s">
        <v>1561</v>
      </c>
      <c r="JQ87" s="39">
        <v>45.84</v>
      </c>
      <c r="JR87" s="39" t="s">
        <v>1560</v>
      </c>
      <c r="JU87" s="39">
        <v>29.71</v>
      </c>
      <c r="JV87" s="39" t="s">
        <v>1561</v>
      </c>
      <c r="JX87" s="36">
        <v>1</v>
      </c>
      <c r="JY87" s="36" t="s">
        <v>1552</v>
      </c>
      <c r="JZ87" s="36"/>
      <c r="KA87" s="36"/>
      <c r="KB87" s="36">
        <v>3</v>
      </c>
      <c r="KC87" s="36" t="str">
        <f>JY87</f>
        <v>德勤华永会计师事务所（特殊普通合伙）</v>
      </c>
      <c r="KD87" s="36" t="s">
        <v>156</v>
      </c>
      <c r="KF87" s="8">
        <f t="shared" si="58"/>
        <v>1</v>
      </c>
      <c r="KG87" s="1">
        <f t="shared" si="59"/>
        <v>9.1624623515817539E-4</v>
      </c>
      <c r="KH87" s="36"/>
      <c r="KI87" s="36"/>
      <c r="KJ87" s="36"/>
      <c r="KK87" s="38">
        <v>8.3363999999999994E-2</v>
      </c>
      <c r="KL87" s="36" t="s">
        <v>156</v>
      </c>
      <c r="KM87" s="36" t="s">
        <v>1353</v>
      </c>
      <c r="KN87" s="36"/>
      <c r="KO87" s="37">
        <f>JA87</f>
        <v>90.984275624999995</v>
      </c>
      <c r="KP87" s="39" t="s">
        <v>221</v>
      </c>
    </row>
    <row r="88" spans="2:302" s="39" customFormat="1" ht="18.75" hidden="1" customHeight="1" x14ac:dyDescent="0.35">
      <c r="B88" s="39" t="s">
        <v>1567</v>
      </c>
      <c r="C88" s="36" t="s">
        <v>543</v>
      </c>
      <c r="D88" s="39" t="s">
        <v>1568</v>
      </c>
      <c r="E88" s="39" t="s">
        <v>1569</v>
      </c>
      <c r="F88" s="39" t="s">
        <v>1570</v>
      </c>
      <c r="G88" s="3" t="s">
        <v>174</v>
      </c>
      <c r="H88" s="41">
        <v>0.66869999999999996</v>
      </c>
      <c r="L88" s="42">
        <v>3</v>
      </c>
      <c r="M88" s="39" t="s">
        <v>1571</v>
      </c>
      <c r="P88" s="60" t="s">
        <v>1398</v>
      </c>
      <c r="Q88" s="39" t="s">
        <v>770</v>
      </c>
      <c r="R88" s="39" t="s">
        <v>1572</v>
      </c>
      <c r="T88" s="39" t="s">
        <v>709</v>
      </c>
      <c r="U88" s="50">
        <v>1</v>
      </c>
      <c r="X88" s="36">
        <f t="shared" ref="X88:X94" si="93">IF(Y88="数据缺失",0,IF(Y88&lt;-30%,6,IF(Y88&lt;-10%,5,IF(Y88&lt;0%,4,IF(Y88&lt;10%,3,IF(Y88&lt;30%,2,1))))))</f>
        <v>0</v>
      </c>
      <c r="Y88" s="5" t="s">
        <v>264</v>
      </c>
      <c r="Z88" s="36"/>
      <c r="AA88" s="36"/>
      <c r="AB88" s="36"/>
      <c r="AC88" s="36">
        <f>318+64.5</f>
        <v>382.5</v>
      </c>
      <c r="AD88" s="39" t="s">
        <v>1572</v>
      </c>
      <c r="AE88" s="36"/>
      <c r="AF88" s="36"/>
      <c r="AG88" s="36" t="s">
        <v>1573</v>
      </c>
      <c r="AK88" s="39" t="s">
        <v>1574</v>
      </c>
      <c r="AN88" s="39">
        <f t="shared" ref="AN88:AN102" si="94">IF(AO88="数据缺失",0,IF(AO88&lt;-30%,6,IF(AO88&lt;-10%,5,IF(AO88&lt;0%,4,IF(AO88&lt;10%,3,IF(AO88&lt;30%,2,1))))))</f>
        <v>1</v>
      </c>
      <c r="AO88" s="43">
        <f>((AS88-AW88)/AW88+(AW88-BA88)/BA88)/2*100%</f>
        <v>0.44037731255562007</v>
      </c>
      <c r="AS88" s="39">
        <f>163+46</f>
        <v>209</v>
      </c>
      <c r="AT88" s="39" t="s">
        <v>1572</v>
      </c>
      <c r="AW88" s="39">
        <f>59.46+78.61</f>
        <v>138.07</v>
      </c>
      <c r="AX88" s="39" t="s">
        <v>1575</v>
      </c>
      <c r="BA88" s="39">
        <f>69+32</f>
        <v>101</v>
      </c>
      <c r="BB88" s="39" t="s">
        <v>1575</v>
      </c>
      <c r="BD88" s="2">
        <f t="shared" si="70"/>
        <v>2</v>
      </c>
      <c r="BE88" s="39">
        <f>BI88</f>
        <v>382.5</v>
      </c>
      <c r="BI88" s="39">
        <f t="shared" si="76"/>
        <v>382.5</v>
      </c>
      <c r="BJ88" s="39" t="s">
        <v>1572</v>
      </c>
      <c r="BL88" s="2">
        <f t="shared" si="71"/>
        <v>3</v>
      </c>
      <c r="BM88" s="39">
        <f>BQ88</f>
        <v>209</v>
      </c>
      <c r="BQ88" s="39">
        <f t="shared" si="77"/>
        <v>209</v>
      </c>
      <c r="BR88" s="39" t="s">
        <v>1572</v>
      </c>
      <c r="BT88" s="8">
        <f t="shared" si="72"/>
        <v>3</v>
      </c>
      <c r="BU88" s="39">
        <v>135</v>
      </c>
      <c r="BY88" s="39">
        <v>135</v>
      </c>
      <c r="BZ88" s="39" t="s">
        <v>234</v>
      </c>
      <c r="CA88" s="39" t="s">
        <v>1576</v>
      </c>
      <c r="CB88" s="36">
        <v>1</v>
      </c>
      <c r="CC88" s="36" t="str">
        <f>CF88</f>
        <v>一级</v>
      </c>
      <c r="CD88" s="36"/>
      <c r="CE88" s="36"/>
      <c r="CF88" s="36" t="s">
        <v>132</v>
      </c>
      <c r="CG88" s="36" t="s">
        <v>1577</v>
      </c>
      <c r="CH88" s="36" t="s">
        <v>1578</v>
      </c>
      <c r="CI88" s="39" t="s">
        <v>1579</v>
      </c>
      <c r="CJ88" s="39">
        <f t="shared" si="91"/>
        <v>0</v>
      </c>
      <c r="CK88" s="39" t="s">
        <v>1573</v>
      </c>
      <c r="CO88" s="39" t="s">
        <v>1573</v>
      </c>
      <c r="CS88" s="39">
        <f t="shared" si="78"/>
        <v>382.5</v>
      </c>
      <c r="CT88" s="39" t="s">
        <v>1572</v>
      </c>
      <c r="CV88" s="36">
        <f t="shared" si="92"/>
        <v>0</v>
      </c>
      <c r="CW88" s="39" t="s">
        <v>1573</v>
      </c>
      <c r="DA88" s="39" t="s">
        <v>1573</v>
      </c>
      <c r="DD88" s="39">
        <f t="shared" si="80"/>
        <v>0</v>
      </c>
      <c r="DE88" s="69" t="s">
        <v>1574</v>
      </c>
      <c r="DI88" s="39">
        <f t="shared" si="82"/>
        <v>209</v>
      </c>
      <c r="DJ88" s="39" t="s">
        <v>1572</v>
      </c>
      <c r="DM88" s="39" t="s">
        <v>264</v>
      </c>
      <c r="DP88" s="39">
        <v>5</v>
      </c>
      <c r="DQ88" s="36" t="s">
        <v>1574</v>
      </c>
      <c r="DU88" s="40" t="s">
        <v>1573</v>
      </c>
      <c r="DY88" s="40" t="s">
        <v>1573</v>
      </c>
      <c r="EC88" s="40" t="s">
        <v>1573</v>
      </c>
      <c r="EG88" s="40" t="s">
        <v>264</v>
      </c>
      <c r="EJ88" s="2">
        <f t="shared" si="74"/>
        <v>1</v>
      </c>
      <c r="EK88" s="39">
        <f>EO88</f>
        <v>150</v>
      </c>
      <c r="EO88" s="39">
        <f>128+22</f>
        <v>150</v>
      </c>
      <c r="EP88" s="39" t="s">
        <v>1575</v>
      </c>
      <c r="ER88" s="8">
        <f t="shared" si="43"/>
        <v>1</v>
      </c>
      <c r="ES88" s="39">
        <f>EW88</f>
        <v>241</v>
      </c>
      <c r="EW88" s="39">
        <v>241</v>
      </c>
      <c r="EX88" s="39" t="s">
        <v>1575</v>
      </c>
      <c r="EZ88" s="8">
        <f t="shared" si="44"/>
        <v>1</v>
      </c>
      <c r="FA88" s="39">
        <f>FE88</f>
        <v>775.04</v>
      </c>
      <c r="FE88" s="39">
        <f>395.59+379.45</f>
        <v>775.04</v>
      </c>
      <c r="FF88" s="36" t="s">
        <v>1572</v>
      </c>
      <c r="FH88" s="39">
        <v>1</v>
      </c>
      <c r="FI88" s="39" t="s">
        <v>1580</v>
      </c>
      <c r="FM88" s="40">
        <v>0.86799999999999999</v>
      </c>
      <c r="FN88" s="39" t="s">
        <v>1572</v>
      </c>
      <c r="FQ88" s="40">
        <v>0.1028</v>
      </c>
      <c r="FR88" s="39" t="s">
        <v>1572</v>
      </c>
      <c r="FU88" s="40">
        <v>2.9100000000000001E-2</v>
      </c>
      <c r="FV88" s="39" t="s">
        <v>1572</v>
      </c>
      <c r="FY88" s="39">
        <v>0</v>
      </c>
      <c r="FZ88" s="39" t="s">
        <v>1572</v>
      </c>
      <c r="GB88" s="39">
        <v>1</v>
      </c>
      <c r="GC88" s="39" t="str">
        <f>GG88</f>
        <v>房地产业：60.64%  建筑材料销售：19.54%</v>
      </c>
      <c r="GG88" s="39" t="s">
        <v>1581</v>
      </c>
      <c r="GH88" s="39" t="s">
        <v>1572</v>
      </c>
      <c r="GJ88" s="8">
        <f t="shared" si="46"/>
        <v>3</v>
      </c>
      <c r="GK88" s="1">
        <f t="shared" si="47"/>
        <v>6.1655747912670034E-2</v>
      </c>
      <c r="GL88" s="36"/>
      <c r="GM88" s="36"/>
      <c r="GN88" s="36">
        <v>15.87</v>
      </c>
      <c r="GO88" s="36" t="s">
        <v>1582</v>
      </c>
      <c r="GP88" s="39" t="s">
        <v>1572</v>
      </c>
      <c r="GQ88" s="36"/>
      <c r="GR88" s="36"/>
      <c r="GS88" s="38">
        <v>257.39692627650004</v>
      </c>
      <c r="GT88" s="39" t="s">
        <v>1583</v>
      </c>
      <c r="GV88" s="8">
        <f t="shared" si="48"/>
        <v>2</v>
      </c>
      <c r="GW88" s="1">
        <f t="shared" si="49"/>
        <v>0.28994720635005355</v>
      </c>
      <c r="HA88" s="69">
        <v>635.92761499999995</v>
      </c>
      <c r="HB88" s="39" t="s">
        <v>1113</v>
      </c>
      <c r="HE88" s="69">
        <v>2193.2531201291999</v>
      </c>
      <c r="HF88" s="39" t="s">
        <v>144</v>
      </c>
      <c r="HH88" s="39">
        <f t="shared" si="83"/>
        <v>1</v>
      </c>
      <c r="HI88" s="1">
        <f t="shared" si="51"/>
        <v>4.2076115964052654E-2</v>
      </c>
      <c r="HM88" s="69">
        <v>11.68661243</v>
      </c>
      <c r="HN88" s="39" t="s">
        <v>1584</v>
      </c>
      <c r="HQ88" s="78">
        <v>277.7493160249</v>
      </c>
      <c r="HR88" s="39" t="s">
        <v>1585</v>
      </c>
      <c r="HT88" s="39">
        <f t="shared" si="84"/>
        <v>1</v>
      </c>
      <c r="HU88" s="10">
        <f t="shared" si="53"/>
        <v>0.31132465236051943</v>
      </c>
      <c r="HY88" s="69">
        <v>133.17820999</v>
      </c>
      <c r="HZ88" s="39" t="s">
        <v>1584</v>
      </c>
      <c r="IC88" s="69">
        <v>427.77919763249997</v>
      </c>
      <c r="ID88" s="39" t="s">
        <v>1585</v>
      </c>
      <c r="IR88" s="42">
        <f t="shared" si="85"/>
        <v>4</v>
      </c>
      <c r="IS88" s="1">
        <f t="shared" si="55"/>
        <v>0.62254990891890671</v>
      </c>
      <c r="IW88" s="39">
        <v>413.39</v>
      </c>
      <c r="IX88" s="39" t="s">
        <v>1586</v>
      </c>
      <c r="JA88" s="69">
        <v>664.02708293360001</v>
      </c>
      <c r="JB88" s="39" t="s">
        <v>1585</v>
      </c>
      <c r="JD88" s="39">
        <f t="shared" si="86"/>
        <v>3</v>
      </c>
      <c r="JE88" s="43">
        <f t="shared" si="87"/>
        <v>7.7808851777023597E-2</v>
      </c>
      <c r="JI88" s="39">
        <v>39.090000000000003</v>
      </c>
      <c r="JJ88" s="39" t="s">
        <v>1586</v>
      </c>
      <c r="JM88" s="39">
        <v>0.65</v>
      </c>
      <c r="JN88" s="39" t="s">
        <v>1586</v>
      </c>
      <c r="JQ88" s="39">
        <v>787.97</v>
      </c>
      <c r="JR88" s="39" t="s">
        <v>1586</v>
      </c>
      <c r="JU88" s="39">
        <v>757.83</v>
      </c>
      <c r="JV88" s="39" t="s">
        <v>1586</v>
      </c>
      <c r="JX88" s="39">
        <v>2</v>
      </c>
      <c r="JY88" s="39" t="s">
        <v>1587</v>
      </c>
      <c r="KB88" s="39">
        <v>4</v>
      </c>
      <c r="KC88" s="39" t="s">
        <v>754</v>
      </c>
      <c r="KD88" s="39" t="s">
        <v>1584</v>
      </c>
      <c r="KF88" s="8">
        <f t="shared" si="58"/>
        <v>1</v>
      </c>
      <c r="KG88" s="43">
        <f t="shared" ref="KG88:KG94" si="95">KK88/KO88</f>
        <v>4.6157755892412708E-2</v>
      </c>
      <c r="KK88" s="39">
        <f>12.65+18</f>
        <v>30.65</v>
      </c>
      <c r="KL88" s="39" t="s">
        <v>1584</v>
      </c>
      <c r="KO88" s="69">
        <v>664.02708293360001</v>
      </c>
      <c r="KP88" s="39" t="s">
        <v>1585</v>
      </c>
    </row>
    <row r="89" spans="2:302" s="39" customFormat="1" ht="15" customHeight="1" x14ac:dyDescent="0.35">
      <c r="B89" s="39" t="s">
        <v>1588</v>
      </c>
      <c r="C89" s="39" t="s">
        <v>1589</v>
      </c>
      <c r="D89" s="39" t="s">
        <v>1590</v>
      </c>
      <c r="E89" s="39" t="s">
        <v>1591</v>
      </c>
      <c r="F89" s="39" t="s">
        <v>1592</v>
      </c>
      <c r="G89" s="42" t="s">
        <v>174</v>
      </c>
      <c r="H89" s="40">
        <v>0.81069999999999998</v>
      </c>
      <c r="L89" s="42">
        <v>4</v>
      </c>
      <c r="M89" s="39" t="s">
        <v>1593</v>
      </c>
      <c r="P89" s="39" t="s">
        <v>126</v>
      </c>
      <c r="Q89" s="39" t="s">
        <v>1594</v>
      </c>
      <c r="R89" s="39" t="s">
        <v>1595</v>
      </c>
      <c r="T89" s="39" t="s">
        <v>129</v>
      </c>
      <c r="U89" s="40">
        <f>0.5131*0.6057</f>
        <v>0.31078466999999999</v>
      </c>
      <c r="X89" s="39">
        <f t="shared" si="93"/>
        <v>0</v>
      </c>
      <c r="Y89" s="39" t="s">
        <v>264</v>
      </c>
      <c r="AC89" s="39" t="s">
        <v>264</v>
      </c>
      <c r="AG89" s="39" t="s">
        <v>1596</v>
      </c>
      <c r="AK89" s="39" t="s">
        <v>1574</v>
      </c>
      <c r="AN89" s="39">
        <f t="shared" si="94"/>
        <v>0</v>
      </c>
      <c r="AO89" s="39" t="s">
        <v>1574</v>
      </c>
      <c r="AS89" s="39" t="s">
        <v>1574</v>
      </c>
      <c r="AW89" s="39" t="s">
        <v>264</v>
      </c>
      <c r="BA89" s="39" t="s">
        <v>1574</v>
      </c>
      <c r="BD89" s="2">
        <f t="shared" si="70"/>
        <v>0</v>
      </c>
      <c r="BE89" s="39" t="s">
        <v>264</v>
      </c>
      <c r="BI89" s="39" t="str">
        <f t="shared" si="76"/>
        <v>数据缺失</v>
      </c>
      <c r="BL89" s="2">
        <f t="shared" si="71"/>
        <v>0</v>
      </c>
      <c r="BM89" s="39" t="s">
        <v>1596</v>
      </c>
      <c r="BQ89" s="39" t="str">
        <f t="shared" si="77"/>
        <v>数据缺失</v>
      </c>
      <c r="BT89" s="8">
        <f t="shared" si="72"/>
        <v>5</v>
      </c>
      <c r="BU89" s="39" t="s">
        <v>626</v>
      </c>
      <c r="BY89" s="39" t="s">
        <v>626</v>
      </c>
      <c r="BZ89" s="39" t="s">
        <v>234</v>
      </c>
      <c r="CB89" s="39">
        <v>0</v>
      </c>
      <c r="CC89" s="39" t="s">
        <v>264</v>
      </c>
      <c r="CF89" s="39" t="s">
        <v>1574</v>
      </c>
      <c r="CG89" s="39" t="s">
        <v>1780</v>
      </c>
      <c r="CJ89" s="39">
        <f t="shared" si="91"/>
        <v>0</v>
      </c>
      <c r="CK89" s="39" t="s">
        <v>264</v>
      </c>
      <c r="CO89" s="39" t="s">
        <v>264</v>
      </c>
      <c r="CS89" s="39" t="str">
        <f t="shared" si="78"/>
        <v>数据缺失</v>
      </c>
      <c r="CV89" s="36">
        <f t="shared" si="92"/>
        <v>0</v>
      </c>
      <c r="CW89" s="39" t="s">
        <v>264</v>
      </c>
      <c r="DA89" s="39" t="s">
        <v>1574</v>
      </c>
      <c r="DD89" s="39">
        <f t="shared" si="80"/>
        <v>0</v>
      </c>
      <c r="DE89" s="69" t="s">
        <v>1596</v>
      </c>
      <c r="DI89" s="39" t="str">
        <f t="shared" si="82"/>
        <v>数据缺失</v>
      </c>
      <c r="DM89" s="39" t="s">
        <v>264</v>
      </c>
      <c r="DP89" s="39">
        <v>6</v>
      </c>
      <c r="DQ89" s="39" t="s">
        <v>1597</v>
      </c>
      <c r="DU89" s="40" t="s">
        <v>264</v>
      </c>
      <c r="DY89" s="40" t="s">
        <v>264</v>
      </c>
      <c r="EC89" s="40" t="s">
        <v>264</v>
      </c>
      <c r="EG89" s="40" t="s">
        <v>1574</v>
      </c>
      <c r="EJ89" s="2">
        <f t="shared" si="74"/>
        <v>0</v>
      </c>
      <c r="EK89" s="39" t="s">
        <v>264</v>
      </c>
      <c r="EO89" s="39" t="s">
        <v>264</v>
      </c>
      <c r="ER89" s="8">
        <f t="shared" si="43"/>
        <v>0</v>
      </c>
      <c r="ES89" s="39" t="s">
        <v>1596</v>
      </c>
      <c r="EW89" s="39" t="s">
        <v>1596</v>
      </c>
      <c r="EZ89" s="8">
        <f t="shared" si="44"/>
        <v>0</v>
      </c>
      <c r="FA89" s="39" t="s">
        <v>1596</v>
      </c>
      <c r="FE89" s="39" t="s">
        <v>264</v>
      </c>
      <c r="FH89" s="39">
        <v>4</v>
      </c>
      <c r="FI89" s="39" t="s">
        <v>1598</v>
      </c>
      <c r="FJ89" s="39" t="s">
        <v>1599</v>
      </c>
      <c r="FM89" s="39" t="s">
        <v>1596</v>
      </c>
      <c r="FQ89" s="40" t="s">
        <v>264</v>
      </c>
      <c r="FU89" s="39" t="s">
        <v>264</v>
      </c>
      <c r="FY89" s="40" t="s">
        <v>264</v>
      </c>
      <c r="GB89" s="39">
        <v>3</v>
      </c>
      <c r="GC89" s="39" t="s">
        <v>1600</v>
      </c>
      <c r="GG89" s="39" t="s">
        <v>1600</v>
      </c>
      <c r="GH89" s="39" t="s">
        <v>1599</v>
      </c>
      <c r="GJ89" s="8">
        <f t="shared" si="46"/>
        <v>1</v>
      </c>
      <c r="GK89" s="1">
        <f t="shared" si="47"/>
        <v>0.8109370428034991</v>
      </c>
      <c r="GN89" s="39">
        <f>5.97+0.88</f>
        <v>6.85</v>
      </c>
      <c r="GO89" s="39" t="s">
        <v>1601</v>
      </c>
      <c r="GP89" s="39" t="s">
        <v>1599</v>
      </c>
      <c r="GS89" s="69">
        <v>8.4470182497999993</v>
      </c>
      <c r="GT89" s="39" t="s">
        <v>144</v>
      </c>
      <c r="GV89" s="8">
        <f t="shared" si="48"/>
        <v>5</v>
      </c>
      <c r="GW89" s="1">
        <f t="shared" si="49"/>
        <v>0.81714843534048909</v>
      </c>
      <c r="HA89" s="39">
        <v>93.1</v>
      </c>
      <c r="HB89" s="39" t="s">
        <v>156</v>
      </c>
      <c r="HE89" s="69">
        <v>113.9327886753</v>
      </c>
      <c r="HF89" s="39" t="s">
        <v>144</v>
      </c>
      <c r="HH89" s="39">
        <f t="shared" si="83"/>
        <v>5</v>
      </c>
      <c r="HI89" s="1">
        <f t="shared" si="51"/>
        <v>0.98155381861807522</v>
      </c>
      <c r="HM89" s="39">
        <v>5.0999999999999996</v>
      </c>
      <c r="HN89" s="39" t="s">
        <v>156</v>
      </c>
      <c r="HQ89" s="78">
        <v>5.1958434710999999</v>
      </c>
      <c r="HR89" s="39" t="s">
        <v>144</v>
      </c>
      <c r="HT89" s="39">
        <f t="shared" si="84"/>
        <v>4</v>
      </c>
      <c r="HU89" s="10">
        <f t="shared" si="53"/>
        <v>0</v>
      </c>
      <c r="HY89" s="68">
        <v>0</v>
      </c>
      <c r="HZ89" s="39" t="s">
        <v>156</v>
      </c>
      <c r="IC89" s="78">
        <v>16.63</v>
      </c>
      <c r="ID89" s="39" t="s">
        <v>144</v>
      </c>
      <c r="IR89" s="42">
        <f t="shared" si="85"/>
        <v>4</v>
      </c>
      <c r="IS89" s="1">
        <f t="shared" si="55"/>
        <v>0.43260858706162858</v>
      </c>
      <c r="IW89" s="78">
        <v>30</v>
      </c>
      <c r="IX89" s="39" t="s">
        <v>1599</v>
      </c>
      <c r="IY89" s="39" t="s">
        <v>1395</v>
      </c>
      <c r="JA89" s="69">
        <v>69.346751075299991</v>
      </c>
      <c r="JB89" s="39" t="s">
        <v>144</v>
      </c>
      <c r="JD89" s="39">
        <f t="shared" si="86"/>
        <v>3</v>
      </c>
      <c r="JE89" s="43">
        <f t="shared" si="87"/>
        <v>7.1448418211407946E-2</v>
      </c>
      <c r="JI89" s="78">
        <v>10.8</v>
      </c>
      <c r="JJ89" s="39" t="s">
        <v>1599</v>
      </c>
      <c r="JM89" s="78">
        <v>7.32</v>
      </c>
      <c r="JN89" s="39" t="s">
        <v>1599</v>
      </c>
      <c r="JQ89" s="78">
        <v>24.33</v>
      </c>
      <c r="JR89" s="39" t="s">
        <v>1599</v>
      </c>
      <c r="JU89" s="78">
        <v>16.97</v>
      </c>
      <c r="JV89" s="39" t="s">
        <v>1599</v>
      </c>
      <c r="JX89" s="39">
        <v>1</v>
      </c>
      <c r="JY89" s="39" t="s">
        <v>1602</v>
      </c>
      <c r="KB89" s="39">
        <v>6</v>
      </c>
      <c r="KC89" s="39" t="s">
        <v>1602</v>
      </c>
      <c r="KD89" s="39" t="s">
        <v>156</v>
      </c>
      <c r="KF89" s="8">
        <f t="shared" si="58"/>
        <v>1</v>
      </c>
      <c r="KG89" s="43">
        <f t="shared" si="95"/>
        <v>7.2101431176938097E-2</v>
      </c>
      <c r="KK89" s="78">
        <v>5</v>
      </c>
      <c r="KL89" s="39" t="s">
        <v>1603</v>
      </c>
      <c r="KM89" s="39" t="s">
        <v>1604</v>
      </c>
      <c r="KO89" s="69">
        <v>69.346751075299991</v>
      </c>
      <c r="KP89" s="39" t="s">
        <v>1583</v>
      </c>
    </row>
    <row r="90" spans="2:302" s="39" customFormat="1" ht="15" hidden="1" customHeight="1" x14ac:dyDescent="0.35">
      <c r="B90" s="36" t="s">
        <v>1605</v>
      </c>
      <c r="C90" s="36" t="s">
        <v>543</v>
      </c>
      <c r="D90" s="39" t="s">
        <v>196</v>
      </c>
      <c r="E90" s="39" t="s">
        <v>369</v>
      </c>
      <c r="F90" s="36" t="s">
        <v>1606</v>
      </c>
      <c r="G90" s="3" t="s">
        <v>249</v>
      </c>
      <c r="H90" s="40">
        <f>38.9/39.05</f>
        <v>0.99615877080665816</v>
      </c>
      <c r="L90" s="138">
        <v>4</v>
      </c>
      <c r="M90" s="36" t="s">
        <v>1607</v>
      </c>
      <c r="N90" s="36"/>
      <c r="O90" s="36"/>
      <c r="P90" s="39" t="s">
        <v>1398</v>
      </c>
      <c r="Q90" s="36" t="s">
        <v>770</v>
      </c>
      <c r="R90" s="36" t="s">
        <v>1158</v>
      </c>
      <c r="T90" s="36" t="s">
        <v>129</v>
      </c>
      <c r="U90" s="40">
        <f>52.51%*63.65%+4.31%</f>
        <v>0.37732615000000003</v>
      </c>
      <c r="X90" s="39">
        <f t="shared" si="93"/>
        <v>2</v>
      </c>
      <c r="Y90" s="43">
        <f>((AC90-AG90)/AG90+(AG90-AK90)/AK90)/2*100%</f>
        <v>0.15175845366268004</v>
      </c>
      <c r="AC90" s="39">
        <v>39.700000000000003</v>
      </c>
      <c r="AD90" s="39" t="s">
        <v>1608</v>
      </c>
      <c r="AG90" s="39">
        <v>25.4</v>
      </c>
      <c r="AH90" s="39" t="s">
        <v>1608</v>
      </c>
      <c r="AK90" s="39">
        <v>34.299999999999997</v>
      </c>
      <c r="AL90" s="39" t="s">
        <v>1609</v>
      </c>
      <c r="AN90" s="39">
        <f t="shared" si="94"/>
        <v>3</v>
      </c>
      <c r="AO90" s="43">
        <f>((AS90-AW90)/AW90+(AW90-BA90)/BA90)/2*100%</f>
        <v>9.0788498302836335E-2</v>
      </c>
      <c r="AS90" s="39">
        <v>33.9</v>
      </c>
      <c r="AT90" s="39" t="s">
        <v>1608</v>
      </c>
      <c r="AW90" s="39">
        <v>21.3</v>
      </c>
      <c r="AX90" s="39" t="s">
        <v>1608</v>
      </c>
      <c r="BA90" s="39">
        <v>36.1</v>
      </c>
      <c r="BB90" s="39" t="s">
        <v>1609</v>
      </c>
      <c r="BD90" s="2">
        <f t="shared" si="70"/>
        <v>5</v>
      </c>
      <c r="BE90" s="39">
        <f>BI90</f>
        <v>39.700000000000003</v>
      </c>
      <c r="BI90" s="39">
        <f t="shared" si="76"/>
        <v>39.700000000000003</v>
      </c>
      <c r="BJ90" s="39" t="s">
        <v>1609</v>
      </c>
      <c r="BL90" s="2">
        <f t="shared" si="71"/>
        <v>5</v>
      </c>
      <c r="BM90" s="39">
        <f>BQ90</f>
        <v>33.9</v>
      </c>
      <c r="BQ90" s="39">
        <f t="shared" si="77"/>
        <v>33.9</v>
      </c>
      <c r="BR90" s="39" t="s">
        <v>1609</v>
      </c>
      <c r="BT90" s="8">
        <f t="shared" si="72"/>
        <v>2</v>
      </c>
      <c r="BU90" s="39">
        <v>41</v>
      </c>
      <c r="BY90" s="39">
        <v>41</v>
      </c>
      <c r="BZ90" s="76" t="s">
        <v>1610</v>
      </c>
      <c r="CA90" s="39" t="s">
        <v>1611</v>
      </c>
      <c r="CB90" s="36">
        <v>1</v>
      </c>
      <c r="CC90" s="36" t="s">
        <v>1612</v>
      </c>
      <c r="CD90" s="36"/>
      <c r="CE90" s="36"/>
      <c r="CF90" s="36" t="s">
        <v>1612</v>
      </c>
      <c r="CG90" s="36" t="s">
        <v>1613</v>
      </c>
      <c r="CH90" s="47" t="s">
        <v>1614</v>
      </c>
      <c r="CJ90" s="39">
        <f t="shared" si="91"/>
        <v>2</v>
      </c>
      <c r="CK90" s="48">
        <f>CO90/CS90</f>
        <v>0</v>
      </c>
      <c r="CO90" s="39">
        <v>0</v>
      </c>
      <c r="CP90" s="39" t="s">
        <v>1609</v>
      </c>
      <c r="CS90" s="39">
        <f t="shared" si="78"/>
        <v>39.700000000000003</v>
      </c>
      <c r="CT90" s="39" t="s">
        <v>1609</v>
      </c>
      <c r="CV90" s="36">
        <f t="shared" si="92"/>
        <v>0</v>
      </c>
      <c r="CW90" s="36" t="str">
        <f>DA90</f>
        <v>数据缺失</v>
      </c>
      <c r="CX90" s="36"/>
      <c r="CY90" s="36"/>
      <c r="CZ90" s="36"/>
      <c r="DA90" s="36" t="s">
        <v>1615</v>
      </c>
      <c r="DD90" s="39">
        <f t="shared" si="80"/>
        <v>0</v>
      </c>
      <c r="DE90" s="69" t="s">
        <v>1615</v>
      </c>
      <c r="DI90" s="39">
        <f t="shared" si="82"/>
        <v>33.9</v>
      </c>
      <c r="DJ90" s="39" t="s">
        <v>1608</v>
      </c>
      <c r="DM90" s="39" t="s">
        <v>1615</v>
      </c>
      <c r="DP90" s="39">
        <v>5</v>
      </c>
      <c r="DQ90" s="39" t="s">
        <v>1615</v>
      </c>
      <c r="DU90" s="40" t="s">
        <v>264</v>
      </c>
      <c r="DY90" s="40" t="s">
        <v>1615</v>
      </c>
      <c r="EC90" s="40" t="s">
        <v>1615</v>
      </c>
      <c r="EG90" s="40" t="s">
        <v>1615</v>
      </c>
      <c r="EJ90" s="2">
        <f t="shared" si="74"/>
        <v>2</v>
      </c>
      <c r="EK90" s="39">
        <f t="shared" ref="EK90:EK95" si="96">EO90</f>
        <v>87.7</v>
      </c>
      <c r="EO90" s="39">
        <v>87.7</v>
      </c>
      <c r="EP90" s="39" t="s">
        <v>1609</v>
      </c>
      <c r="EQ90" s="39" t="s">
        <v>1616</v>
      </c>
      <c r="ER90" s="8">
        <f t="shared" si="43"/>
        <v>4</v>
      </c>
      <c r="ES90" s="39">
        <f>EW90</f>
        <v>10.57</v>
      </c>
      <c r="EW90" s="39">
        <v>10.57</v>
      </c>
      <c r="EX90" s="39" t="s">
        <v>1609</v>
      </c>
      <c r="EZ90" s="8">
        <f t="shared" si="44"/>
        <v>0</v>
      </c>
      <c r="FA90" s="39" t="s">
        <v>1615</v>
      </c>
      <c r="FE90" s="39" t="s">
        <v>1615</v>
      </c>
      <c r="FH90" s="39">
        <v>5</v>
      </c>
      <c r="FI90" s="39" t="s">
        <v>1615</v>
      </c>
      <c r="FM90" s="39" t="s">
        <v>1615</v>
      </c>
      <c r="FQ90" s="39" t="s">
        <v>1615</v>
      </c>
      <c r="FU90" s="39" t="s">
        <v>1615</v>
      </c>
      <c r="FY90" s="39" t="s">
        <v>1615</v>
      </c>
      <c r="GB90" s="36">
        <v>2</v>
      </c>
      <c r="GC90" s="36" t="str">
        <f>GG90</f>
        <v>房地产业务占比99.64%</v>
      </c>
      <c r="GG90" s="36" t="s">
        <v>1617</v>
      </c>
      <c r="GH90" s="36" t="s">
        <v>1618</v>
      </c>
      <c r="GJ90" s="8">
        <f t="shared" si="46"/>
        <v>3</v>
      </c>
      <c r="GK90" s="1">
        <f t="shared" si="47"/>
        <v>6.2746181213520699E-2</v>
      </c>
      <c r="GN90" s="39">
        <v>2.4500000000000002</v>
      </c>
      <c r="GO90" s="39" t="s">
        <v>1619</v>
      </c>
      <c r="GP90" s="39" t="s">
        <v>1618</v>
      </c>
      <c r="GS90" s="69">
        <v>39.046200941900004</v>
      </c>
      <c r="GT90" s="39" t="s">
        <v>1620</v>
      </c>
      <c r="GV90" s="8">
        <f t="shared" si="48"/>
        <v>1</v>
      </c>
      <c r="GW90" s="1">
        <f t="shared" si="49"/>
        <v>4.5638762621190196E-2</v>
      </c>
      <c r="HA90" s="69">
        <v>9.381983</v>
      </c>
      <c r="HB90" s="39" t="s">
        <v>1618</v>
      </c>
      <c r="HE90" s="69">
        <v>205.57049449109999</v>
      </c>
      <c r="HF90" s="39" t="s">
        <v>1620</v>
      </c>
      <c r="HH90" s="39">
        <f t="shared" si="83"/>
        <v>1</v>
      </c>
      <c r="HI90" s="1">
        <f t="shared" si="51"/>
        <v>0</v>
      </c>
      <c r="HM90" s="39">
        <v>0</v>
      </c>
      <c r="HN90" s="39" t="s">
        <v>1158</v>
      </c>
      <c r="HQ90" s="78">
        <v>68.898991072000001</v>
      </c>
      <c r="HR90" s="39" t="s">
        <v>1620</v>
      </c>
      <c r="HT90" s="39">
        <f t="shared" si="84"/>
        <v>1</v>
      </c>
      <c r="HU90" s="10">
        <f t="shared" si="53"/>
        <v>0.6602720613882106</v>
      </c>
      <c r="HY90" s="39">
        <v>18.93</v>
      </c>
      <c r="HZ90" s="39" t="s">
        <v>1618</v>
      </c>
      <c r="IC90" s="39">
        <v>28.67</v>
      </c>
      <c r="ID90" s="39" t="s">
        <v>1620</v>
      </c>
      <c r="IR90" s="42">
        <f t="shared" si="85"/>
        <v>0</v>
      </c>
      <c r="IS90" s="39" t="s">
        <v>1615</v>
      </c>
      <c r="IW90" s="39" t="s">
        <v>1615</v>
      </c>
      <c r="JA90" s="69">
        <v>71.227130953599996</v>
      </c>
      <c r="JB90" s="39" t="s">
        <v>1620</v>
      </c>
      <c r="JD90" s="39">
        <f t="shared" si="86"/>
        <v>3</v>
      </c>
      <c r="JE90" s="43">
        <f t="shared" si="87"/>
        <v>6.6622621711202049E-2</v>
      </c>
      <c r="JI90" s="39">
        <v>9.6</v>
      </c>
      <c r="JJ90" s="39" t="s">
        <v>1609</v>
      </c>
      <c r="JM90" s="39">
        <v>2.3199999999999998</v>
      </c>
      <c r="JN90" s="39" t="s">
        <v>1609</v>
      </c>
      <c r="JQ90" s="39">
        <v>61.64</v>
      </c>
      <c r="JR90" s="39" t="s">
        <v>1609</v>
      </c>
      <c r="JU90" s="39">
        <v>62.58</v>
      </c>
      <c r="JV90" s="39" t="s">
        <v>1609</v>
      </c>
      <c r="JX90" s="36">
        <v>3</v>
      </c>
      <c r="JY90" s="36" t="s">
        <v>1621</v>
      </c>
      <c r="JZ90" s="36"/>
      <c r="KA90" s="36"/>
      <c r="KB90" s="36">
        <v>42</v>
      </c>
      <c r="KC90" s="36" t="str">
        <f>JY90</f>
        <v>上会会计师事务所（特殊普通合伙）</v>
      </c>
      <c r="KD90" s="36" t="s">
        <v>1618</v>
      </c>
      <c r="KF90" s="8">
        <f t="shared" si="58"/>
        <v>1</v>
      </c>
      <c r="KG90" s="43">
        <f t="shared" si="95"/>
        <v>7.7000223462219908E-2</v>
      </c>
      <c r="KK90" s="69">
        <v>5.4845050000000004</v>
      </c>
      <c r="KL90" s="39" t="s">
        <v>1618</v>
      </c>
      <c r="KM90" s="39" t="s">
        <v>1622</v>
      </c>
      <c r="KO90" s="69">
        <v>71.227130953599996</v>
      </c>
      <c r="KP90" s="39" t="s">
        <v>1620</v>
      </c>
    </row>
    <row r="91" spans="2:302" s="39" customFormat="1" ht="15" customHeight="1" x14ac:dyDescent="0.35">
      <c r="B91" s="36" t="s">
        <v>1623</v>
      </c>
      <c r="C91" s="36" t="s">
        <v>1624</v>
      </c>
      <c r="D91" s="39" t="s">
        <v>1625</v>
      </c>
      <c r="E91" s="39" t="s">
        <v>1626</v>
      </c>
      <c r="F91" s="36" t="s">
        <v>1627</v>
      </c>
      <c r="G91" s="3" t="s">
        <v>174</v>
      </c>
      <c r="H91" s="41">
        <v>0.8175</v>
      </c>
      <c r="L91" s="138">
        <v>3</v>
      </c>
      <c r="M91" s="36" t="s">
        <v>1628</v>
      </c>
      <c r="N91" s="36"/>
      <c r="O91" s="36"/>
      <c r="P91" s="39" t="s">
        <v>1629</v>
      </c>
      <c r="Q91" s="36" t="s">
        <v>770</v>
      </c>
      <c r="R91" s="36" t="s">
        <v>1630</v>
      </c>
      <c r="S91" s="36"/>
      <c r="T91" s="36" t="s">
        <v>709</v>
      </c>
      <c r="U91" s="86">
        <v>1</v>
      </c>
      <c r="X91" s="36">
        <f t="shared" si="93"/>
        <v>0</v>
      </c>
      <c r="Y91" s="36" t="s">
        <v>1573</v>
      </c>
      <c r="Z91" s="36"/>
      <c r="AA91" s="36"/>
      <c r="AB91" s="36"/>
      <c r="AC91" s="36" t="s">
        <v>1573</v>
      </c>
      <c r="AD91" s="36"/>
      <c r="AE91" s="36"/>
      <c r="AF91" s="36"/>
      <c r="AG91" s="36" t="s">
        <v>1573</v>
      </c>
      <c r="AH91" s="36"/>
      <c r="AI91" s="36"/>
      <c r="AJ91" s="36"/>
      <c r="AK91" s="36" t="s">
        <v>1573</v>
      </c>
      <c r="AN91" s="39">
        <f t="shared" si="94"/>
        <v>0</v>
      </c>
      <c r="AO91" s="39" t="s">
        <v>264</v>
      </c>
      <c r="AS91" s="39" t="s">
        <v>264</v>
      </c>
      <c r="AW91" s="39" t="s">
        <v>1573</v>
      </c>
      <c r="BA91" s="39" t="s">
        <v>1573</v>
      </c>
      <c r="BD91" s="2">
        <f t="shared" si="70"/>
        <v>0</v>
      </c>
      <c r="BE91" s="39" t="s">
        <v>1573</v>
      </c>
      <c r="BI91" s="39" t="str">
        <f t="shared" si="76"/>
        <v>数据缺失</v>
      </c>
      <c r="BL91" s="2">
        <f t="shared" si="71"/>
        <v>0</v>
      </c>
      <c r="BM91" s="39" t="s">
        <v>264</v>
      </c>
      <c r="BQ91" s="39" t="str">
        <f t="shared" si="77"/>
        <v>数据缺失</v>
      </c>
      <c r="BT91" s="8">
        <f t="shared" si="72"/>
        <v>5</v>
      </c>
      <c r="BU91" s="36" t="str">
        <f>BY91</f>
        <v>未上榜</v>
      </c>
      <c r="BV91" s="36"/>
      <c r="BW91" s="36"/>
      <c r="BX91" s="36"/>
      <c r="BY91" s="36" t="s">
        <v>1631</v>
      </c>
      <c r="CB91" s="36">
        <v>0</v>
      </c>
      <c r="CC91" s="36" t="str">
        <f>CF91</f>
        <v>数据缺失</v>
      </c>
      <c r="CD91" s="36"/>
      <c r="CE91" s="36"/>
      <c r="CF91" s="36" t="s">
        <v>1573</v>
      </c>
      <c r="CG91" s="39" t="s">
        <v>1780</v>
      </c>
      <c r="CJ91" s="39">
        <f t="shared" si="91"/>
        <v>0</v>
      </c>
      <c r="CK91" s="36" t="s">
        <v>1573</v>
      </c>
      <c r="CL91" s="36"/>
      <c r="CM91" s="36"/>
      <c r="CN91" s="36"/>
      <c r="CO91" s="36" t="s">
        <v>1573</v>
      </c>
      <c r="CP91" s="36"/>
      <c r="CQ91" s="36"/>
      <c r="CR91" s="36"/>
      <c r="CS91" s="39" t="str">
        <f t="shared" si="78"/>
        <v>数据缺失</v>
      </c>
      <c r="CV91" s="36">
        <f t="shared" si="92"/>
        <v>0</v>
      </c>
      <c r="CW91" s="36" t="str">
        <f>DA91</f>
        <v>数据缺失</v>
      </c>
      <c r="CX91" s="36"/>
      <c r="CY91" s="36"/>
      <c r="CZ91" s="36"/>
      <c r="DA91" s="36" t="s">
        <v>1573</v>
      </c>
      <c r="DB91" s="36"/>
      <c r="DC91" s="36"/>
      <c r="DD91" s="39">
        <f t="shared" si="80"/>
        <v>0</v>
      </c>
      <c r="DE91" s="38" t="s">
        <v>1573</v>
      </c>
      <c r="DF91" s="36"/>
      <c r="DG91" s="36"/>
      <c r="DH91" s="36"/>
      <c r="DI91" s="39" t="str">
        <f t="shared" si="82"/>
        <v>数据缺失</v>
      </c>
      <c r="DM91" s="89" t="str">
        <f t="shared" ref="DM91:DN93" si="97">DA91</f>
        <v>数据缺失</v>
      </c>
      <c r="DP91" s="39">
        <v>1</v>
      </c>
      <c r="DQ91" s="39" t="s">
        <v>1632</v>
      </c>
      <c r="DR91" s="39" t="s">
        <v>1630</v>
      </c>
      <c r="DU91" s="40" t="s">
        <v>1573</v>
      </c>
      <c r="DY91" s="40" t="s">
        <v>1573</v>
      </c>
      <c r="EC91" s="40" t="s">
        <v>1573</v>
      </c>
      <c r="EG91" s="40" t="s">
        <v>1573</v>
      </c>
      <c r="EJ91" s="2">
        <f t="shared" si="74"/>
        <v>0</v>
      </c>
      <c r="EK91" s="37" t="str">
        <f t="shared" si="96"/>
        <v>数据缺失</v>
      </c>
      <c r="EL91" s="36"/>
      <c r="EM91" s="36"/>
      <c r="EN91" s="36"/>
      <c r="EO91" s="36" t="s">
        <v>1573</v>
      </c>
      <c r="EP91" s="36"/>
      <c r="EQ91" s="36"/>
      <c r="ER91" s="8">
        <f t="shared" ref="ER91:ER102" si="98">IF(ES91="数据缺失",0,IF(ES91&lt;0,0,IF(ES91&lt;=5,5,IF(ES91&lt;=20,4,IF(ES91&lt;=50,3,IF(ES91&lt;=100,2,1))))))</f>
        <v>0</v>
      </c>
      <c r="ES91" s="38" t="str">
        <f>EW91</f>
        <v>数据缺失</v>
      </c>
      <c r="ET91" s="36"/>
      <c r="EU91" s="36"/>
      <c r="EV91" s="36"/>
      <c r="EW91" s="36" t="s">
        <v>1573</v>
      </c>
      <c r="EX91" s="36"/>
      <c r="EY91" s="36"/>
      <c r="EZ91" s="8">
        <f t="shared" ref="EZ91:EZ105" si="99">IF(FA91="数据缺失",0,IF(FA91&lt;0%,0,IF(FA91&lt;=50,4,IF(FA91&lt;100,3,IF(FA91&lt;200,2,1)))))</f>
        <v>0</v>
      </c>
      <c r="FA91" s="38" t="str">
        <f>FE91</f>
        <v>数据缺失</v>
      </c>
      <c r="FB91" s="36"/>
      <c r="FC91" s="36"/>
      <c r="FD91" s="36"/>
      <c r="FE91" s="36" t="s">
        <v>1573</v>
      </c>
      <c r="FH91" s="39">
        <v>1</v>
      </c>
      <c r="FI91" s="39" t="s">
        <v>1633</v>
      </c>
      <c r="FJ91" s="39" t="s">
        <v>1630</v>
      </c>
      <c r="FM91" s="36" t="s">
        <v>1573</v>
      </c>
      <c r="FN91" s="36"/>
      <c r="FO91" s="36"/>
      <c r="FP91" s="36"/>
      <c r="FQ91" s="36" t="s">
        <v>1573</v>
      </c>
      <c r="FR91" s="36"/>
      <c r="FS91" s="36"/>
      <c r="FT91" s="36"/>
      <c r="FU91" s="36" t="s">
        <v>1573</v>
      </c>
      <c r="FV91" s="36"/>
      <c r="FW91" s="36"/>
      <c r="FX91" s="36"/>
      <c r="FY91" s="36" t="s">
        <v>1573</v>
      </c>
      <c r="GB91" s="36">
        <v>2</v>
      </c>
      <c r="GC91" s="36" t="str">
        <f>GG91</f>
        <v>场地租赁占比62.48%；物业管理占比19.27%</v>
      </c>
      <c r="GD91" s="36"/>
      <c r="GE91" s="36"/>
      <c r="GF91" s="36"/>
      <c r="GG91" s="36" t="s">
        <v>1634</v>
      </c>
      <c r="GH91" s="36" t="s">
        <v>1630</v>
      </c>
      <c r="GJ91" s="8">
        <f t="shared" ref="GJ91:GJ105" si="100">IF(GK91="数据缺失",0,IF(GK91&lt;0%,0,IF(GK91&lt;=5%,4,IF(GK91&lt;10%,3,IF(GK91&lt;20%,2,1)))))</f>
        <v>1</v>
      </c>
      <c r="GK91" s="1">
        <f t="shared" ref="GK91:GK105" si="101">GN91/GS91</f>
        <v>0.81793090264156165</v>
      </c>
      <c r="GN91" s="39">
        <v>4.53</v>
      </c>
      <c r="GO91" s="39" t="s">
        <v>1635</v>
      </c>
      <c r="GP91" s="36" t="s">
        <v>1630</v>
      </c>
      <c r="GS91" s="69">
        <v>5.5383651423</v>
      </c>
      <c r="GT91" s="39" t="s">
        <v>1585</v>
      </c>
      <c r="GV91" s="8">
        <f t="shared" ref="GV91:GV105" si="102">IF(GW91="数据缺失",0,IF(GW91&lt;20%,1,IF(GW91&lt;40%,2,IF(GW91&lt;60%,3,IF(GW91&lt;80%,4,IF(GW91&lt;=100%,5,0))))))</f>
        <v>2</v>
      </c>
      <c r="GW91" s="1">
        <f t="shared" ref="GW91:GW105" si="103">HA91/HE91*100%</f>
        <v>0.3842347924315162</v>
      </c>
      <c r="HA91" s="69">
        <v>30.9593019446</v>
      </c>
      <c r="HB91" s="39" t="s">
        <v>1636</v>
      </c>
      <c r="HE91" s="69">
        <v>80.573916143000005</v>
      </c>
      <c r="HF91" s="39" t="s">
        <v>144</v>
      </c>
      <c r="HH91" s="39">
        <f t="shared" si="83"/>
        <v>1</v>
      </c>
      <c r="HI91" s="1">
        <f t="shared" ref="HI91:HI105" si="104">HM91/HQ91</f>
        <v>0.14619478165403071</v>
      </c>
      <c r="HM91" s="69">
        <v>1.8309788358000001</v>
      </c>
      <c r="HN91" s="39" t="s">
        <v>1636</v>
      </c>
      <c r="HQ91" s="78">
        <v>12.5242420768</v>
      </c>
      <c r="HR91" s="39" t="s">
        <v>1585</v>
      </c>
      <c r="HT91" s="39">
        <f t="shared" si="84"/>
        <v>4</v>
      </c>
      <c r="HU91" s="10">
        <f t="shared" ref="HU91:HU105" si="105">HY91/IC91</f>
        <v>0</v>
      </c>
      <c r="HY91" s="39">
        <v>0</v>
      </c>
      <c r="HZ91" s="39" t="s">
        <v>156</v>
      </c>
      <c r="IC91" s="69">
        <v>0.79128719940000003</v>
      </c>
      <c r="ID91" s="39" t="s">
        <v>1585</v>
      </c>
      <c r="IR91" s="42">
        <f t="shared" si="85"/>
        <v>4</v>
      </c>
      <c r="IS91" s="1">
        <f t="shared" ref="IS91:IS105" si="106">IW91/JA91</f>
        <v>0.14824910669647362</v>
      </c>
      <c r="IW91" s="39">
        <v>10.220000000000001</v>
      </c>
      <c r="IX91" s="39" t="s">
        <v>1637</v>
      </c>
      <c r="IY91" s="36" t="s">
        <v>1638</v>
      </c>
      <c r="JA91" s="69">
        <v>68.938020793100009</v>
      </c>
      <c r="JB91" s="39" t="s">
        <v>1585</v>
      </c>
      <c r="JD91" s="39">
        <f t="shared" si="86"/>
        <v>2</v>
      </c>
      <c r="JE91" s="43">
        <f t="shared" si="87"/>
        <v>5.718005677738032E-2</v>
      </c>
      <c r="JI91" s="39">
        <v>2.13</v>
      </c>
      <c r="JJ91" s="39" t="s">
        <v>1639</v>
      </c>
      <c r="JM91" s="39">
        <v>68.349999999999994</v>
      </c>
      <c r="JN91" s="39" t="s">
        <v>1639</v>
      </c>
      <c r="JQ91" s="39">
        <v>1.0900000000000001</v>
      </c>
      <c r="JR91" s="39" t="s">
        <v>1639</v>
      </c>
      <c r="JU91" s="39">
        <v>0</v>
      </c>
      <c r="JV91" s="39" t="s">
        <v>1639</v>
      </c>
      <c r="JX91" s="39">
        <v>2</v>
      </c>
      <c r="JY91" s="39" t="s">
        <v>1587</v>
      </c>
      <c r="KB91" s="39">
        <v>4</v>
      </c>
      <c r="KC91" s="39" t="s">
        <v>754</v>
      </c>
      <c r="KD91" s="39" t="s">
        <v>1636</v>
      </c>
      <c r="KF91" s="8">
        <f t="shared" ref="KF91:KF105" si="107">IF(KG91="数据缺失",0,IF(KG91&lt;0%,0,IF(KG91&lt;20%,1,IF(KG91&lt;50%,2,IF(KG91&lt;100%,3,4)))))</f>
        <v>1</v>
      </c>
      <c r="KG91" s="40">
        <f t="shared" si="95"/>
        <v>1.4639990942429491E-2</v>
      </c>
      <c r="KK91" s="69">
        <v>1.009252</v>
      </c>
      <c r="KL91" s="39" t="s">
        <v>156</v>
      </c>
      <c r="KO91" s="69">
        <v>68.938020793100009</v>
      </c>
      <c r="KP91" s="39" t="s">
        <v>1585</v>
      </c>
    </row>
    <row r="92" spans="2:302" s="39" customFormat="1" ht="15" hidden="1" customHeight="1" x14ac:dyDescent="0.35">
      <c r="B92" s="36" t="s">
        <v>1640</v>
      </c>
      <c r="C92" s="36" t="s">
        <v>543</v>
      </c>
      <c r="D92" s="39" t="s">
        <v>196</v>
      </c>
      <c r="E92" s="39" t="s">
        <v>369</v>
      </c>
      <c r="F92" s="36" t="s">
        <v>1641</v>
      </c>
      <c r="G92" s="3" t="s">
        <v>199</v>
      </c>
      <c r="H92" s="40">
        <v>0.9657</v>
      </c>
      <c r="L92" s="138">
        <v>4</v>
      </c>
      <c r="M92" s="36" t="s">
        <v>1642</v>
      </c>
      <c r="N92" s="36"/>
      <c r="O92" s="36"/>
      <c r="P92" s="36" t="s">
        <v>1643</v>
      </c>
      <c r="Q92" s="36" t="s">
        <v>1644</v>
      </c>
      <c r="R92" s="36" t="s">
        <v>1645</v>
      </c>
      <c r="S92" s="36"/>
      <c r="T92" s="36" t="s">
        <v>129</v>
      </c>
      <c r="U92" s="40">
        <f>64.99%*47.59%+64.99%*6.14%+64.99%*50.85%*20.43%</f>
        <v>0.41670713884499999</v>
      </c>
      <c r="X92" s="39">
        <f t="shared" si="93"/>
        <v>1</v>
      </c>
      <c r="Y92" s="43">
        <f>((AC92-AG92)/AG92+(AG92-AK92)/AK92)/2*100%</f>
        <v>0.37912349022831304</v>
      </c>
      <c r="AC92" s="39">
        <v>160.30000000000001</v>
      </c>
      <c r="AD92" s="39" t="s">
        <v>1646</v>
      </c>
      <c r="AG92" s="39">
        <v>130.5</v>
      </c>
      <c r="AH92" s="39" t="s">
        <v>1647</v>
      </c>
      <c r="AK92" s="39">
        <v>85.3</v>
      </c>
      <c r="AL92" s="39" t="s">
        <v>1646</v>
      </c>
      <c r="AN92" s="39">
        <f t="shared" si="94"/>
        <v>1</v>
      </c>
      <c r="AO92" s="43">
        <f t="shared" ref="AO92:AO99" si="108">((AS92-AW92)/AW92+(AW92-BA92)/BA92)/2*100%</f>
        <v>0.39682786577298756</v>
      </c>
      <c r="AS92" s="39">
        <v>123.5</v>
      </c>
      <c r="AT92" s="39" t="s">
        <v>1648</v>
      </c>
      <c r="AW92" s="39">
        <v>97.93</v>
      </c>
      <c r="AX92" s="39" t="s">
        <v>1648</v>
      </c>
      <c r="BA92" s="39">
        <v>63.9</v>
      </c>
      <c r="BB92" s="39" t="s">
        <v>1648</v>
      </c>
      <c r="BD92" s="2">
        <f t="shared" si="70"/>
        <v>3</v>
      </c>
      <c r="BE92" s="39">
        <f>BI92</f>
        <v>160.30000000000001</v>
      </c>
      <c r="BI92" s="39">
        <f t="shared" si="76"/>
        <v>160.30000000000001</v>
      </c>
      <c r="BJ92" s="39" t="s">
        <v>1649</v>
      </c>
      <c r="BL92" s="2">
        <f t="shared" si="71"/>
        <v>3</v>
      </c>
      <c r="BM92" s="39">
        <f t="shared" ref="BM92:BM102" si="109">BQ92</f>
        <v>123.5</v>
      </c>
      <c r="BQ92" s="39">
        <f t="shared" si="77"/>
        <v>123.5</v>
      </c>
      <c r="BR92" s="39" t="s">
        <v>1648</v>
      </c>
      <c r="BT92" s="8">
        <f t="shared" si="72"/>
        <v>1</v>
      </c>
      <c r="BU92" s="39">
        <v>7</v>
      </c>
      <c r="BY92" s="39">
        <v>7</v>
      </c>
      <c r="BZ92" s="39" t="s">
        <v>398</v>
      </c>
      <c r="CA92" s="39" t="s">
        <v>1650</v>
      </c>
      <c r="CB92" s="36">
        <v>0</v>
      </c>
      <c r="CC92" s="36" t="str">
        <f>CF92</f>
        <v>数据缺失</v>
      </c>
      <c r="CD92" s="36"/>
      <c r="CE92" s="36"/>
      <c r="CF92" s="36" t="s">
        <v>264</v>
      </c>
      <c r="CG92" s="39" t="s">
        <v>1780</v>
      </c>
      <c r="CJ92" s="39">
        <f t="shared" si="91"/>
        <v>2</v>
      </c>
      <c r="CK92" s="48">
        <f>CO92/CS92</f>
        <v>0</v>
      </c>
      <c r="CO92" s="39">
        <v>0</v>
      </c>
      <c r="CP92" s="39" t="s">
        <v>1647</v>
      </c>
      <c r="CQ92" s="58"/>
      <c r="CS92" s="39">
        <f t="shared" si="78"/>
        <v>160.30000000000001</v>
      </c>
      <c r="CT92" s="39" t="s">
        <v>1649</v>
      </c>
      <c r="CV92" s="36">
        <f t="shared" si="92"/>
        <v>5</v>
      </c>
      <c r="CW92" s="36">
        <v>39</v>
      </c>
      <c r="CX92" s="36"/>
      <c r="CY92" s="36"/>
      <c r="CZ92" s="36"/>
      <c r="DA92" s="36">
        <v>39</v>
      </c>
      <c r="DB92" s="36" t="s">
        <v>1646</v>
      </c>
      <c r="DD92" s="39">
        <f t="shared" si="80"/>
        <v>3</v>
      </c>
      <c r="DE92" s="69">
        <f>DM92/DI92</f>
        <v>0.31578947368421051</v>
      </c>
      <c r="DI92" s="39">
        <f t="shared" si="82"/>
        <v>123.5</v>
      </c>
      <c r="DJ92" s="39" t="s">
        <v>1648</v>
      </c>
      <c r="DM92" s="89">
        <f t="shared" si="97"/>
        <v>39</v>
      </c>
      <c r="DN92" s="35" t="str">
        <f t="shared" si="97"/>
        <v>评级20150703</v>
      </c>
      <c r="DP92" s="36">
        <v>3</v>
      </c>
      <c r="DQ92" s="36" t="s">
        <v>1651</v>
      </c>
      <c r="DR92" s="36"/>
      <c r="DS92" s="36"/>
      <c r="DT92" s="36"/>
      <c r="DU92" s="41">
        <v>0</v>
      </c>
      <c r="DV92" s="36" t="s">
        <v>1646</v>
      </c>
      <c r="DW92" s="36"/>
      <c r="DX92" s="36"/>
      <c r="DY92" s="41">
        <v>0.84619999999999995</v>
      </c>
      <c r="DZ92" s="36" t="s">
        <v>1647</v>
      </c>
      <c r="EA92" s="36"/>
      <c r="EB92" s="36"/>
      <c r="EC92" s="41">
        <v>0.15379999999999999</v>
      </c>
      <c r="ED92" s="36" t="s">
        <v>1646</v>
      </c>
      <c r="EE92" s="36"/>
      <c r="EF92" s="36"/>
      <c r="EG92" s="41">
        <v>0</v>
      </c>
      <c r="EH92" s="36" t="s">
        <v>1647</v>
      </c>
      <c r="EJ92" s="2">
        <f t="shared" si="74"/>
        <v>1</v>
      </c>
      <c r="EK92" s="39">
        <f t="shared" si="96"/>
        <v>196.03</v>
      </c>
      <c r="EO92" s="39">
        <v>196.03</v>
      </c>
      <c r="EP92" s="39" t="s">
        <v>1647</v>
      </c>
      <c r="ER92" s="8">
        <f t="shared" si="98"/>
        <v>2</v>
      </c>
      <c r="ES92" s="39">
        <f>EW92</f>
        <v>97.94</v>
      </c>
      <c r="EW92" s="39">
        <v>97.94</v>
      </c>
      <c r="EX92" s="39" t="s">
        <v>1646</v>
      </c>
      <c r="EZ92" s="8">
        <f t="shared" si="99"/>
        <v>1</v>
      </c>
      <c r="FA92" s="39">
        <v>1046</v>
      </c>
      <c r="FE92" s="39">
        <v>1046</v>
      </c>
      <c r="FF92" s="39" t="s">
        <v>1646</v>
      </c>
      <c r="FH92" s="39">
        <v>4</v>
      </c>
      <c r="FI92" s="39" t="s">
        <v>1652</v>
      </c>
      <c r="FM92" s="40">
        <v>3.6299999999999999E-2</v>
      </c>
      <c r="FN92" s="39" t="s">
        <v>1646</v>
      </c>
      <c r="FQ92" s="40">
        <v>0.53149999999999997</v>
      </c>
      <c r="FR92" s="39" t="s">
        <v>1647</v>
      </c>
      <c r="FU92" s="40">
        <v>0.32700000000000001</v>
      </c>
      <c r="FV92" s="39" t="s">
        <v>1646</v>
      </c>
      <c r="FY92" s="40">
        <v>0.1052</v>
      </c>
      <c r="FZ92" s="39" t="s">
        <v>1646</v>
      </c>
      <c r="GB92" s="39">
        <v>2</v>
      </c>
      <c r="GC92" s="39" t="s">
        <v>1653</v>
      </c>
      <c r="GG92" s="39" t="s">
        <v>1654</v>
      </c>
      <c r="GH92" s="36" t="s">
        <v>408</v>
      </c>
      <c r="GJ92" s="8">
        <f t="shared" si="100"/>
        <v>4</v>
      </c>
      <c r="GK92" s="1">
        <f t="shared" si="101"/>
        <v>4.6295733984946151E-2</v>
      </c>
      <c r="GN92" s="39">
        <v>5.88</v>
      </c>
      <c r="GO92" s="39" t="s">
        <v>1655</v>
      </c>
      <c r="GP92" s="39" t="s">
        <v>1656</v>
      </c>
      <c r="GS92" s="69">
        <v>127.0095426484</v>
      </c>
      <c r="GT92" s="39" t="s">
        <v>1657</v>
      </c>
      <c r="GV92" s="8">
        <f t="shared" si="102"/>
        <v>2</v>
      </c>
      <c r="GW92" s="1">
        <f t="shared" si="103"/>
        <v>0.30808427982794534</v>
      </c>
      <c r="GX92" s="36"/>
      <c r="GY92" s="36"/>
      <c r="GZ92" s="36"/>
      <c r="HA92" s="38">
        <v>181.46322571069999</v>
      </c>
      <c r="HB92" s="36" t="s">
        <v>408</v>
      </c>
      <c r="HC92" s="36"/>
      <c r="HD92" s="36"/>
      <c r="HE92" s="38">
        <v>589.00514434570005</v>
      </c>
      <c r="HF92" s="39" t="s">
        <v>1657</v>
      </c>
      <c r="HH92" s="39">
        <f t="shared" si="83"/>
        <v>2</v>
      </c>
      <c r="HI92" s="1">
        <f t="shared" si="104"/>
        <v>0.22388301245565756</v>
      </c>
      <c r="HJ92" s="36"/>
      <c r="HK92" s="36"/>
      <c r="HL92" s="36"/>
      <c r="HM92" s="38">
        <v>11.618600000000001</v>
      </c>
      <c r="HN92" s="36" t="s">
        <v>408</v>
      </c>
      <c r="HO92" s="36"/>
      <c r="HP92" s="36"/>
      <c r="HQ92" s="83">
        <v>51.895853430600006</v>
      </c>
      <c r="HR92" s="39" t="s">
        <v>1657</v>
      </c>
      <c r="HT92" s="39">
        <f t="shared" si="84"/>
        <v>4</v>
      </c>
      <c r="HU92" s="10">
        <f t="shared" si="105"/>
        <v>0</v>
      </c>
      <c r="HY92" s="39">
        <v>0</v>
      </c>
      <c r="HZ92" s="39" t="s">
        <v>1656</v>
      </c>
      <c r="IC92" s="69">
        <v>41.448799999999999</v>
      </c>
      <c r="ID92" s="39" t="s">
        <v>1657</v>
      </c>
      <c r="IR92" s="42">
        <f t="shared" si="85"/>
        <v>3</v>
      </c>
      <c r="IS92" s="1">
        <f t="shared" si="106"/>
        <v>1.3203380076858235</v>
      </c>
      <c r="IT92" s="36"/>
      <c r="IU92" s="36"/>
      <c r="IV92" s="36"/>
      <c r="IW92" s="36">
        <v>264.52999999999997</v>
      </c>
      <c r="IX92" s="36" t="s">
        <v>1649</v>
      </c>
      <c r="IY92" s="36"/>
      <c r="IZ92" s="36"/>
      <c r="JA92" s="38">
        <v>200.3502121882</v>
      </c>
      <c r="JB92" s="39" t="s">
        <v>1657</v>
      </c>
      <c r="JD92" s="39">
        <f t="shared" si="86"/>
        <v>4</v>
      </c>
      <c r="JE92" s="43">
        <f t="shared" si="87"/>
        <v>8.3045976527899551E-2</v>
      </c>
      <c r="JI92" s="39">
        <v>37.01</v>
      </c>
      <c r="JJ92" s="39" t="s">
        <v>1648</v>
      </c>
      <c r="JM92" s="39">
        <v>3.85</v>
      </c>
      <c r="JN92" s="39" t="s">
        <v>1648</v>
      </c>
      <c r="JQ92" s="39">
        <v>121.11</v>
      </c>
      <c r="JR92" s="39" t="s">
        <v>1647</v>
      </c>
      <c r="JU92" s="39">
        <v>110.4</v>
      </c>
      <c r="JV92" s="39" t="s">
        <v>1646</v>
      </c>
      <c r="JX92" s="39">
        <v>3</v>
      </c>
      <c r="JY92" s="39" t="s">
        <v>1621</v>
      </c>
      <c r="KB92" s="39">
        <v>38</v>
      </c>
      <c r="KC92" s="39" t="s">
        <v>1621</v>
      </c>
      <c r="KD92" s="39" t="s">
        <v>408</v>
      </c>
      <c r="KF92" s="8">
        <f t="shared" si="107"/>
        <v>2</v>
      </c>
      <c r="KG92" s="40">
        <f t="shared" si="95"/>
        <v>0.44611881876142179</v>
      </c>
      <c r="KK92" s="69">
        <v>89.38</v>
      </c>
      <c r="KL92" s="39" t="s">
        <v>408</v>
      </c>
      <c r="KM92" s="39" t="s">
        <v>1658</v>
      </c>
      <c r="KO92" s="69">
        <v>200.3502121882</v>
      </c>
      <c r="KP92" s="39" t="s">
        <v>144</v>
      </c>
    </row>
    <row r="93" spans="2:302" s="39" customFormat="1" ht="15" hidden="1" customHeight="1" x14ac:dyDescent="0.35">
      <c r="B93" s="36" t="s">
        <v>1640</v>
      </c>
      <c r="C93" s="36" t="s">
        <v>1659</v>
      </c>
      <c r="D93" s="39" t="s">
        <v>1660</v>
      </c>
      <c r="E93" s="39" t="s">
        <v>1591</v>
      </c>
      <c r="F93" s="39" t="s">
        <v>1641</v>
      </c>
      <c r="G93" s="42" t="s">
        <v>249</v>
      </c>
      <c r="H93" s="40">
        <f>96.51/101.53</f>
        <v>0.95055648576775342</v>
      </c>
      <c r="L93" s="138">
        <v>4</v>
      </c>
      <c r="M93" s="36" t="s">
        <v>1661</v>
      </c>
      <c r="N93" s="36"/>
      <c r="O93" s="36"/>
      <c r="P93" s="36" t="s">
        <v>1662</v>
      </c>
      <c r="Q93" s="36" t="s">
        <v>1644</v>
      </c>
      <c r="R93" s="36" t="s">
        <v>1158</v>
      </c>
      <c r="S93" s="36"/>
      <c r="T93" s="36" t="s">
        <v>129</v>
      </c>
      <c r="U93" s="40">
        <f>64.47%*47.67%+64.47%*6.15%+64.47%*50.85%*20.46%</f>
        <v>0.41405154776999997</v>
      </c>
      <c r="X93" s="39">
        <f t="shared" si="93"/>
        <v>1</v>
      </c>
      <c r="Y93" s="40">
        <f>((AC93-AG93)/AG93+(AG93-AK93)/AK93)/2*100%</f>
        <v>0.60600423574919615</v>
      </c>
      <c r="AC93" s="39">
        <v>130.5</v>
      </c>
      <c r="AD93" s="39" t="s">
        <v>1663</v>
      </c>
      <c r="AG93" s="39">
        <v>85.3</v>
      </c>
      <c r="AH93" s="39" t="s">
        <v>1663</v>
      </c>
      <c r="AK93" s="36">
        <v>50.71</v>
      </c>
      <c r="AL93" s="36" t="s">
        <v>1664</v>
      </c>
      <c r="AN93" s="39">
        <f t="shared" si="94"/>
        <v>1</v>
      </c>
      <c r="AO93" s="43">
        <f t="shared" si="108"/>
        <v>0.69912214568840458</v>
      </c>
      <c r="AS93" s="39">
        <v>97.93</v>
      </c>
      <c r="AT93" s="39" t="s">
        <v>1648</v>
      </c>
      <c r="AW93" s="39">
        <v>63.9</v>
      </c>
      <c r="AX93" s="39" t="s">
        <v>1648</v>
      </c>
      <c r="BA93" s="39">
        <v>34.25</v>
      </c>
      <c r="BB93" s="39" t="s">
        <v>1664</v>
      </c>
      <c r="BD93" s="2">
        <f t="shared" si="70"/>
        <v>3</v>
      </c>
      <c r="BE93" s="39">
        <f>BI93</f>
        <v>130.5</v>
      </c>
      <c r="BI93" s="39">
        <f t="shared" si="76"/>
        <v>130.5</v>
      </c>
      <c r="BJ93" s="39" t="s">
        <v>1663</v>
      </c>
      <c r="BL93" s="2">
        <f t="shared" si="71"/>
        <v>4</v>
      </c>
      <c r="BM93" s="39">
        <f t="shared" si="109"/>
        <v>97.93</v>
      </c>
      <c r="BQ93" s="39">
        <f t="shared" si="77"/>
        <v>97.93</v>
      </c>
      <c r="BR93" s="39" t="s">
        <v>1648</v>
      </c>
      <c r="BT93" s="8">
        <f t="shared" si="72"/>
        <v>1</v>
      </c>
      <c r="BU93" s="39">
        <v>7</v>
      </c>
      <c r="BY93" s="39">
        <v>7</v>
      </c>
      <c r="BZ93" s="76" t="s">
        <v>1610</v>
      </c>
      <c r="CA93" s="39" t="s">
        <v>1665</v>
      </c>
      <c r="CB93" s="39">
        <v>0</v>
      </c>
      <c r="CC93" s="39" t="str">
        <f>CF93</f>
        <v>数据缺失</v>
      </c>
      <c r="CF93" s="39" t="s">
        <v>264</v>
      </c>
      <c r="CG93" s="39" t="s">
        <v>1780</v>
      </c>
      <c r="CJ93" s="39">
        <f t="shared" si="91"/>
        <v>2</v>
      </c>
      <c r="CK93" s="53">
        <f>CO93/CS93</f>
        <v>0.91011494252873559</v>
      </c>
      <c r="CL93" s="36"/>
      <c r="CM93" s="36"/>
      <c r="CN93" s="36"/>
      <c r="CO93" s="39">
        <f>23.1+12.38+3.43+18.9+23.56+28.02+9.38</f>
        <v>118.77</v>
      </c>
      <c r="CP93" s="39" t="s">
        <v>1666</v>
      </c>
      <c r="CS93" s="39">
        <f t="shared" si="78"/>
        <v>130.5</v>
      </c>
      <c r="CT93" s="39" t="s">
        <v>1663</v>
      </c>
      <c r="CV93" s="36">
        <f t="shared" si="92"/>
        <v>5</v>
      </c>
      <c r="CW93" s="36">
        <f>DA93</f>
        <v>39.06</v>
      </c>
      <c r="DA93" s="39">
        <f>13.71+6.45+18.9</f>
        <v>39.06</v>
      </c>
      <c r="DB93" s="36" t="s">
        <v>1666</v>
      </c>
      <c r="DD93" s="39">
        <f t="shared" si="80"/>
        <v>3</v>
      </c>
      <c r="DE93" s="38">
        <f>DM93/DI93</f>
        <v>0.39885632594710507</v>
      </c>
      <c r="DI93" s="39">
        <f t="shared" si="82"/>
        <v>97.93</v>
      </c>
      <c r="DJ93" s="39" t="s">
        <v>1648</v>
      </c>
      <c r="DM93" s="89">
        <f t="shared" si="97"/>
        <v>39.06</v>
      </c>
      <c r="DN93" s="35" t="str">
        <f t="shared" si="97"/>
        <v>评级20140815</v>
      </c>
      <c r="DP93" s="36">
        <v>3</v>
      </c>
      <c r="DQ93" s="36" t="s">
        <v>1667</v>
      </c>
      <c r="DR93" s="36"/>
      <c r="DS93" s="36" t="s">
        <v>1668</v>
      </c>
      <c r="DT93" s="36"/>
      <c r="DU93" s="41">
        <v>0</v>
      </c>
      <c r="DV93" s="36" t="s">
        <v>1669</v>
      </c>
      <c r="DW93" s="36"/>
      <c r="DX93" s="36"/>
      <c r="DY93" s="41">
        <v>0.83489999999999998</v>
      </c>
      <c r="DZ93" s="36" t="s">
        <v>1666</v>
      </c>
      <c r="EA93" s="36"/>
      <c r="EB93" s="36"/>
      <c r="EC93" s="41">
        <v>0.1651</v>
      </c>
      <c r="ED93" s="36" t="s">
        <v>1666</v>
      </c>
      <c r="EE93" s="36"/>
      <c r="EF93" s="36"/>
      <c r="EG93" s="41">
        <v>0</v>
      </c>
      <c r="EH93" s="36" t="s">
        <v>1666</v>
      </c>
      <c r="EJ93" s="2">
        <f t="shared" si="74"/>
        <v>1</v>
      </c>
      <c r="EK93" s="39">
        <f t="shared" si="96"/>
        <v>233.2</v>
      </c>
      <c r="EO93" s="39">
        <v>233.2</v>
      </c>
      <c r="EP93" s="39" t="s">
        <v>1648</v>
      </c>
      <c r="ER93" s="8">
        <f t="shared" si="98"/>
        <v>2</v>
      </c>
      <c r="ES93" s="39">
        <f>EW93</f>
        <v>97.97</v>
      </c>
      <c r="EW93" s="39">
        <v>97.97</v>
      </c>
      <c r="EX93" s="39" t="s">
        <v>1648</v>
      </c>
      <c r="EZ93" s="8">
        <f t="shared" si="99"/>
        <v>4</v>
      </c>
      <c r="FE93" s="39">
        <v>1024.22</v>
      </c>
      <c r="FF93" s="36" t="s">
        <v>1669</v>
      </c>
      <c r="FH93" s="39">
        <v>4</v>
      </c>
      <c r="FI93" s="39" t="s">
        <v>1670</v>
      </c>
      <c r="FM93" s="40">
        <v>3.73E-2</v>
      </c>
      <c r="FN93" s="39" t="s">
        <v>1669</v>
      </c>
      <c r="FQ93" s="40">
        <v>0.56120000000000003</v>
      </c>
      <c r="FR93" s="39" t="s">
        <v>1671</v>
      </c>
      <c r="FU93" s="40">
        <v>0.29380000000000001</v>
      </c>
      <c r="FV93" s="39" t="s">
        <v>1669</v>
      </c>
      <c r="FY93" s="40">
        <v>0.1077</v>
      </c>
      <c r="FZ93" s="39" t="s">
        <v>1669</v>
      </c>
      <c r="GB93" s="39">
        <v>2</v>
      </c>
      <c r="GC93" s="39" t="s">
        <v>1672</v>
      </c>
      <c r="GG93" s="39" t="s">
        <v>1672</v>
      </c>
      <c r="GH93" s="39" t="s">
        <v>1158</v>
      </c>
      <c r="GJ93" s="8">
        <f t="shared" si="100"/>
        <v>4</v>
      </c>
      <c r="GK93" s="1">
        <f t="shared" si="101"/>
        <v>3.9690864655719138E-2</v>
      </c>
      <c r="GN93" s="39">
        <f>3.13+0.9</f>
        <v>4.03</v>
      </c>
      <c r="GO93" s="39" t="s">
        <v>1673</v>
      </c>
      <c r="GP93" s="39" t="s">
        <v>1674</v>
      </c>
      <c r="GS93" s="69">
        <v>101.5346991041</v>
      </c>
      <c r="GT93" s="39" t="s">
        <v>144</v>
      </c>
      <c r="GV93" s="8">
        <f t="shared" si="102"/>
        <v>2</v>
      </c>
      <c r="GW93" s="1">
        <f t="shared" si="103"/>
        <v>0.35351992475060989</v>
      </c>
      <c r="GX93" s="36"/>
      <c r="GY93" s="36"/>
      <c r="GZ93" s="36"/>
      <c r="HA93" s="36">
        <v>177.07</v>
      </c>
      <c r="HB93" s="36" t="s">
        <v>1675</v>
      </c>
      <c r="HC93" s="36"/>
      <c r="HD93" s="36"/>
      <c r="HE93" s="38">
        <v>500.87700184059997</v>
      </c>
      <c r="HF93" s="39" t="s">
        <v>1676</v>
      </c>
      <c r="HH93" s="39">
        <f t="shared" si="83"/>
        <v>1</v>
      </c>
      <c r="HI93" s="1">
        <f t="shared" si="104"/>
        <v>0.10888564838589873</v>
      </c>
      <c r="HM93" s="39">
        <v>5.9</v>
      </c>
      <c r="HN93" s="39" t="s">
        <v>1158</v>
      </c>
      <c r="HQ93" s="78">
        <v>54.185286008399999</v>
      </c>
      <c r="HR93" s="39" t="s">
        <v>144</v>
      </c>
      <c r="HT93" s="39">
        <f t="shared" si="84"/>
        <v>4</v>
      </c>
      <c r="HU93" s="10">
        <f t="shared" si="105"/>
        <v>0</v>
      </c>
      <c r="HY93" s="39">
        <v>0</v>
      </c>
      <c r="HZ93" s="39" t="s">
        <v>1158</v>
      </c>
      <c r="IC93" s="39">
        <v>67.230999999999995</v>
      </c>
      <c r="ID93" s="39" t="s">
        <v>144</v>
      </c>
      <c r="IR93" s="42">
        <f t="shared" si="85"/>
        <v>2</v>
      </c>
      <c r="IS93" s="1">
        <f t="shared" si="106"/>
        <v>2.326930009188537</v>
      </c>
      <c r="IT93" s="36"/>
      <c r="IU93" s="36"/>
      <c r="IV93" s="36"/>
      <c r="IW93" s="36">
        <v>377.56</v>
      </c>
      <c r="IX93" s="36" t="s">
        <v>1677</v>
      </c>
      <c r="IY93" s="36" t="s">
        <v>1678</v>
      </c>
      <c r="JA93" s="69">
        <v>162.2567066947</v>
      </c>
      <c r="JB93" s="39" t="s">
        <v>144</v>
      </c>
      <c r="JD93" s="39">
        <f t="shared" si="86"/>
        <v>3</v>
      </c>
      <c r="JE93" s="43">
        <f t="shared" si="87"/>
        <v>6.9446966664258647E-2</v>
      </c>
      <c r="JI93" s="39">
        <v>26.1</v>
      </c>
      <c r="JJ93" s="39" t="s">
        <v>1679</v>
      </c>
      <c r="JM93" s="39">
        <v>3.67</v>
      </c>
      <c r="JN93" s="39" t="s">
        <v>1679</v>
      </c>
      <c r="JQ93" s="39">
        <v>110.4</v>
      </c>
      <c r="JR93" s="39" t="s">
        <v>1679</v>
      </c>
      <c r="JU93" s="39">
        <v>94.41</v>
      </c>
      <c r="JV93" s="39" t="s">
        <v>1666</v>
      </c>
      <c r="JX93" s="39">
        <v>3</v>
      </c>
      <c r="JY93" s="39" t="s">
        <v>1621</v>
      </c>
      <c r="KB93" s="39">
        <v>42</v>
      </c>
      <c r="KC93" s="39" t="s">
        <v>1621</v>
      </c>
      <c r="KD93" s="39" t="s">
        <v>1680</v>
      </c>
      <c r="KF93" s="8">
        <f t="shared" si="107"/>
        <v>2</v>
      </c>
      <c r="KG93" s="5">
        <f t="shared" si="95"/>
        <v>0.317829389308593</v>
      </c>
      <c r="KH93" s="36"/>
      <c r="KI93" s="36"/>
      <c r="KJ93" s="36"/>
      <c r="KK93" s="38">
        <v>51.569949999999999</v>
      </c>
      <c r="KL93" s="36" t="s">
        <v>1158</v>
      </c>
      <c r="KM93" s="36" t="s">
        <v>1681</v>
      </c>
      <c r="KN93" s="36"/>
      <c r="KO93" s="37">
        <f>JA93</f>
        <v>162.2567066947</v>
      </c>
      <c r="KP93" s="39" t="s">
        <v>1676</v>
      </c>
    </row>
    <row r="94" spans="2:302" s="39" customFormat="1" ht="15" hidden="1" customHeight="1" x14ac:dyDescent="0.35">
      <c r="B94" s="39" t="s">
        <v>1682</v>
      </c>
      <c r="C94" s="36" t="s">
        <v>1683</v>
      </c>
      <c r="D94" s="39" t="s">
        <v>1660</v>
      </c>
      <c r="E94" s="39" t="s">
        <v>1684</v>
      </c>
      <c r="F94" s="39" t="s">
        <v>1685</v>
      </c>
      <c r="G94" s="42" t="s">
        <v>174</v>
      </c>
      <c r="H94" s="40">
        <f>87.88%+4.45%</f>
        <v>0.9232999999999999</v>
      </c>
      <c r="L94" s="42">
        <v>4</v>
      </c>
      <c r="M94" s="39" t="s">
        <v>1686</v>
      </c>
      <c r="P94" s="39" t="s">
        <v>126</v>
      </c>
      <c r="Q94" s="39" t="s">
        <v>1644</v>
      </c>
      <c r="R94" s="39" t="s">
        <v>1687</v>
      </c>
      <c r="T94" s="39" t="s">
        <v>203</v>
      </c>
      <c r="U94" s="40">
        <v>0.65959999999999996</v>
      </c>
      <c r="X94" s="39">
        <f t="shared" si="93"/>
        <v>2</v>
      </c>
      <c r="Y94" s="40">
        <f t="shared" ref="Y94:Y99" si="110">((AC94-AG94)/AG94+(AG94-AK94)/AK94)/2*100%</f>
        <v>0.1151848592467596</v>
      </c>
      <c r="AC94" s="39">
        <v>165.84</v>
      </c>
      <c r="AD94" s="39" t="s">
        <v>1688</v>
      </c>
      <c r="AG94" s="39">
        <v>114.94</v>
      </c>
      <c r="AH94" s="39" t="s">
        <v>1687</v>
      </c>
      <c r="AK94" s="39">
        <v>145.94999999999999</v>
      </c>
      <c r="AL94" s="39" t="s">
        <v>1688</v>
      </c>
      <c r="AN94" s="39">
        <f t="shared" si="94"/>
        <v>2</v>
      </c>
      <c r="AO94" s="43">
        <f t="shared" si="108"/>
        <v>0.13930710636188878</v>
      </c>
      <c r="AS94" s="39">
        <v>165.88</v>
      </c>
      <c r="AT94" s="39" t="s">
        <v>1688</v>
      </c>
      <c r="AW94" s="39">
        <v>131.88999999999999</v>
      </c>
      <c r="AX94" s="39" t="s">
        <v>1687</v>
      </c>
      <c r="BA94" s="39">
        <v>129.19</v>
      </c>
      <c r="BB94" s="39" t="s">
        <v>1687</v>
      </c>
      <c r="BD94" s="2">
        <f t="shared" si="70"/>
        <v>3</v>
      </c>
      <c r="BE94" s="39">
        <f>BI94</f>
        <v>165.84</v>
      </c>
      <c r="BI94" s="39">
        <f t="shared" si="76"/>
        <v>165.84</v>
      </c>
      <c r="BJ94" s="39" t="s">
        <v>1688</v>
      </c>
      <c r="BL94" s="2">
        <f t="shared" si="71"/>
        <v>3</v>
      </c>
      <c r="BM94" s="39">
        <f t="shared" si="109"/>
        <v>165.88</v>
      </c>
      <c r="BQ94" s="39">
        <f t="shared" si="77"/>
        <v>165.88</v>
      </c>
      <c r="BR94" s="39" t="s">
        <v>1688</v>
      </c>
      <c r="BT94" s="8">
        <f t="shared" si="72"/>
        <v>1</v>
      </c>
      <c r="BU94" s="39">
        <v>12</v>
      </c>
      <c r="BY94" s="39">
        <v>12</v>
      </c>
      <c r="BZ94" s="39" t="s">
        <v>234</v>
      </c>
      <c r="CA94" s="39" t="s">
        <v>1650</v>
      </c>
      <c r="CB94" s="39">
        <v>4</v>
      </c>
      <c r="CC94" s="39" t="s">
        <v>137</v>
      </c>
      <c r="CF94" s="39" t="s">
        <v>1689</v>
      </c>
      <c r="CG94" s="39" t="s">
        <v>1689</v>
      </c>
      <c r="CH94" s="39" t="s">
        <v>1690</v>
      </c>
      <c r="CJ94" s="39">
        <f t="shared" si="91"/>
        <v>0</v>
      </c>
      <c r="CK94" s="53" t="s">
        <v>1691</v>
      </c>
      <c r="CL94" s="36"/>
      <c r="CM94" s="36"/>
      <c r="CN94" s="36"/>
      <c r="CO94" s="36" t="s">
        <v>264</v>
      </c>
      <c r="CP94" s="36"/>
      <c r="CQ94" s="36"/>
      <c r="CR94" s="36"/>
      <c r="CS94" s="39">
        <f t="shared" si="78"/>
        <v>165.84</v>
      </c>
      <c r="CT94" s="36" t="str">
        <f>AD94</f>
        <v>评级20160701</v>
      </c>
      <c r="CV94" s="36">
        <f t="shared" si="92"/>
        <v>1</v>
      </c>
      <c r="CW94" s="39">
        <v>3299</v>
      </c>
      <c r="DA94" s="39">
        <v>3299</v>
      </c>
      <c r="DB94" s="36" t="str">
        <f>AL94</f>
        <v>评级20160701</v>
      </c>
      <c r="DC94" s="39" t="s">
        <v>1692</v>
      </c>
      <c r="DD94" s="39">
        <f t="shared" si="80"/>
        <v>2</v>
      </c>
      <c r="DE94" s="38">
        <f>DM94/DI94</f>
        <v>19.887870749939715</v>
      </c>
      <c r="DI94" s="39">
        <f t="shared" si="82"/>
        <v>165.88</v>
      </c>
      <c r="DJ94" s="39" t="s">
        <v>1687</v>
      </c>
      <c r="DM94" s="39">
        <v>3299</v>
      </c>
      <c r="DN94" s="36" t="str">
        <f>AX94</f>
        <v>评级20160701</v>
      </c>
      <c r="DO94" s="39" t="s">
        <v>1692</v>
      </c>
      <c r="DP94" s="39">
        <v>2</v>
      </c>
      <c r="DQ94" s="39" t="s">
        <v>1693</v>
      </c>
      <c r="DS94" s="39" t="s">
        <v>1687</v>
      </c>
      <c r="DU94" s="41" t="s">
        <v>1691</v>
      </c>
      <c r="DV94" s="36"/>
      <c r="DW94" s="36"/>
      <c r="DX94" s="36"/>
      <c r="DY94" s="41" t="s">
        <v>264</v>
      </c>
      <c r="DZ94" s="36"/>
      <c r="EA94" s="36"/>
      <c r="EB94" s="36"/>
      <c r="EC94" s="41" t="s">
        <v>1691</v>
      </c>
      <c r="ED94" s="36"/>
      <c r="EE94" s="36"/>
      <c r="EF94" s="36"/>
      <c r="EG94" s="41" t="s">
        <v>1691</v>
      </c>
      <c r="EJ94" s="2">
        <f t="shared" si="74"/>
        <v>1</v>
      </c>
      <c r="EK94" s="39">
        <f t="shared" si="96"/>
        <v>141.63999999999999</v>
      </c>
      <c r="EO94" s="39">
        <v>141.63999999999999</v>
      </c>
      <c r="EP94" s="39" t="s">
        <v>1687</v>
      </c>
      <c r="ER94" s="8">
        <f t="shared" si="98"/>
        <v>0</v>
      </c>
      <c r="ES94" s="39" t="s">
        <v>1691</v>
      </c>
      <c r="EW94" s="39" t="s">
        <v>1691</v>
      </c>
      <c r="EZ94" s="8">
        <f t="shared" si="99"/>
        <v>1</v>
      </c>
      <c r="FA94" s="39">
        <f>FE94</f>
        <v>303.62</v>
      </c>
      <c r="FE94" s="39">
        <v>303.62</v>
      </c>
      <c r="FF94" s="39" t="s">
        <v>1687</v>
      </c>
      <c r="FH94" s="39">
        <v>2</v>
      </c>
      <c r="FI94" s="14" t="s">
        <v>1694</v>
      </c>
      <c r="FJ94" s="39" t="s">
        <v>1688</v>
      </c>
      <c r="FM94" s="39" t="s">
        <v>1691</v>
      </c>
      <c r="FQ94" s="39" t="s">
        <v>1691</v>
      </c>
      <c r="FU94" s="39" t="s">
        <v>264</v>
      </c>
      <c r="FY94" s="39" t="s">
        <v>1691</v>
      </c>
      <c r="GB94" s="36">
        <v>2</v>
      </c>
      <c r="GC94" s="36" t="str">
        <f t="shared" ref="GC94:GC99" si="111">GG94</f>
        <v>房地产销售占比87.88%；物业管理占比4.45%</v>
      </c>
      <c r="GD94" s="36"/>
      <c r="GE94" s="36"/>
      <c r="GF94" s="36"/>
      <c r="GG94" s="36" t="s">
        <v>1695</v>
      </c>
      <c r="GH94" s="39" t="s">
        <v>1688</v>
      </c>
      <c r="GJ94" s="8">
        <f t="shared" si="100"/>
        <v>4</v>
      </c>
      <c r="GK94" s="1">
        <f t="shared" si="101"/>
        <v>4.456875816053528E-2</v>
      </c>
      <c r="GN94" s="39">
        <v>6.56</v>
      </c>
      <c r="GO94" s="39" t="s">
        <v>1696</v>
      </c>
      <c r="GP94" s="39" t="s">
        <v>1687</v>
      </c>
      <c r="GS94" s="69">
        <v>147.18830568200002</v>
      </c>
      <c r="GT94" s="39" t="s">
        <v>1676</v>
      </c>
      <c r="GV94" s="8">
        <f t="shared" si="102"/>
        <v>1</v>
      </c>
      <c r="GW94" s="1">
        <f t="shared" si="103"/>
        <v>0.15491933592337873</v>
      </c>
      <c r="HA94" s="69">
        <v>132.48393799999999</v>
      </c>
      <c r="HB94" s="39" t="s">
        <v>1697</v>
      </c>
      <c r="HE94" s="69">
        <v>855.18013106850003</v>
      </c>
      <c r="HF94" s="39" t="s">
        <v>1676</v>
      </c>
      <c r="HH94" s="39">
        <f t="shared" si="83"/>
        <v>1</v>
      </c>
      <c r="HI94" s="1">
        <f t="shared" si="104"/>
        <v>6.4033592020405636E-2</v>
      </c>
      <c r="HM94" s="69">
        <v>5.9209779999999999</v>
      </c>
      <c r="HN94" s="39" t="s">
        <v>1113</v>
      </c>
      <c r="HQ94" s="78">
        <v>92.466747736299993</v>
      </c>
      <c r="HR94" s="39" t="s">
        <v>144</v>
      </c>
      <c r="HT94" s="39">
        <f t="shared" si="84"/>
        <v>4</v>
      </c>
      <c r="HU94" s="10">
        <f t="shared" si="105"/>
        <v>1.392946796449057E-2</v>
      </c>
      <c r="HY94" s="39">
        <v>0.6</v>
      </c>
      <c r="HZ94" s="39" t="s">
        <v>1698</v>
      </c>
      <c r="IC94" s="69">
        <v>43.074150536800005</v>
      </c>
      <c r="ID94" s="39" t="s">
        <v>1676</v>
      </c>
      <c r="IR94" s="42">
        <f t="shared" si="85"/>
        <v>1</v>
      </c>
      <c r="IS94" s="1">
        <f t="shared" si="106"/>
        <v>4.0651467329786151</v>
      </c>
      <c r="IW94" s="39">
        <v>858</v>
      </c>
      <c r="IX94" s="39" t="s">
        <v>1697</v>
      </c>
      <c r="JA94" s="69">
        <v>211.06249204720001</v>
      </c>
      <c r="JB94" s="39" t="s">
        <v>144</v>
      </c>
      <c r="JD94" s="39">
        <f t="shared" si="86"/>
        <v>3</v>
      </c>
      <c r="JE94" s="43">
        <f t="shared" si="87"/>
        <v>7.1223767691556847E-2</v>
      </c>
      <c r="JI94" s="39">
        <v>32.69</v>
      </c>
      <c r="JJ94" s="39" t="s">
        <v>1687</v>
      </c>
      <c r="JM94" s="39">
        <v>4.4800000000000004</v>
      </c>
      <c r="JN94" s="39" t="s">
        <v>1687</v>
      </c>
      <c r="JQ94" s="39">
        <v>132.37</v>
      </c>
      <c r="JR94" s="39" t="s">
        <v>1687</v>
      </c>
      <c r="JU94" s="39">
        <v>72.53</v>
      </c>
      <c r="JV94" s="39" t="s">
        <v>1687</v>
      </c>
      <c r="JX94" s="39">
        <v>2</v>
      </c>
      <c r="JY94" s="39" t="s">
        <v>1699</v>
      </c>
      <c r="KB94" s="39">
        <v>4</v>
      </c>
      <c r="KC94" s="39" t="s">
        <v>754</v>
      </c>
      <c r="KD94" s="39" t="s">
        <v>156</v>
      </c>
      <c r="KF94" s="8">
        <f t="shared" si="107"/>
        <v>1</v>
      </c>
      <c r="KG94" s="40">
        <f t="shared" si="95"/>
        <v>5.8797751697278099E-2</v>
      </c>
      <c r="KK94" s="39">
        <v>12.41</v>
      </c>
      <c r="KL94" s="39" t="s">
        <v>1697</v>
      </c>
      <c r="KM94" s="39" t="s">
        <v>1700</v>
      </c>
      <c r="KO94" s="69">
        <v>211.06249204720001</v>
      </c>
      <c r="KP94" s="39" t="s">
        <v>144</v>
      </c>
    </row>
    <row r="95" spans="2:302" s="39" customFormat="1" ht="15" hidden="1" customHeight="1" x14ac:dyDescent="0.35">
      <c r="B95" s="39" t="s">
        <v>1682</v>
      </c>
      <c r="C95" s="36" t="s">
        <v>1683</v>
      </c>
      <c r="D95" s="39" t="s">
        <v>1660</v>
      </c>
      <c r="E95" s="39" t="s">
        <v>1684</v>
      </c>
      <c r="F95" s="39" t="s">
        <v>1685</v>
      </c>
      <c r="G95" s="42" t="s">
        <v>199</v>
      </c>
      <c r="H95" s="40">
        <f>(100.16+5.09)/111.71</f>
        <v>0.9421716945662878</v>
      </c>
      <c r="L95" s="42">
        <v>4</v>
      </c>
      <c r="M95" s="39" t="s">
        <v>1701</v>
      </c>
      <c r="P95" s="39" t="s">
        <v>126</v>
      </c>
      <c r="Q95" s="39" t="s">
        <v>1644</v>
      </c>
      <c r="R95" s="39" t="s">
        <v>1702</v>
      </c>
      <c r="T95" s="39" t="s">
        <v>203</v>
      </c>
      <c r="U95" s="40">
        <v>0.64990000000000003</v>
      </c>
      <c r="V95" s="40"/>
      <c r="X95" s="36">
        <f t="shared" ref="X95:X102" si="112">IF(Y95="数据缺失",0,IF(Y95&lt;-30%,6,IF(Y95&lt;-10%,5,IF(Y95&lt;0%,4,IF(Y95&lt;10%,3,IF(Y95&lt;30%,2,1))))))</f>
        <v>1</v>
      </c>
      <c r="Y95" s="5">
        <f t="shared" si="110"/>
        <v>0.95572988526986635</v>
      </c>
      <c r="Z95" s="36"/>
      <c r="AA95" s="36"/>
      <c r="AB95" s="36"/>
      <c r="AC95" s="36">
        <v>114.94</v>
      </c>
      <c r="AD95" s="36" t="s">
        <v>1688</v>
      </c>
      <c r="AE95" s="36"/>
      <c r="AF95" s="36"/>
      <c r="AG95" s="36">
        <v>145.94999999999999</v>
      </c>
      <c r="AH95" s="36" t="s">
        <v>1687</v>
      </c>
      <c r="AI95" s="36"/>
      <c r="AJ95" s="36"/>
      <c r="AK95" s="36">
        <v>46.72</v>
      </c>
      <c r="AL95" s="36" t="s">
        <v>1703</v>
      </c>
      <c r="AN95" s="36">
        <f t="shared" si="94"/>
        <v>1</v>
      </c>
      <c r="AO95" s="5">
        <f t="shared" si="108"/>
        <v>0.80002848344610611</v>
      </c>
      <c r="AP95" s="36"/>
      <c r="AQ95" s="36"/>
      <c r="AR95" s="36"/>
      <c r="AS95" s="36">
        <v>131.88999999999999</v>
      </c>
      <c r="AT95" s="36" t="s">
        <v>1687</v>
      </c>
      <c r="AU95" s="36"/>
      <c r="AV95" s="36"/>
      <c r="AW95" s="36">
        <v>129.19</v>
      </c>
      <c r="AX95" s="36" t="s">
        <v>1687</v>
      </c>
      <c r="AY95" s="36"/>
      <c r="AZ95" s="36"/>
      <c r="BA95" s="36">
        <v>50.09</v>
      </c>
      <c r="BB95" s="36" t="s">
        <v>1702</v>
      </c>
      <c r="BD95" s="2">
        <f t="shared" si="70"/>
        <v>5</v>
      </c>
      <c r="BI95" s="39">
        <f t="shared" si="76"/>
        <v>114.94</v>
      </c>
      <c r="BJ95" s="36" t="str">
        <f>AD95</f>
        <v>评级20160701</v>
      </c>
      <c r="BK95" s="36"/>
      <c r="BL95" s="2">
        <f t="shared" si="71"/>
        <v>3</v>
      </c>
      <c r="BM95" s="36">
        <f t="shared" si="109"/>
        <v>131.88999999999999</v>
      </c>
      <c r="BN95" s="36"/>
      <c r="BO95" s="36"/>
      <c r="BP95" s="36"/>
      <c r="BQ95" s="39">
        <f t="shared" si="77"/>
        <v>131.88999999999999</v>
      </c>
      <c r="BR95" s="36" t="str">
        <f>AT95</f>
        <v>评级20160701</v>
      </c>
      <c r="BT95" s="8">
        <f t="shared" si="72"/>
        <v>1</v>
      </c>
      <c r="BU95" s="39">
        <v>7</v>
      </c>
      <c r="BY95" s="39">
        <v>7</v>
      </c>
      <c r="BZ95" s="39" t="s">
        <v>398</v>
      </c>
      <c r="CA95" s="39" t="s">
        <v>1704</v>
      </c>
      <c r="CB95" s="39">
        <v>4</v>
      </c>
      <c r="CC95" s="39" t="s">
        <v>1705</v>
      </c>
      <c r="CF95" s="39" t="s">
        <v>137</v>
      </c>
      <c r="CG95" s="39" t="s">
        <v>1689</v>
      </c>
      <c r="CH95" s="39" t="s">
        <v>1690</v>
      </c>
      <c r="CJ95" s="39">
        <f t="shared" si="91"/>
        <v>0</v>
      </c>
      <c r="CK95" s="39" t="s">
        <v>1574</v>
      </c>
      <c r="CO95" s="39" t="s">
        <v>264</v>
      </c>
      <c r="CS95" s="39">
        <f t="shared" si="78"/>
        <v>114.94</v>
      </c>
      <c r="CT95" s="39" t="s">
        <v>1688</v>
      </c>
      <c r="CV95" s="36">
        <f t="shared" si="92"/>
        <v>0</v>
      </c>
      <c r="CW95" s="39" t="s">
        <v>1574</v>
      </c>
      <c r="DA95" s="39" t="s">
        <v>264</v>
      </c>
      <c r="DD95" s="39">
        <f t="shared" si="80"/>
        <v>0</v>
      </c>
      <c r="DE95" s="69" t="s">
        <v>1691</v>
      </c>
      <c r="DI95" s="39">
        <f t="shared" si="82"/>
        <v>131.88999999999999</v>
      </c>
      <c r="DJ95" s="39" t="s">
        <v>1687</v>
      </c>
      <c r="DM95" s="39" t="s">
        <v>1574</v>
      </c>
      <c r="DP95" s="39">
        <v>2</v>
      </c>
      <c r="DQ95" s="39" t="s">
        <v>1706</v>
      </c>
      <c r="DR95" s="39" t="s">
        <v>1707</v>
      </c>
      <c r="DU95" s="40" t="s">
        <v>264</v>
      </c>
      <c r="DY95" s="40" t="s">
        <v>264</v>
      </c>
      <c r="EC95" s="40" t="s">
        <v>264</v>
      </c>
      <c r="EG95" s="40" t="s">
        <v>264</v>
      </c>
      <c r="EJ95" s="2">
        <f t="shared" si="74"/>
        <v>1</v>
      </c>
      <c r="EK95" s="37">
        <f t="shared" si="96"/>
        <v>229.93</v>
      </c>
      <c r="EL95" s="36"/>
      <c r="EM95" s="36"/>
      <c r="EN95" s="36"/>
      <c r="EO95" s="36">
        <v>229.93</v>
      </c>
      <c r="EP95" s="36" t="s">
        <v>1703</v>
      </c>
      <c r="ER95" s="8">
        <f t="shared" si="98"/>
        <v>1</v>
      </c>
      <c r="ES95" s="38">
        <f>EW95</f>
        <v>116.89</v>
      </c>
      <c r="ET95" s="36"/>
      <c r="EU95" s="36"/>
      <c r="EV95" s="36"/>
      <c r="EW95" s="36">
        <v>116.89</v>
      </c>
      <c r="EX95" s="36" t="s">
        <v>1702</v>
      </c>
      <c r="EZ95" s="8">
        <f t="shared" si="99"/>
        <v>0</v>
      </c>
      <c r="FA95" s="39" t="s">
        <v>264</v>
      </c>
      <c r="FE95" s="39" t="s">
        <v>264</v>
      </c>
      <c r="FH95" s="39">
        <v>3</v>
      </c>
      <c r="FI95" s="14" t="s">
        <v>1708</v>
      </c>
      <c r="FJ95" s="36" t="s">
        <v>1703</v>
      </c>
      <c r="FM95" s="39" t="s">
        <v>264</v>
      </c>
      <c r="FQ95" s="39" t="s">
        <v>264</v>
      </c>
      <c r="FU95" s="39" t="s">
        <v>1691</v>
      </c>
      <c r="FY95" s="39" t="s">
        <v>264</v>
      </c>
      <c r="GB95" s="36">
        <v>2</v>
      </c>
      <c r="GC95" s="36" t="str">
        <f t="shared" si="111"/>
        <v>房地产销售占比89.66%；物业管理占比4.56%</v>
      </c>
      <c r="GD95" s="36"/>
      <c r="GE95" s="36"/>
      <c r="GF95" s="36"/>
      <c r="GG95" s="36" t="s">
        <v>1709</v>
      </c>
      <c r="GH95" s="36" t="s">
        <v>1703</v>
      </c>
      <c r="GJ95" s="8">
        <f t="shared" si="100"/>
        <v>4</v>
      </c>
      <c r="GK95" s="1">
        <f t="shared" si="101"/>
        <v>4.5563965431984592E-2</v>
      </c>
      <c r="GN95" s="39">
        <v>5.09</v>
      </c>
      <c r="GO95" s="39" t="s">
        <v>1710</v>
      </c>
      <c r="GP95" s="36" t="s">
        <v>1703</v>
      </c>
      <c r="GS95" s="69">
        <v>111.711084664</v>
      </c>
      <c r="GT95" s="39" t="s">
        <v>1583</v>
      </c>
      <c r="GV95" s="8">
        <f t="shared" si="102"/>
        <v>2</v>
      </c>
      <c r="GW95" s="1">
        <f t="shared" si="103"/>
        <v>0.20635142609128207</v>
      </c>
      <c r="HA95" s="69">
        <v>141.218447</v>
      </c>
      <c r="HB95" s="39" t="s">
        <v>1711</v>
      </c>
      <c r="HE95" s="69">
        <v>684.35895828280002</v>
      </c>
      <c r="HF95" s="39" t="s">
        <v>144</v>
      </c>
      <c r="HH95" s="39">
        <f t="shared" si="83"/>
        <v>1</v>
      </c>
      <c r="HI95" s="1">
        <f t="shared" si="104"/>
        <v>9.2534022172277922E-2</v>
      </c>
      <c r="HM95" s="69">
        <v>9.6050959999999996</v>
      </c>
      <c r="HN95" s="39" t="s">
        <v>1712</v>
      </c>
      <c r="HQ95" s="78">
        <v>103.8006970249</v>
      </c>
      <c r="HR95" s="39" t="s">
        <v>144</v>
      </c>
      <c r="HT95" s="39">
        <f>IF(HU95="数据缺失",0,IF(HU95&lt;5%,4,IF(HU95&lt;=10%,3,IF(HU95&lt;30%,2,IF(HU95&lt;=100%,1,0)))))</f>
        <v>2</v>
      </c>
      <c r="HU95" s="10">
        <f>HY95/IC95</f>
        <v>0.2473180648410972</v>
      </c>
      <c r="HY95" s="160">
        <v>13.6</v>
      </c>
      <c r="HZ95" s="39" t="s">
        <v>2834</v>
      </c>
      <c r="IC95" s="69">
        <v>54.989917573299998</v>
      </c>
      <c r="ID95" s="39" t="s">
        <v>144</v>
      </c>
      <c r="IR95" s="42">
        <f t="shared" si="85"/>
        <v>1</v>
      </c>
      <c r="IS95" s="1">
        <f t="shared" si="106"/>
        <v>4.8816867690152845</v>
      </c>
      <c r="IT95" s="36"/>
      <c r="IU95" s="36"/>
      <c r="IV95" s="36"/>
      <c r="IW95" s="36">
        <v>800</v>
      </c>
      <c r="IX95" s="36" t="s">
        <v>1711</v>
      </c>
      <c r="IY95" s="36"/>
      <c r="IZ95" s="36"/>
      <c r="JA95" s="38">
        <v>163.87778197439999</v>
      </c>
      <c r="JB95" s="39" t="s">
        <v>144</v>
      </c>
      <c r="JD95" s="39">
        <f t="shared" si="86"/>
        <v>4</v>
      </c>
      <c r="JE95" s="43">
        <f t="shared" si="87"/>
        <v>0.11355695317959467</v>
      </c>
      <c r="JI95" s="39">
        <v>33.799999999999997</v>
      </c>
      <c r="JJ95" s="39" t="s">
        <v>1713</v>
      </c>
      <c r="JM95" s="39">
        <v>5.4</v>
      </c>
      <c r="JN95" s="39" t="s">
        <v>1713</v>
      </c>
      <c r="JQ95" s="39">
        <v>72.53</v>
      </c>
      <c r="JR95" s="39" t="s">
        <v>1713</v>
      </c>
      <c r="JU95" s="39">
        <v>37.71</v>
      </c>
      <c r="JV95" s="39" t="s">
        <v>1713</v>
      </c>
      <c r="JX95" s="36">
        <v>2</v>
      </c>
      <c r="JY95" s="36" t="s">
        <v>903</v>
      </c>
      <c r="JZ95" s="36"/>
      <c r="KA95" s="36"/>
      <c r="KB95" s="36">
        <v>5</v>
      </c>
      <c r="KC95" s="36" t="str">
        <f>JY95</f>
        <v>立信会计师事务所（特殊普通合伙）</v>
      </c>
      <c r="KD95" s="36" t="s">
        <v>1711</v>
      </c>
      <c r="KF95" s="8">
        <f t="shared" si="107"/>
        <v>0</v>
      </c>
      <c r="KG95" s="39" t="s">
        <v>1691</v>
      </c>
      <c r="KK95" s="39" t="s">
        <v>264</v>
      </c>
      <c r="KO95" s="69">
        <v>163.87778197439999</v>
      </c>
      <c r="KP95" s="39" t="s">
        <v>144</v>
      </c>
    </row>
    <row r="96" spans="2:302" s="39" customFormat="1" ht="15" customHeight="1" x14ac:dyDescent="0.35">
      <c r="B96" s="39" t="s">
        <v>1714</v>
      </c>
      <c r="C96" s="36" t="s">
        <v>1715</v>
      </c>
      <c r="D96" s="39" t="s">
        <v>196</v>
      </c>
      <c r="E96" s="39" t="s">
        <v>369</v>
      </c>
      <c r="F96" s="39" t="s">
        <v>1716</v>
      </c>
      <c r="G96" s="42" t="s">
        <v>199</v>
      </c>
      <c r="H96" s="40">
        <v>0.99650000000000005</v>
      </c>
      <c r="L96" s="42">
        <v>4</v>
      </c>
      <c r="M96" s="39" t="s">
        <v>1717</v>
      </c>
      <c r="P96" s="39" t="s">
        <v>126</v>
      </c>
      <c r="Q96" s="39" t="s">
        <v>1718</v>
      </c>
      <c r="R96" s="39" t="s">
        <v>1719</v>
      </c>
      <c r="T96" s="39" t="s">
        <v>203</v>
      </c>
      <c r="U96" s="40">
        <v>0.95</v>
      </c>
      <c r="X96" s="39">
        <f t="shared" si="112"/>
        <v>6</v>
      </c>
      <c r="Y96" s="40">
        <f t="shared" si="110"/>
        <v>-0.98303862452910129</v>
      </c>
      <c r="AC96" s="39">
        <v>0</v>
      </c>
      <c r="AD96" s="39" t="s">
        <v>1720</v>
      </c>
      <c r="AG96" s="39">
        <v>0.76702800000000004</v>
      </c>
      <c r="AH96" s="39" t="s">
        <v>1720</v>
      </c>
      <c r="AK96" s="39">
        <v>22.61102</v>
      </c>
      <c r="AL96" s="39" t="s">
        <v>1721</v>
      </c>
      <c r="AN96" s="39">
        <f t="shared" si="94"/>
        <v>6</v>
      </c>
      <c r="AO96" s="43">
        <f t="shared" si="108"/>
        <v>-0.97370115175835847</v>
      </c>
      <c r="AS96" s="39">
        <v>0</v>
      </c>
      <c r="AT96" s="39" t="s">
        <v>1720</v>
      </c>
      <c r="AW96" s="39">
        <v>0.19175700000000001</v>
      </c>
      <c r="AX96" s="39" t="s">
        <v>1722</v>
      </c>
      <c r="BA96" s="39">
        <v>3.6457299999999999</v>
      </c>
      <c r="BB96" s="39" t="s">
        <v>1721</v>
      </c>
      <c r="BD96" s="2">
        <f t="shared" si="70"/>
        <v>5</v>
      </c>
      <c r="BE96" s="39">
        <f t="shared" ref="BE96:BE102" si="113">BI96</f>
        <v>0</v>
      </c>
      <c r="BI96" s="39">
        <f t="shared" si="76"/>
        <v>0</v>
      </c>
      <c r="BJ96" s="39" t="s">
        <v>1722</v>
      </c>
      <c r="BL96" s="2">
        <f t="shared" si="71"/>
        <v>5</v>
      </c>
      <c r="BM96" s="39">
        <f t="shared" si="109"/>
        <v>0</v>
      </c>
      <c r="BQ96" s="39">
        <f t="shared" si="77"/>
        <v>0</v>
      </c>
      <c r="BR96" s="39" t="s">
        <v>1722</v>
      </c>
      <c r="BT96" s="8">
        <f t="shared" si="72"/>
        <v>2</v>
      </c>
      <c r="BU96" s="39">
        <v>53</v>
      </c>
      <c r="BY96" s="39">
        <v>53</v>
      </c>
      <c r="BZ96" s="39" t="s">
        <v>398</v>
      </c>
      <c r="CA96" s="39" t="s">
        <v>1723</v>
      </c>
      <c r="CB96" s="36">
        <v>2</v>
      </c>
      <c r="CC96" s="36" t="str">
        <f>CF96</f>
        <v>二级</v>
      </c>
      <c r="CD96" s="36"/>
      <c r="CE96" s="36"/>
      <c r="CF96" s="36" t="s">
        <v>1724</v>
      </c>
      <c r="CG96" s="36" t="s">
        <v>1725</v>
      </c>
      <c r="CH96" s="36" t="s">
        <v>1720</v>
      </c>
      <c r="CJ96" s="39">
        <f t="shared" si="91"/>
        <v>0</v>
      </c>
      <c r="CK96" s="39" t="s">
        <v>264</v>
      </c>
      <c r="CO96" s="39" t="s">
        <v>1726</v>
      </c>
      <c r="CS96" s="39">
        <f t="shared" si="78"/>
        <v>0</v>
      </c>
      <c r="CT96" s="39" t="s">
        <v>1720</v>
      </c>
      <c r="CV96" s="36">
        <f t="shared" si="92"/>
        <v>0</v>
      </c>
      <c r="CW96" s="39" t="s">
        <v>1727</v>
      </c>
      <c r="DA96" s="39" t="s">
        <v>1727</v>
      </c>
      <c r="DD96" s="39">
        <f t="shared" si="80"/>
        <v>0</v>
      </c>
      <c r="DE96" s="69" t="s">
        <v>1726</v>
      </c>
      <c r="DI96" s="39">
        <f t="shared" si="82"/>
        <v>0</v>
      </c>
      <c r="DJ96" s="39" t="s">
        <v>1720</v>
      </c>
      <c r="DM96" s="39" t="s">
        <v>1726</v>
      </c>
      <c r="DP96" s="39">
        <v>5</v>
      </c>
      <c r="DQ96" s="39" t="s">
        <v>264</v>
      </c>
      <c r="DU96" s="40" t="s">
        <v>1727</v>
      </c>
      <c r="DY96" s="40" t="s">
        <v>1727</v>
      </c>
      <c r="EC96" s="40" t="s">
        <v>1726</v>
      </c>
      <c r="EG96" s="40" t="s">
        <v>1726</v>
      </c>
      <c r="EJ96" s="2">
        <f t="shared" si="74"/>
        <v>0</v>
      </c>
      <c r="EK96" s="39" t="s">
        <v>1726</v>
      </c>
      <c r="EO96" s="39" t="s">
        <v>1727</v>
      </c>
      <c r="ER96" s="8">
        <f t="shared" si="98"/>
        <v>0</v>
      </c>
      <c r="ES96" s="39" t="s">
        <v>1727</v>
      </c>
      <c r="EW96" s="39" t="s">
        <v>1727</v>
      </c>
      <c r="EZ96" s="8">
        <f t="shared" si="99"/>
        <v>0</v>
      </c>
      <c r="FA96" s="39" t="s">
        <v>264</v>
      </c>
      <c r="FE96" s="39" t="s">
        <v>1727</v>
      </c>
      <c r="FH96" s="39">
        <v>1</v>
      </c>
      <c r="FI96" s="14" t="s">
        <v>1728</v>
      </c>
      <c r="FJ96" s="39" t="s">
        <v>1721</v>
      </c>
      <c r="FM96" s="39" t="s">
        <v>1726</v>
      </c>
      <c r="FQ96" s="39" t="s">
        <v>1727</v>
      </c>
      <c r="FU96" s="39" t="s">
        <v>1727</v>
      </c>
      <c r="FY96" s="39" t="s">
        <v>1726</v>
      </c>
      <c r="GB96" s="36">
        <v>2</v>
      </c>
      <c r="GC96" s="36" t="str">
        <f t="shared" si="111"/>
        <v>房产租赁占比96.57%；停车场收费占比3.08%</v>
      </c>
      <c r="GD96" s="36"/>
      <c r="GE96" s="36"/>
      <c r="GF96" s="36"/>
      <c r="GG96" s="36" t="s">
        <v>1729</v>
      </c>
      <c r="GH96" s="39" t="s">
        <v>1722</v>
      </c>
      <c r="GJ96" s="8">
        <f t="shared" si="100"/>
        <v>1</v>
      </c>
      <c r="GK96" s="1">
        <f t="shared" si="101"/>
        <v>0.99646211835263532</v>
      </c>
      <c r="GN96" s="39">
        <v>3.49</v>
      </c>
      <c r="GO96" s="39" t="s">
        <v>1730</v>
      </c>
      <c r="GP96" s="39" t="s">
        <v>1722</v>
      </c>
      <c r="GS96" s="69">
        <v>3.502391045</v>
      </c>
      <c r="GT96" s="39" t="s">
        <v>1731</v>
      </c>
      <c r="GV96" s="8">
        <f t="shared" si="102"/>
        <v>0</v>
      </c>
      <c r="GW96" s="39" t="s">
        <v>1615</v>
      </c>
      <c r="HA96" s="39" t="s">
        <v>1726</v>
      </c>
      <c r="HE96" s="69">
        <v>117.19951086340001</v>
      </c>
      <c r="HF96" s="39" t="s">
        <v>144</v>
      </c>
      <c r="HH96" s="39">
        <f t="shared" si="83"/>
        <v>0</v>
      </c>
      <c r="HI96" s="39" t="s">
        <v>1726</v>
      </c>
      <c r="HM96" s="39" t="s">
        <v>1726</v>
      </c>
      <c r="HQ96" s="78">
        <v>0.43391666829999997</v>
      </c>
      <c r="HR96" s="39" t="s">
        <v>1731</v>
      </c>
      <c r="HT96" s="39">
        <f t="shared" si="84"/>
        <v>0</v>
      </c>
      <c r="HU96" s="36" t="s">
        <v>264</v>
      </c>
      <c r="HY96" s="39" t="s">
        <v>1727</v>
      </c>
      <c r="IC96" s="39">
        <v>21.556508482199998</v>
      </c>
      <c r="ID96" s="39" t="s">
        <v>144</v>
      </c>
      <c r="IR96" s="42">
        <f t="shared" si="85"/>
        <v>0</v>
      </c>
      <c r="IS96" s="39" t="s">
        <v>1615</v>
      </c>
      <c r="IW96" s="39" t="s">
        <v>1726</v>
      </c>
      <c r="JA96" s="69">
        <v>64.848692572600001</v>
      </c>
      <c r="JB96" s="39" t="s">
        <v>1732</v>
      </c>
      <c r="JD96" s="39">
        <f t="shared" si="86"/>
        <v>4</v>
      </c>
      <c r="JE96" s="43">
        <f t="shared" si="87"/>
        <v>0.10195520122744836</v>
      </c>
      <c r="JI96" s="69">
        <v>9.8053919999999994</v>
      </c>
      <c r="JJ96" s="39" t="s">
        <v>518</v>
      </c>
      <c r="JM96" s="39">
        <v>2.5299999999999998</v>
      </c>
      <c r="JN96" s="39" t="s">
        <v>518</v>
      </c>
      <c r="JQ96" s="69">
        <v>46.956629</v>
      </c>
      <c r="JR96" s="39" t="s">
        <v>518</v>
      </c>
      <c r="JU96" s="69">
        <v>29.069880000000001</v>
      </c>
      <c r="JV96" s="39" t="s">
        <v>518</v>
      </c>
      <c r="JX96" s="39">
        <v>2</v>
      </c>
      <c r="JY96" s="39" t="s">
        <v>1733</v>
      </c>
      <c r="KB96" s="39">
        <v>11</v>
      </c>
      <c r="KC96" s="39" t="s">
        <v>1734</v>
      </c>
      <c r="KD96" s="39" t="s">
        <v>1720</v>
      </c>
      <c r="KF96" s="8">
        <f t="shared" si="107"/>
        <v>0</v>
      </c>
      <c r="KG96" s="39" t="s">
        <v>1727</v>
      </c>
      <c r="KK96" s="39" t="s">
        <v>1726</v>
      </c>
      <c r="KO96" s="69">
        <v>64.848692572600001</v>
      </c>
      <c r="KP96" s="39" t="s">
        <v>144</v>
      </c>
    </row>
    <row r="97" spans="2:302" s="39" customFormat="1" ht="15" hidden="1" customHeight="1" x14ac:dyDescent="0.35">
      <c r="B97" s="39" t="s">
        <v>1735</v>
      </c>
      <c r="C97" s="36" t="s">
        <v>1736</v>
      </c>
      <c r="D97" s="39" t="s">
        <v>196</v>
      </c>
      <c r="E97" s="39" t="s">
        <v>369</v>
      </c>
      <c r="F97" s="39" t="s">
        <v>1737</v>
      </c>
      <c r="G97" s="42" t="s">
        <v>199</v>
      </c>
      <c r="H97" s="50">
        <f>62.81/62.89</f>
        <v>0.99872793766894585</v>
      </c>
      <c r="L97" s="42">
        <v>4</v>
      </c>
      <c r="M97" s="39" t="s">
        <v>1738</v>
      </c>
      <c r="P97" s="39" t="s">
        <v>126</v>
      </c>
      <c r="Q97" s="39" t="s">
        <v>1739</v>
      </c>
      <c r="R97" s="39" t="s">
        <v>1740</v>
      </c>
      <c r="T97" s="39" t="s">
        <v>203</v>
      </c>
      <c r="U97" s="40">
        <f>0.08%+58%*9.92%+58%*99.99%*90%</f>
        <v>0.58028379999999991</v>
      </c>
      <c r="X97" s="39">
        <f t="shared" si="112"/>
        <v>4</v>
      </c>
      <c r="Y97" s="40">
        <f t="shared" si="110"/>
        <v>-8.5601694307633758E-3</v>
      </c>
      <c r="AC97" s="39">
        <v>50.48</v>
      </c>
      <c r="AD97" s="39" t="s">
        <v>1740</v>
      </c>
      <c r="AG97" s="39">
        <v>77.75</v>
      </c>
      <c r="AH97" s="39" t="s">
        <v>1740</v>
      </c>
      <c r="AK97" s="39">
        <v>58.3</v>
      </c>
      <c r="AL97" s="39" t="s">
        <v>1741</v>
      </c>
      <c r="AN97" s="39">
        <f t="shared" si="94"/>
        <v>2</v>
      </c>
      <c r="AO97" s="43">
        <f t="shared" si="108"/>
        <v>0.29572216207569646</v>
      </c>
      <c r="AS97" s="39">
        <v>47.01</v>
      </c>
      <c r="AT97" s="39" t="s">
        <v>1740</v>
      </c>
      <c r="AW97" s="39">
        <v>36.96</v>
      </c>
      <c r="AX97" s="39" t="s">
        <v>1740</v>
      </c>
      <c r="BA97" s="39">
        <v>28.01</v>
      </c>
      <c r="BB97" s="39" t="s">
        <v>1741</v>
      </c>
      <c r="BD97" s="2">
        <f t="shared" si="70"/>
        <v>4</v>
      </c>
      <c r="BE97" s="39">
        <f t="shared" si="113"/>
        <v>50.48</v>
      </c>
      <c r="BI97" s="39">
        <f t="shared" si="76"/>
        <v>50.48</v>
      </c>
      <c r="BJ97" s="39" t="s">
        <v>1742</v>
      </c>
      <c r="BL97" s="2">
        <f t="shared" si="71"/>
        <v>5</v>
      </c>
      <c r="BM97" s="39">
        <f t="shared" si="109"/>
        <v>47.01</v>
      </c>
      <c r="BQ97" s="39">
        <f t="shared" si="77"/>
        <v>47.01</v>
      </c>
      <c r="BR97" s="39" t="s">
        <v>1740</v>
      </c>
      <c r="BT97" s="8">
        <f t="shared" si="72"/>
        <v>5</v>
      </c>
      <c r="BU97" s="39" t="s">
        <v>626</v>
      </c>
      <c r="BY97" s="39" t="s">
        <v>626</v>
      </c>
      <c r="CB97" s="39">
        <v>2</v>
      </c>
      <c r="CC97" s="39" t="s">
        <v>1743</v>
      </c>
      <c r="CF97" s="39" t="s">
        <v>914</v>
      </c>
      <c r="CG97" s="39" t="s">
        <v>1744</v>
      </c>
      <c r="CH97" s="39" t="s">
        <v>1745</v>
      </c>
      <c r="CJ97" s="39">
        <f t="shared" si="91"/>
        <v>0</v>
      </c>
      <c r="CK97" s="39" t="s">
        <v>1746</v>
      </c>
      <c r="CO97" s="39" t="s">
        <v>1746</v>
      </c>
      <c r="CS97" s="39">
        <f t="shared" si="78"/>
        <v>50.48</v>
      </c>
      <c r="CT97" s="39" t="s">
        <v>1742</v>
      </c>
      <c r="CV97" s="36">
        <f t="shared" si="92"/>
        <v>0</v>
      </c>
      <c r="CW97" s="36" t="str">
        <f t="shared" ref="CW97:CW102" si="114">DA97</f>
        <v>数据缺失</v>
      </c>
      <c r="CX97" s="36"/>
      <c r="CY97" s="36"/>
      <c r="CZ97" s="36"/>
      <c r="DA97" s="36" t="s">
        <v>1746</v>
      </c>
      <c r="DD97" s="39">
        <f t="shared" si="80"/>
        <v>0</v>
      </c>
      <c r="DE97" s="38" t="s">
        <v>1746</v>
      </c>
      <c r="DH97" s="53"/>
      <c r="DI97" s="39">
        <f t="shared" si="82"/>
        <v>47.01</v>
      </c>
      <c r="DJ97" s="39" t="s">
        <v>1740</v>
      </c>
      <c r="DM97" s="89" t="str">
        <f>DA97</f>
        <v>数据缺失</v>
      </c>
      <c r="DP97" s="39">
        <v>5</v>
      </c>
      <c r="DQ97" s="36" t="s">
        <v>264</v>
      </c>
      <c r="DR97" s="36"/>
      <c r="DS97" s="36"/>
      <c r="DT97" s="36"/>
      <c r="DU97" s="41" t="s">
        <v>1746</v>
      </c>
      <c r="DV97" s="36"/>
      <c r="DW97" s="36"/>
      <c r="DX97" s="36"/>
      <c r="DY97" s="41" t="s">
        <v>1746</v>
      </c>
      <c r="DZ97" s="36"/>
      <c r="EA97" s="36"/>
      <c r="EB97" s="36"/>
      <c r="EC97" s="41" t="s">
        <v>264</v>
      </c>
      <c r="ED97" s="36"/>
      <c r="EE97" s="36"/>
      <c r="EF97" s="36"/>
      <c r="EG97" s="41" t="s">
        <v>264</v>
      </c>
      <c r="EJ97" s="2">
        <f t="shared" si="74"/>
        <v>2</v>
      </c>
      <c r="EK97" s="39">
        <f>EO97</f>
        <v>92.13</v>
      </c>
      <c r="EO97" s="39">
        <v>92.13</v>
      </c>
      <c r="EP97" s="39" t="s">
        <v>322</v>
      </c>
      <c r="ER97" s="8">
        <f t="shared" si="98"/>
        <v>3</v>
      </c>
      <c r="ES97" s="39">
        <f t="shared" ref="ES97:ES102" si="115">EW97</f>
        <v>41.22</v>
      </c>
      <c r="EW97" s="39">
        <v>41.22</v>
      </c>
      <c r="EX97" s="39" t="s">
        <v>1745</v>
      </c>
      <c r="EZ97" s="8">
        <f t="shared" si="99"/>
        <v>1</v>
      </c>
      <c r="FA97" s="39">
        <f>FE97</f>
        <v>298.82</v>
      </c>
      <c r="FE97" s="39">
        <v>298.82</v>
      </c>
      <c r="FF97" s="39" t="s">
        <v>1741</v>
      </c>
      <c r="FH97" s="39">
        <v>5</v>
      </c>
      <c r="FI97" s="39" t="s">
        <v>1746</v>
      </c>
      <c r="FM97" s="39" t="s">
        <v>1746</v>
      </c>
      <c r="FQ97" s="39" t="s">
        <v>1746</v>
      </c>
      <c r="FU97" s="39" t="s">
        <v>1746</v>
      </c>
      <c r="FY97" s="39" t="s">
        <v>1746</v>
      </c>
      <c r="GB97" s="39">
        <v>2</v>
      </c>
      <c r="GC97" s="39" t="str">
        <f t="shared" si="111"/>
        <v>房地产销售：99.93%</v>
      </c>
      <c r="GG97" s="39" t="s">
        <v>1747</v>
      </c>
      <c r="GH97" s="39" t="s">
        <v>1748</v>
      </c>
      <c r="GJ97" s="8">
        <f t="shared" si="100"/>
        <v>4</v>
      </c>
      <c r="GK97" s="1">
        <f t="shared" si="101"/>
        <v>7.9506225776143538E-4</v>
      </c>
      <c r="GN97" s="39">
        <v>0.05</v>
      </c>
      <c r="GO97" s="39" t="s">
        <v>1749</v>
      </c>
      <c r="GP97" s="39" t="s">
        <v>1748</v>
      </c>
      <c r="GS97" s="69">
        <v>62.888156885699999</v>
      </c>
      <c r="GT97" s="39" t="s">
        <v>1750</v>
      </c>
      <c r="GV97" s="8">
        <f t="shared" si="102"/>
        <v>3</v>
      </c>
      <c r="GW97" s="1">
        <f t="shared" si="103"/>
        <v>0.43281418647961861</v>
      </c>
      <c r="HA97" s="39">
        <v>135.30338449960001</v>
      </c>
      <c r="HB97" s="39" t="s">
        <v>1751</v>
      </c>
      <c r="HE97" s="69">
        <v>312.61309986189997</v>
      </c>
      <c r="HF97" s="39" t="s">
        <v>1750</v>
      </c>
      <c r="HH97" s="39">
        <f t="shared" si="83"/>
        <v>1</v>
      </c>
      <c r="HI97" s="1">
        <f t="shared" si="104"/>
        <v>2.4418020978633017E-2</v>
      </c>
      <c r="HM97" s="69">
        <v>0.61601781379999998</v>
      </c>
      <c r="HN97" s="39" t="s">
        <v>1751</v>
      </c>
      <c r="HQ97" s="78">
        <v>25.227999203499998</v>
      </c>
      <c r="HR97" s="39" t="s">
        <v>1750</v>
      </c>
      <c r="HT97" s="39">
        <f t="shared" si="84"/>
        <v>4</v>
      </c>
      <c r="HU97" s="10">
        <f t="shared" si="105"/>
        <v>0</v>
      </c>
      <c r="HY97" s="39">
        <v>0</v>
      </c>
      <c r="HZ97" s="39" t="s">
        <v>1752</v>
      </c>
      <c r="IC97" s="69">
        <v>66.565799999999996</v>
      </c>
      <c r="ID97" s="39" t="s">
        <v>144</v>
      </c>
      <c r="IR97" s="42">
        <f t="shared" si="85"/>
        <v>0</v>
      </c>
      <c r="IS97" s="39" t="s">
        <v>1615</v>
      </c>
      <c r="IW97" s="39" t="s">
        <v>1746</v>
      </c>
      <c r="JA97" s="69">
        <v>56.555804890600001</v>
      </c>
      <c r="JB97" s="39" t="s">
        <v>1750</v>
      </c>
      <c r="JD97" s="39">
        <f t="shared" si="86"/>
        <v>4</v>
      </c>
      <c r="JE97" s="43">
        <f t="shared" si="87"/>
        <v>0.18305804636956302</v>
      </c>
      <c r="JI97" s="39">
        <v>10.68</v>
      </c>
      <c r="JJ97" s="39" t="s">
        <v>1745</v>
      </c>
      <c r="JM97" s="39">
        <v>0.59</v>
      </c>
      <c r="JN97" s="39" t="s">
        <v>1745</v>
      </c>
      <c r="JQ97" s="39">
        <v>114.8</v>
      </c>
      <c r="JR97" s="39" t="s">
        <v>1745</v>
      </c>
      <c r="JU97" s="39">
        <v>82.97</v>
      </c>
      <c r="JV97" s="39" t="s">
        <v>1745</v>
      </c>
      <c r="JX97" s="39">
        <v>2</v>
      </c>
      <c r="JY97" s="39" t="s">
        <v>1753</v>
      </c>
      <c r="KB97" s="39">
        <v>11</v>
      </c>
      <c r="KC97" s="39" t="s">
        <v>226</v>
      </c>
      <c r="KD97" s="39" t="s">
        <v>1741</v>
      </c>
      <c r="KF97" s="8">
        <f t="shared" si="107"/>
        <v>0</v>
      </c>
      <c r="KG97" s="39" t="s">
        <v>1746</v>
      </c>
      <c r="KK97" s="39" t="s">
        <v>1746</v>
      </c>
      <c r="KO97" s="69">
        <v>56.555804890600001</v>
      </c>
      <c r="KP97" s="39" t="s">
        <v>1750</v>
      </c>
    </row>
    <row r="98" spans="2:302" s="39" customFormat="1" ht="15" hidden="1" customHeight="1" x14ac:dyDescent="0.35">
      <c r="B98" s="39" t="s">
        <v>1754</v>
      </c>
      <c r="C98" s="36" t="s">
        <v>1755</v>
      </c>
      <c r="D98" s="39" t="s">
        <v>196</v>
      </c>
      <c r="E98" s="39" t="s">
        <v>369</v>
      </c>
      <c r="F98" s="39" t="s">
        <v>1756</v>
      </c>
      <c r="G98" s="42" t="s">
        <v>199</v>
      </c>
      <c r="H98" s="40">
        <v>0.9667</v>
      </c>
      <c r="L98" s="42">
        <v>4</v>
      </c>
      <c r="M98" s="58" t="s">
        <v>1757</v>
      </c>
      <c r="P98" s="39" t="s">
        <v>126</v>
      </c>
      <c r="Q98" s="39" t="s">
        <v>1758</v>
      </c>
      <c r="R98" s="39" t="s">
        <v>1759</v>
      </c>
      <c r="T98" s="39" t="s">
        <v>203</v>
      </c>
      <c r="U98" s="50">
        <v>0.8</v>
      </c>
      <c r="X98" s="36">
        <f t="shared" si="112"/>
        <v>2</v>
      </c>
      <c r="Y98" s="5">
        <f t="shared" si="110"/>
        <v>0.20730827564786922</v>
      </c>
      <c r="Z98" s="36"/>
      <c r="AA98" s="36"/>
      <c r="AB98" s="36"/>
      <c r="AC98" s="36">
        <v>203.26</v>
      </c>
      <c r="AD98" s="36" t="s">
        <v>1760</v>
      </c>
      <c r="AE98" s="36"/>
      <c r="AF98" s="36"/>
      <c r="AG98" s="36">
        <v>368.96</v>
      </c>
      <c r="AH98" s="36" t="s">
        <v>1760</v>
      </c>
      <c r="AI98" s="36"/>
      <c r="AJ98" s="36"/>
      <c r="AK98" s="36">
        <v>197.97</v>
      </c>
      <c r="AL98" s="36" t="s">
        <v>988</v>
      </c>
      <c r="AN98" s="36">
        <f t="shared" si="94"/>
        <v>1</v>
      </c>
      <c r="AO98" s="5">
        <f t="shared" si="108"/>
        <v>0.37491517161710652</v>
      </c>
      <c r="AP98" s="36"/>
      <c r="AQ98" s="36"/>
      <c r="AR98" s="36"/>
      <c r="AS98" s="36">
        <v>369.49</v>
      </c>
      <c r="AT98" s="36" t="s">
        <v>988</v>
      </c>
      <c r="AU98" s="36"/>
      <c r="AV98" s="36"/>
      <c r="AW98" s="36">
        <v>697.95</v>
      </c>
      <c r="AX98" s="36" t="s">
        <v>1760</v>
      </c>
      <c r="AY98" s="36"/>
      <c r="AZ98" s="36"/>
      <c r="BA98" s="36">
        <v>314.33</v>
      </c>
      <c r="BB98" s="36" t="s">
        <v>1760</v>
      </c>
      <c r="BD98" s="2">
        <f t="shared" si="70"/>
        <v>3</v>
      </c>
      <c r="BE98" s="36">
        <f t="shared" si="113"/>
        <v>203.26</v>
      </c>
      <c r="BF98" s="36"/>
      <c r="BG98" s="36"/>
      <c r="BH98" s="36"/>
      <c r="BI98" s="39">
        <f t="shared" si="76"/>
        <v>203.26</v>
      </c>
      <c r="BJ98" s="36" t="str">
        <f>AD98</f>
        <v>评级20151207</v>
      </c>
      <c r="BK98" s="36"/>
      <c r="BL98" s="2">
        <f t="shared" si="71"/>
        <v>2</v>
      </c>
      <c r="BM98" s="36">
        <f t="shared" si="109"/>
        <v>369.49</v>
      </c>
      <c r="BN98" s="36"/>
      <c r="BO98" s="36"/>
      <c r="BP98" s="36"/>
      <c r="BQ98" s="39">
        <f t="shared" si="77"/>
        <v>369.49</v>
      </c>
      <c r="BR98" s="36" t="str">
        <f>AT98</f>
        <v>评级20151207</v>
      </c>
      <c r="BT98" s="8">
        <f t="shared" si="72"/>
        <v>3</v>
      </c>
      <c r="BU98" s="39">
        <v>103</v>
      </c>
      <c r="BY98" s="39">
        <v>103</v>
      </c>
      <c r="BZ98" s="39" t="s">
        <v>398</v>
      </c>
      <c r="CA98" s="39" t="s">
        <v>1761</v>
      </c>
      <c r="CB98" s="39">
        <v>1</v>
      </c>
      <c r="CC98" s="39" t="s">
        <v>1612</v>
      </c>
      <c r="CF98" s="39" t="s">
        <v>1612</v>
      </c>
      <c r="CG98" s="39" t="s">
        <v>1762</v>
      </c>
      <c r="CH98" s="39" t="s">
        <v>1759</v>
      </c>
      <c r="CI98" s="39" t="s">
        <v>1763</v>
      </c>
      <c r="CJ98" s="39">
        <f t="shared" si="91"/>
        <v>2</v>
      </c>
      <c r="CK98" s="48">
        <f>CO98/CS98</f>
        <v>0.10636623044376661</v>
      </c>
      <c r="CO98" s="39">
        <v>21.62</v>
      </c>
      <c r="CP98" s="39" t="s">
        <v>1764</v>
      </c>
      <c r="CS98" s="39">
        <f t="shared" si="78"/>
        <v>203.26</v>
      </c>
      <c r="CT98" s="36" t="str">
        <f>AD98</f>
        <v>评级20151207</v>
      </c>
      <c r="CV98" s="36">
        <f t="shared" si="92"/>
        <v>0</v>
      </c>
      <c r="CW98" s="36" t="str">
        <f t="shared" si="114"/>
        <v>数据缺失</v>
      </c>
      <c r="CX98" s="36"/>
      <c r="CY98" s="36"/>
      <c r="CZ98" s="36"/>
      <c r="DA98" s="36" t="s">
        <v>1765</v>
      </c>
      <c r="DD98" s="39">
        <f t="shared" si="80"/>
        <v>0</v>
      </c>
      <c r="DE98" s="69" t="s">
        <v>1766</v>
      </c>
      <c r="DF98" s="36"/>
      <c r="DG98" s="36"/>
      <c r="DH98" s="36"/>
      <c r="DI98" s="39">
        <f t="shared" si="82"/>
        <v>369.49</v>
      </c>
      <c r="DJ98" s="36" t="str">
        <f>BR98</f>
        <v>评级20151207</v>
      </c>
      <c r="DM98" s="39" t="s">
        <v>1767</v>
      </c>
      <c r="DP98" s="39">
        <v>5</v>
      </c>
      <c r="DQ98" s="39" t="s">
        <v>264</v>
      </c>
      <c r="DU98" s="40" t="s">
        <v>264</v>
      </c>
      <c r="DY98" s="40" t="s">
        <v>264</v>
      </c>
      <c r="EC98" s="40" t="s">
        <v>264</v>
      </c>
      <c r="EG98" s="40" t="s">
        <v>264</v>
      </c>
      <c r="EJ98" s="2">
        <f t="shared" si="74"/>
        <v>1</v>
      </c>
      <c r="EK98" s="37">
        <f>EO98</f>
        <v>691.7</v>
      </c>
      <c r="EL98" s="36"/>
      <c r="EM98" s="36"/>
      <c r="EN98" s="36"/>
      <c r="EO98" s="36">
        <v>691.7</v>
      </c>
      <c r="EP98" s="36" t="s">
        <v>988</v>
      </c>
      <c r="EQ98" s="36"/>
      <c r="ER98" s="8">
        <f t="shared" si="98"/>
        <v>1</v>
      </c>
      <c r="ES98" s="38">
        <f t="shared" si="115"/>
        <v>686.15</v>
      </c>
      <c r="ET98" s="36"/>
      <c r="EU98" s="36"/>
      <c r="EV98" s="36"/>
      <c r="EW98" s="36">
        <v>686.15</v>
      </c>
      <c r="EX98" s="36" t="s">
        <v>1760</v>
      </c>
      <c r="EZ98" s="8">
        <f t="shared" si="99"/>
        <v>1</v>
      </c>
      <c r="FA98" s="38">
        <f>FE98</f>
        <v>1693.21</v>
      </c>
      <c r="FB98" s="36"/>
      <c r="FC98" s="36"/>
      <c r="FD98" s="36"/>
      <c r="FE98" s="36">
        <v>1693.21</v>
      </c>
      <c r="FF98" s="36" t="s">
        <v>988</v>
      </c>
      <c r="FH98" s="39">
        <v>5</v>
      </c>
      <c r="FI98" s="39" t="s">
        <v>1615</v>
      </c>
      <c r="FM98" s="39" t="s">
        <v>1615</v>
      </c>
      <c r="FQ98" s="39" t="s">
        <v>264</v>
      </c>
      <c r="FU98" s="39" t="s">
        <v>264</v>
      </c>
      <c r="FY98" s="39" t="s">
        <v>1615</v>
      </c>
      <c r="GB98" s="39">
        <v>2</v>
      </c>
      <c r="GC98" s="39" t="str">
        <f t="shared" si="111"/>
        <v>房地产销售：90.27%；购物中心业务：6.61%</v>
      </c>
      <c r="GG98" s="39" t="s">
        <v>1768</v>
      </c>
      <c r="GH98" s="39" t="s">
        <v>1769</v>
      </c>
      <c r="GJ98" s="8">
        <f t="shared" si="100"/>
        <v>4</v>
      </c>
      <c r="GK98" s="1">
        <f t="shared" si="101"/>
        <v>4.3591404064565386E-5</v>
      </c>
      <c r="GN98" s="39">
        <v>0.01</v>
      </c>
      <c r="GO98" s="39" t="s">
        <v>1770</v>
      </c>
      <c r="GP98" s="39" t="s">
        <v>1771</v>
      </c>
      <c r="GS98" s="69">
        <v>229.40302600000001</v>
      </c>
      <c r="GT98" s="39" t="s">
        <v>1620</v>
      </c>
      <c r="GV98" s="8">
        <f t="shared" si="102"/>
        <v>0</v>
      </c>
      <c r="GW98" s="39" t="s">
        <v>1615</v>
      </c>
      <c r="HA98" s="39" t="s">
        <v>1615</v>
      </c>
      <c r="HE98" s="69">
        <v>919.83087699999999</v>
      </c>
      <c r="HF98" s="39" t="s">
        <v>1620</v>
      </c>
      <c r="HH98" s="39">
        <f t="shared" si="83"/>
        <v>0</v>
      </c>
      <c r="HI98" s="39" t="s">
        <v>1726</v>
      </c>
      <c r="HJ98" s="36"/>
      <c r="HK98" s="36"/>
      <c r="HL98" s="36"/>
      <c r="HM98" s="36" t="s">
        <v>264</v>
      </c>
      <c r="HQ98" s="78">
        <v>39.369970000000002</v>
      </c>
      <c r="HR98" s="39" t="s">
        <v>1620</v>
      </c>
      <c r="HT98" s="39">
        <f t="shared" si="84"/>
        <v>0</v>
      </c>
      <c r="HU98" s="36" t="s">
        <v>264</v>
      </c>
      <c r="HY98" s="39" t="s">
        <v>264</v>
      </c>
      <c r="IC98" s="69">
        <v>132.22221300000001</v>
      </c>
      <c r="ID98" s="39" t="s">
        <v>144</v>
      </c>
      <c r="IR98" s="42">
        <f t="shared" si="85"/>
        <v>0</v>
      </c>
      <c r="IS98" s="39" t="s">
        <v>1615</v>
      </c>
      <c r="IW98" s="39" t="s">
        <v>264</v>
      </c>
      <c r="JA98" s="69">
        <v>290.50492700000001</v>
      </c>
      <c r="JB98" s="39" t="s">
        <v>144</v>
      </c>
      <c r="JD98" s="39">
        <f t="shared" si="86"/>
        <v>4</v>
      </c>
      <c r="JE98" s="43">
        <f t="shared" si="87"/>
        <v>8.9527153487928779E-2</v>
      </c>
      <c r="JF98" s="36"/>
      <c r="JG98" s="36"/>
      <c r="JH98" s="36"/>
      <c r="JI98" s="38">
        <v>52.598277000000003</v>
      </c>
      <c r="JJ98" s="36" t="s">
        <v>988</v>
      </c>
      <c r="JK98" s="36"/>
      <c r="JL98" s="36"/>
      <c r="JM98" s="36">
        <v>3.68</v>
      </c>
      <c r="JN98" s="36" t="s">
        <v>988</v>
      </c>
      <c r="JO98" s="36"/>
      <c r="JP98" s="36"/>
      <c r="JQ98" s="36">
        <v>182.57</v>
      </c>
      <c r="JR98" s="36" t="s">
        <v>988</v>
      </c>
      <c r="JS98" s="36"/>
      <c r="JT98" s="36"/>
      <c r="JU98" s="36">
        <v>136.72999999999999</v>
      </c>
      <c r="JV98" s="36" t="s">
        <v>988</v>
      </c>
      <c r="JX98" s="39">
        <v>2</v>
      </c>
      <c r="JY98" s="39" t="s">
        <v>981</v>
      </c>
      <c r="KB98" s="39">
        <v>13</v>
      </c>
      <c r="KC98" s="39" t="s">
        <v>981</v>
      </c>
      <c r="KD98" s="39" t="s">
        <v>988</v>
      </c>
      <c r="KF98" s="8">
        <f t="shared" si="107"/>
        <v>0</v>
      </c>
      <c r="KG98" s="39" t="s">
        <v>264</v>
      </c>
      <c r="KK98" s="39" t="s">
        <v>264</v>
      </c>
      <c r="KO98" s="69">
        <v>290.50492700000001</v>
      </c>
      <c r="KP98" s="39" t="s">
        <v>144</v>
      </c>
    </row>
    <row r="99" spans="2:302" s="39" customFormat="1" ht="15" hidden="1" customHeight="1" x14ac:dyDescent="0.35">
      <c r="B99" s="39" t="s">
        <v>1772</v>
      </c>
      <c r="C99" s="36" t="s">
        <v>1715</v>
      </c>
      <c r="D99" s="39" t="s">
        <v>1773</v>
      </c>
      <c r="E99" s="39" t="s">
        <v>1774</v>
      </c>
      <c r="F99" s="39" t="s">
        <v>1775</v>
      </c>
      <c r="G99" s="42" t="s">
        <v>249</v>
      </c>
      <c r="H99" s="40">
        <f>109.88/113.21</f>
        <v>0.97058563731119163</v>
      </c>
      <c r="L99" s="138">
        <v>4</v>
      </c>
      <c r="M99" s="36" t="s">
        <v>1776</v>
      </c>
      <c r="N99" s="36"/>
      <c r="O99" s="36"/>
      <c r="P99" s="39" t="s">
        <v>1629</v>
      </c>
      <c r="Q99" s="36" t="s">
        <v>1777</v>
      </c>
      <c r="R99" s="36" t="s">
        <v>1778</v>
      </c>
      <c r="S99" s="36"/>
      <c r="T99" s="36" t="s">
        <v>129</v>
      </c>
      <c r="U99" s="40">
        <f>32.01%+39.41%*80%*13.57%</f>
        <v>0.36288349600000003</v>
      </c>
      <c r="X99" s="160">
        <f t="shared" si="112"/>
        <v>1</v>
      </c>
      <c r="Y99" s="161">
        <f t="shared" si="110"/>
        <v>0.34138755980861241</v>
      </c>
      <c r="Z99" s="36"/>
      <c r="AA99" s="36"/>
      <c r="AB99" s="36"/>
      <c r="AC99" s="36">
        <v>196</v>
      </c>
      <c r="AD99" s="36" t="s">
        <v>1778</v>
      </c>
      <c r="AE99" s="36"/>
      <c r="AF99" s="36"/>
      <c r="AG99" s="162">
        <v>133</v>
      </c>
      <c r="AH99" s="160" t="s">
        <v>2302</v>
      </c>
      <c r="AI99" s="36"/>
      <c r="AJ99" s="36"/>
      <c r="AK99" s="162">
        <v>110</v>
      </c>
      <c r="AL99" s="160" t="s">
        <v>2302</v>
      </c>
      <c r="AN99" s="160">
        <f t="shared" si="94"/>
        <v>2</v>
      </c>
      <c r="AO99" s="161">
        <f t="shared" si="108"/>
        <v>0.28728142620061736</v>
      </c>
      <c r="AP99" s="36"/>
      <c r="AQ99" s="36"/>
      <c r="AR99" s="36"/>
      <c r="AS99" s="36">
        <v>192</v>
      </c>
      <c r="AT99" s="36" t="s">
        <v>1778</v>
      </c>
      <c r="AU99" s="36"/>
      <c r="AV99" s="36"/>
      <c r="AW99" s="160">
        <v>173</v>
      </c>
      <c r="AX99" s="160" t="s">
        <v>2303</v>
      </c>
      <c r="AY99" s="36"/>
      <c r="AZ99" s="36"/>
      <c r="BA99" s="160">
        <v>118.11</v>
      </c>
      <c r="BB99" s="160" t="s">
        <v>2303</v>
      </c>
      <c r="BD99" s="2">
        <f t="shared" si="70"/>
        <v>3</v>
      </c>
      <c r="BE99" s="39">
        <f t="shared" si="113"/>
        <v>196</v>
      </c>
      <c r="BI99" s="39">
        <f t="shared" si="76"/>
        <v>196</v>
      </c>
      <c r="BJ99" s="39" t="s">
        <v>1778</v>
      </c>
      <c r="BL99" s="2">
        <f t="shared" si="71"/>
        <v>3</v>
      </c>
      <c r="BM99" s="39">
        <f t="shared" si="109"/>
        <v>192</v>
      </c>
      <c r="BQ99" s="39">
        <f t="shared" si="77"/>
        <v>192</v>
      </c>
      <c r="BR99" s="39" t="s">
        <v>1778</v>
      </c>
      <c r="BT99" s="8">
        <f t="shared" si="72"/>
        <v>2</v>
      </c>
      <c r="BU99" s="39">
        <v>64</v>
      </c>
      <c r="BY99" s="39">
        <v>64</v>
      </c>
      <c r="BZ99" s="76" t="s">
        <v>1779</v>
      </c>
      <c r="CB99" s="160">
        <v>2</v>
      </c>
      <c r="CC99" s="160" t="str">
        <f>CF99</f>
        <v>二级</v>
      </c>
      <c r="CD99" s="160"/>
      <c r="CE99" s="160"/>
      <c r="CF99" s="160" t="s">
        <v>134</v>
      </c>
      <c r="CG99" s="160" t="s">
        <v>2824</v>
      </c>
      <c r="CH99" s="160" t="s">
        <v>1241</v>
      </c>
      <c r="CJ99" s="39">
        <f t="shared" si="91"/>
        <v>0</v>
      </c>
      <c r="CK99" s="39" t="s">
        <v>264</v>
      </c>
      <c r="CO99" s="39" t="s">
        <v>1780</v>
      </c>
      <c r="CS99" s="39">
        <f t="shared" si="78"/>
        <v>196</v>
      </c>
      <c r="CT99" s="39" t="s">
        <v>1781</v>
      </c>
      <c r="CV99" s="36">
        <f t="shared" si="92"/>
        <v>3</v>
      </c>
      <c r="CW99" s="39">
        <f t="shared" si="114"/>
        <v>995</v>
      </c>
      <c r="DA99" s="39">
        <v>995</v>
      </c>
      <c r="DB99" s="39" t="s">
        <v>1778</v>
      </c>
      <c r="DD99" s="39">
        <f t="shared" si="80"/>
        <v>2</v>
      </c>
      <c r="DE99" s="69">
        <f>DM99/DI99</f>
        <v>5.182291666666667</v>
      </c>
      <c r="DI99" s="39">
        <f t="shared" si="82"/>
        <v>192</v>
      </c>
      <c r="DJ99" s="39" t="s">
        <v>1778</v>
      </c>
      <c r="DM99" s="39">
        <v>995</v>
      </c>
      <c r="DN99" s="39" t="s">
        <v>1781</v>
      </c>
      <c r="DP99" s="39">
        <v>5</v>
      </c>
      <c r="DQ99" s="39" t="s">
        <v>264</v>
      </c>
      <c r="DU99" s="40" t="s">
        <v>264</v>
      </c>
      <c r="DY99" s="40" t="s">
        <v>264</v>
      </c>
      <c r="EC99" s="40" t="s">
        <v>264</v>
      </c>
      <c r="EG99" s="40" t="s">
        <v>1780</v>
      </c>
      <c r="EJ99" s="2">
        <f t="shared" si="74"/>
        <v>1</v>
      </c>
      <c r="EK99" s="39">
        <v>234</v>
      </c>
      <c r="EO99" s="39">
        <v>234</v>
      </c>
      <c r="EP99" s="39" t="s">
        <v>1778</v>
      </c>
      <c r="ER99" s="8">
        <f t="shared" si="98"/>
        <v>1</v>
      </c>
      <c r="ES99" s="39">
        <f t="shared" si="115"/>
        <v>224</v>
      </c>
      <c r="EW99" s="39">
        <v>224</v>
      </c>
      <c r="EX99" s="39" t="s">
        <v>1778</v>
      </c>
      <c r="EZ99" s="8">
        <f t="shared" si="99"/>
        <v>0</v>
      </c>
      <c r="FA99" s="39" t="s">
        <v>264</v>
      </c>
      <c r="FE99" s="39" t="s">
        <v>1780</v>
      </c>
      <c r="FH99" s="36">
        <v>2</v>
      </c>
      <c r="FI99" s="36" t="s">
        <v>1782</v>
      </c>
      <c r="FJ99" s="36" t="s">
        <v>1778</v>
      </c>
      <c r="FM99" s="39" t="s">
        <v>264</v>
      </c>
      <c r="FQ99" s="39" t="s">
        <v>264</v>
      </c>
      <c r="FU99" s="39" t="s">
        <v>264</v>
      </c>
      <c r="FY99" s="39" t="s">
        <v>1780</v>
      </c>
      <c r="GB99" s="39">
        <v>2</v>
      </c>
      <c r="GC99" s="39" t="str">
        <f t="shared" si="111"/>
        <v>房地产销售：98.80%</v>
      </c>
      <c r="GG99" s="39" t="s">
        <v>1783</v>
      </c>
      <c r="GH99" s="36" t="s">
        <v>1778</v>
      </c>
      <c r="GJ99" s="8">
        <f t="shared" si="100"/>
        <v>4</v>
      </c>
      <c r="GK99" s="1">
        <f t="shared" si="101"/>
        <v>3.0033107083926639E-3</v>
      </c>
      <c r="GN99" s="39">
        <v>0.34</v>
      </c>
      <c r="GO99" s="39" t="s">
        <v>1784</v>
      </c>
      <c r="GP99" s="36" t="s">
        <v>1778</v>
      </c>
      <c r="GS99" s="69">
        <v>113.2084</v>
      </c>
      <c r="GT99" s="39" t="s">
        <v>144</v>
      </c>
      <c r="GV99" s="8">
        <f t="shared" si="102"/>
        <v>0</v>
      </c>
      <c r="GW99" s="39" t="s">
        <v>1615</v>
      </c>
      <c r="HA99" s="39" t="s">
        <v>264</v>
      </c>
      <c r="HE99" s="69">
        <v>561.90688</v>
      </c>
      <c r="HF99" s="39" t="s">
        <v>144</v>
      </c>
      <c r="HH99" s="39">
        <f t="shared" si="83"/>
        <v>1</v>
      </c>
      <c r="HI99" s="1">
        <f t="shared" si="104"/>
        <v>7.5662663394535729E-2</v>
      </c>
      <c r="HM99" s="39">
        <v>8.58</v>
      </c>
      <c r="HN99" s="39" t="s">
        <v>1785</v>
      </c>
      <c r="HQ99" s="78">
        <v>113.39807</v>
      </c>
      <c r="HR99" s="39" t="s">
        <v>1786</v>
      </c>
      <c r="HT99" s="39">
        <f t="shared" si="84"/>
        <v>4</v>
      </c>
      <c r="HU99" s="10">
        <f t="shared" si="105"/>
        <v>0</v>
      </c>
      <c r="HY99" s="39">
        <v>0</v>
      </c>
      <c r="HZ99" s="39" t="s">
        <v>1158</v>
      </c>
      <c r="IC99" s="39">
        <v>107.39313</v>
      </c>
      <c r="ID99" s="39" t="s">
        <v>144</v>
      </c>
      <c r="IR99" s="42">
        <f t="shared" si="85"/>
        <v>0</v>
      </c>
      <c r="IS99" s="39" t="s">
        <v>1615</v>
      </c>
      <c r="IW99" s="39" t="s">
        <v>1780</v>
      </c>
      <c r="JA99" s="69">
        <v>162.28484</v>
      </c>
      <c r="JB99" s="39" t="s">
        <v>1786</v>
      </c>
      <c r="JD99" s="39">
        <f t="shared" si="86"/>
        <v>3</v>
      </c>
      <c r="JE99" s="43">
        <f t="shared" si="87"/>
        <v>7.5162141428900126E-2</v>
      </c>
      <c r="JI99" s="39">
        <v>32.47</v>
      </c>
      <c r="JJ99" s="39" t="s">
        <v>1778</v>
      </c>
      <c r="JM99" s="39">
        <v>2.19</v>
      </c>
      <c r="JN99" s="39" t="s">
        <v>1778</v>
      </c>
      <c r="JQ99" s="39">
        <v>208.77</v>
      </c>
      <c r="JR99" s="39" t="s">
        <v>1778</v>
      </c>
      <c r="JU99" s="39">
        <v>185.75</v>
      </c>
      <c r="JV99" s="39" t="s">
        <v>1778</v>
      </c>
      <c r="JX99" s="39">
        <v>1</v>
      </c>
      <c r="JY99" s="39" t="s">
        <v>619</v>
      </c>
      <c r="KB99" s="39">
        <v>1</v>
      </c>
      <c r="KC99" s="39" t="s">
        <v>619</v>
      </c>
      <c r="KD99" s="39" t="s">
        <v>1785</v>
      </c>
      <c r="KF99" s="8">
        <f t="shared" si="107"/>
        <v>1</v>
      </c>
      <c r="KG99" s="40">
        <f>KK99/KO99</f>
        <v>0.1970890811489231</v>
      </c>
      <c r="KK99" s="69">
        <v>31.984570000000001</v>
      </c>
      <c r="KL99" s="39" t="s">
        <v>1158</v>
      </c>
      <c r="KM99" s="39" t="s">
        <v>1787</v>
      </c>
      <c r="KO99" s="69">
        <v>162.28484</v>
      </c>
      <c r="KP99" s="39" t="s">
        <v>144</v>
      </c>
    </row>
    <row r="100" spans="2:302" s="39" customFormat="1" ht="15" hidden="1" customHeight="1" x14ac:dyDescent="0.35">
      <c r="B100" s="39" t="s">
        <v>1788</v>
      </c>
      <c r="C100" s="36" t="s">
        <v>543</v>
      </c>
      <c r="D100" s="39" t="s">
        <v>196</v>
      </c>
      <c r="E100" s="39" t="s">
        <v>369</v>
      </c>
      <c r="F100" s="39" t="s">
        <v>1789</v>
      </c>
      <c r="G100" s="42" t="s">
        <v>174</v>
      </c>
      <c r="H100" s="41">
        <v>0.84099999999999997</v>
      </c>
      <c r="L100" s="42">
        <v>4</v>
      </c>
      <c r="M100" s="39" t="s">
        <v>2868</v>
      </c>
      <c r="P100" s="39" t="s">
        <v>126</v>
      </c>
      <c r="Q100" s="39" t="s">
        <v>1790</v>
      </c>
      <c r="R100" s="36" t="s">
        <v>1791</v>
      </c>
      <c r="T100" s="39" t="s">
        <v>129</v>
      </c>
      <c r="U100" s="40">
        <f>62.34%*35.98%+27.34%*25%</f>
        <v>0.29264931999999999</v>
      </c>
      <c r="X100" s="39">
        <f t="shared" si="112"/>
        <v>1</v>
      </c>
      <c r="Y100" s="40">
        <f>((AC100-AG100)/AG100+(AG100-AK100)/AK100)/2*100%</f>
        <v>0.74733125025481684</v>
      </c>
      <c r="AC100" s="39">
        <v>66.33</v>
      </c>
      <c r="AD100" s="39" t="s">
        <v>641</v>
      </c>
      <c r="AG100" s="39">
        <v>41.57</v>
      </c>
      <c r="AH100" s="39" t="s">
        <v>1792</v>
      </c>
      <c r="AK100" s="39">
        <v>21.89</v>
      </c>
      <c r="AL100" s="39" t="s">
        <v>641</v>
      </c>
      <c r="AN100" s="39">
        <f t="shared" si="94"/>
        <v>1</v>
      </c>
      <c r="AO100" s="43">
        <f>((AS100-AW100)/AW100+(AW100-BA100)/BA100)/2*100%</f>
        <v>0.80131737034847728</v>
      </c>
      <c r="AS100" s="39">
        <v>71.67</v>
      </c>
      <c r="AT100" s="39" t="s">
        <v>641</v>
      </c>
      <c r="AW100" s="39">
        <v>41.36</v>
      </c>
      <c r="AX100" s="39" t="s">
        <v>641</v>
      </c>
      <c r="BA100" s="39">
        <v>22.12</v>
      </c>
      <c r="BB100" s="39" t="s">
        <v>1792</v>
      </c>
      <c r="BD100" s="2">
        <f t="shared" si="70"/>
        <v>4</v>
      </c>
      <c r="BE100" s="39">
        <f t="shared" si="113"/>
        <v>66.33</v>
      </c>
      <c r="BI100" s="39">
        <f t="shared" si="76"/>
        <v>66.33</v>
      </c>
      <c r="BJ100" s="39" t="s">
        <v>641</v>
      </c>
      <c r="BL100" s="2">
        <f t="shared" si="71"/>
        <v>4</v>
      </c>
      <c r="BM100" s="39">
        <f t="shared" si="109"/>
        <v>71.67</v>
      </c>
      <c r="BQ100" s="39">
        <f t="shared" si="77"/>
        <v>71.67</v>
      </c>
      <c r="BR100" s="39" t="s">
        <v>1792</v>
      </c>
      <c r="BT100" s="8">
        <f t="shared" si="72"/>
        <v>5</v>
      </c>
      <c r="BU100" s="39" t="s">
        <v>626</v>
      </c>
      <c r="BY100" s="39" t="s">
        <v>626</v>
      </c>
      <c r="CB100" s="36">
        <v>2</v>
      </c>
      <c r="CC100" s="36" t="str">
        <f>CF100</f>
        <v>二级</v>
      </c>
      <c r="CD100" s="36"/>
      <c r="CE100" s="36"/>
      <c r="CF100" s="36" t="s">
        <v>914</v>
      </c>
      <c r="CG100" s="36" t="s">
        <v>1725</v>
      </c>
      <c r="CH100" s="39" t="s">
        <v>1793</v>
      </c>
      <c r="CJ100" s="39">
        <f t="shared" si="91"/>
        <v>2</v>
      </c>
      <c r="CK100" s="48">
        <f>CO100/CS100</f>
        <v>0.96713402683551952</v>
      </c>
      <c r="CO100" s="39">
        <v>64.150000000000006</v>
      </c>
      <c r="CP100" s="39" t="s">
        <v>641</v>
      </c>
      <c r="CS100" s="39">
        <f t="shared" si="78"/>
        <v>66.33</v>
      </c>
      <c r="CT100" s="39" t="s">
        <v>1792</v>
      </c>
      <c r="CV100" s="36">
        <f t="shared" si="92"/>
        <v>3</v>
      </c>
      <c r="CW100" s="69">
        <f t="shared" si="114"/>
        <v>678.71172300000001</v>
      </c>
      <c r="DA100" s="69">
        <v>678.71172300000001</v>
      </c>
      <c r="DB100" s="39" t="s">
        <v>1794</v>
      </c>
      <c r="DD100" s="39">
        <f t="shared" si="80"/>
        <v>2</v>
      </c>
      <c r="DE100" s="69">
        <f>DM100/DI100</f>
        <v>9.4699556718292168</v>
      </c>
      <c r="DI100" s="39">
        <f t="shared" si="82"/>
        <v>71.67</v>
      </c>
      <c r="DJ100" s="39" t="s">
        <v>641</v>
      </c>
      <c r="DM100" s="69">
        <v>678.71172300000001</v>
      </c>
      <c r="DN100" s="39" t="s">
        <v>1793</v>
      </c>
      <c r="DP100" s="39">
        <v>4</v>
      </c>
      <c r="DQ100" s="39" t="s">
        <v>1795</v>
      </c>
      <c r="DU100" s="40">
        <v>0</v>
      </c>
      <c r="DV100" s="39" t="s">
        <v>1793</v>
      </c>
      <c r="DY100" s="40">
        <v>0.66800000000000004</v>
      </c>
      <c r="DZ100" s="39" t="s">
        <v>1793</v>
      </c>
      <c r="EC100" s="40">
        <v>0.33200000000000002</v>
      </c>
      <c r="ED100" s="39" t="s">
        <v>1793</v>
      </c>
      <c r="EG100" s="40">
        <v>0</v>
      </c>
      <c r="EH100" s="39" t="s">
        <v>1793</v>
      </c>
      <c r="EJ100" s="2">
        <f t="shared" si="74"/>
        <v>2</v>
      </c>
      <c r="EK100" s="39">
        <f>EO100</f>
        <v>81.28</v>
      </c>
      <c r="EO100" s="39">
        <v>81.28</v>
      </c>
      <c r="EP100" s="39" t="s">
        <v>1792</v>
      </c>
      <c r="ER100" s="8">
        <f t="shared" si="98"/>
        <v>3</v>
      </c>
      <c r="ES100" s="39">
        <f t="shared" si="115"/>
        <v>34.270000000000003</v>
      </c>
      <c r="EW100" s="39">
        <v>34.270000000000003</v>
      </c>
      <c r="EX100" s="39" t="s">
        <v>1792</v>
      </c>
      <c r="EZ100" s="8">
        <f t="shared" si="99"/>
        <v>1</v>
      </c>
      <c r="FA100" s="39">
        <f>FE100</f>
        <v>446.67</v>
      </c>
      <c r="FE100" s="39">
        <v>446.67</v>
      </c>
      <c r="FF100" s="39" t="s">
        <v>1794</v>
      </c>
      <c r="FH100" s="39">
        <v>2</v>
      </c>
      <c r="FI100" s="39" t="s">
        <v>1796</v>
      </c>
      <c r="FM100" s="50">
        <v>0</v>
      </c>
      <c r="FN100" s="39" t="s">
        <v>1794</v>
      </c>
      <c r="FQ100" s="40">
        <v>0.75690000000000002</v>
      </c>
      <c r="FR100" s="39" t="s">
        <v>1794</v>
      </c>
      <c r="FU100" s="40">
        <v>0.24310000000000001</v>
      </c>
      <c r="FV100" s="39" t="s">
        <v>1794</v>
      </c>
      <c r="FY100" s="50">
        <v>0</v>
      </c>
      <c r="FZ100" s="39" t="s">
        <v>1793</v>
      </c>
      <c r="GB100" s="39">
        <v>2</v>
      </c>
      <c r="GC100" s="39" t="s">
        <v>1797</v>
      </c>
      <c r="GG100" s="39" t="s">
        <v>1797</v>
      </c>
      <c r="GH100" s="39" t="s">
        <v>1794</v>
      </c>
      <c r="GJ100" s="8">
        <f t="shared" si="100"/>
        <v>2</v>
      </c>
      <c r="GK100" s="1">
        <f t="shared" si="101"/>
        <v>0.16490269074196362</v>
      </c>
      <c r="GN100" s="69">
        <v>5.328265</v>
      </c>
      <c r="GO100" s="39" t="s">
        <v>1798</v>
      </c>
      <c r="GP100" s="39" t="s">
        <v>1793</v>
      </c>
      <c r="GS100" s="69">
        <v>32.311571000000001</v>
      </c>
      <c r="GT100" s="39" t="s">
        <v>1799</v>
      </c>
      <c r="GV100" s="8">
        <f t="shared" si="102"/>
        <v>2</v>
      </c>
      <c r="GW100" s="1">
        <f t="shared" si="103"/>
        <v>0.24538465570103013</v>
      </c>
      <c r="HA100" s="69">
        <v>59.446086000000001</v>
      </c>
      <c r="HB100" s="39" t="s">
        <v>641</v>
      </c>
      <c r="HE100" s="69">
        <v>242.25673699999999</v>
      </c>
      <c r="HF100" s="39" t="s">
        <v>1799</v>
      </c>
      <c r="HH100" s="39">
        <f t="shared" si="83"/>
        <v>1</v>
      </c>
      <c r="HI100" s="1">
        <f t="shared" si="104"/>
        <v>3.6778636836895221E-3</v>
      </c>
      <c r="HM100" s="69">
        <v>6.3711000000000004E-2</v>
      </c>
      <c r="HN100" s="39" t="s">
        <v>1792</v>
      </c>
      <c r="HQ100" s="78">
        <v>17.322828000000001</v>
      </c>
      <c r="HR100" s="39" t="s">
        <v>1799</v>
      </c>
      <c r="HT100" s="39">
        <f t="shared" si="84"/>
        <v>1</v>
      </c>
      <c r="HU100" s="10">
        <f t="shared" si="105"/>
        <v>0.51400178948771147</v>
      </c>
      <c r="HY100" s="39">
        <v>27</v>
      </c>
      <c r="HZ100" s="39" t="s">
        <v>1794</v>
      </c>
      <c r="IC100" s="39">
        <v>52.529000000000003</v>
      </c>
      <c r="ID100" s="39" t="s">
        <v>1799</v>
      </c>
      <c r="IR100" s="42">
        <f t="shared" si="85"/>
        <v>3</v>
      </c>
      <c r="IS100" s="1">
        <f t="shared" si="106"/>
        <v>1.8690653596890408</v>
      </c>
      <c r="IW100" s="39">
        <v>111.66</v>
      </c>
      <c r="IX100" s="39" t="s">
        <v>1793</v>
      </c>
      <c r="JA100" s="69">
        <v>59.741089000000002</v>
      </c>
      <c r="JB100" s="39" t="s">
        <v>144</v>
      </c>
      <c r="JD100" s="39">
        <f t="shared" si="86"/>
        <v>4</v>
      </c>
      <c r="JE100" s="43">
        <f t="shared" si="87"/>
        <v>0.10145360101375056</v>
      </c>
      <c r="JI100" s="39">
        <v>7.75</v>
      </c>
      <c r="JJ100" s="39" t="s">
        <v>1793</v>
      </c>
      <c r="JM100" s="39">
        <v>1.1200000000000001</v>
      </c>
      <c r="JN100" s="39" t="s">
        <v>1794</v>
      </c>
      <c r="JQ100" s="39">
        <v>94.33</v>
      </c>
      <c r="JR100" s="39" t="s">
        <v>1793</v>
      </c>
      <c r="JU100" s="39">
        <v>42.08</v>
      </c>
      <c r="JV100" s="39" t="s">
        <v>641</v>
      </c>
      <c r="JX100" s="39">
        <v>2</v>
      </c>
      <c r="JY100" s="39" t="s">
        <v>719</v>
      </c>
      <c r="KB100" s="39">
        <v>11</v>
      </c>
      <c r="KC100" s="39" t="s">
        <v>719</v>
      </c>
      <c r="KD100" s="39" t="s">
        <v>641</v>
      </c>
      <c r="KF100" s="8">
        <f t="shared" si="107"/>
        <v>1</v>
      </c>
      <c r="KG100" s="40">
        <f>KK100/KO100</f>
        <v>0</v>
      </c>
      <c r="KK100" s="39">
        <v>0</v>
      </c>
      <c r="KL100" s="39" t="s">
        <v>641</v>
      </c>
      <c r="KO100" s="69">
        <v>59.741089000000002</v>
      </c>
      <c r="KP100" s="39" t="s">
        <v>1799</v>
      </c>
    </row>
    <row r="101" spans="2:302" s="39" customFormat="1" ht="13" hidden="1" x14ac:dyDescent="0.35">
      <c r="B101" s="39" t="s">
        <v>1800</v>
      </c>
      <c r="C101" s="39" t="s">
        <v>636</v>
      </c>
      <c r="D101" s="39" t="s">
        <v>346</v>
      </c>
      <c r="E101" s="39" t="s">
        <v>369</v>
      </c>
      <c r="F101" s="39" t="s">
        <v>1801</v>
      </c>
      <c r="G101" s="42" t="s">
        <v>199</v>
      </c>
      <c r="H101" s="50">
        <v>1</v>
      </c>
      <c r="L101" s="42">
        <v>2</v>
      </c>
      <c r="M101" s="39" t="s">
        <v>1802</v>
      </c>
      <c r="P101" s="39" t="s">
        <v>1803</v>
      </c>
      <c r="Q101" s="39" t="s">
        <v>971</v>
      </c>
      <c r="R101" s="39" t="s">
        <v>1804</v>
      </c>
      <c r="T101" s="39" t="s">
        <v>203</v>
      </c>
      <c r="U101" s="40">
        <f>77.26%*10%+77.26%*84.9%+77.26%*5.1%</f>
        <v>0.77260000000000006</v>
      </c>
      <c r="X101" s="39">
        <f t="shared" si="112"/>
        <v>1</v>
      </c>
      <c r="Y101" s="43">
        <f>((AC101-AG101)/AG101+(AG101-AK101)/AK101)/2*100%</f>
        <v>1.6598839513271046</v>
      </c>
      <c r="AC101" s="39">
        <v>170.62</v>
      </c>
      <c r="AD101" s="39" t="s">
        <v>1804</v>
      </c>
      <c r="AG101" s="39">
        <v>103.02</v>
      </c>
      <c r="AH101" s="39" t="s">
        <v>1804</v>
      </c>
      <c r="AK101" s="39">
        <v>28.12</v>
      </c>
      <c r="AL101" s="39" t="s">
        <v>1804</v>
      </c>
      <c r="AN101" s="39">
        <f t="shared" si="94"/>
        <v>1</v>
      </c>
      <c r="AO101" s="43">
        <f>((AS101-AW101)/AW101+(AW101-BA101)/BA101)/2*100%</f>
        <v>1.0686643579694688</v>
      </c>
      <c r="AS101" s="39">
        <v>126.16</v>
      </c>
      <c r="AT101" s="39" t="s">
        <v>1804</v>
      </c>
      <c r="AW101" s="39">
        <v>93.52</v>
      </c>
      <c r="AX101" s="39" t="s">
        <v>1804</v>
      </c>
      <c r="BA101" s="39">
        <v>33.54</v>
      </c>
      <c r="BB101" s="39" t="s">
        <v>1804</v>
      </c>
      <c r="BD101" s="2">
        <f t="shared" si="70"/>
        <v>3</v>
      </c>
      <c r="BE101" s="39">
        <f t="shared" si="113"/>
        <v>170.62</v>
      </c>
      <c r="BI101" s="39">
        <f t="shared" si="76"/>
        <v>170.62</v>
      </c>
      <c r="BJ101" s="39" t="s">
        <v>1805</v>
      </c>
      <c r="BL101" s="2">
        <f t="shared" si="71"/>
        <v>3</v>
      </c>
      <c r="BM101" s="39">
        <f t="shared" si="109"/>
        <v>126.16</v>
      </c>
      <c r="BQ101" s="39">
        <f t="shared" si="77"/>
        <v>126.16</v>
      </c>
      <c r="BR101" s="39" t="s">
        <v>1804</v>
      </c>
      <c r="BT101" s="8">
        <f t="shared" si="72"/>
        <v>3</v>
      </c>
      <c r="BU101" s="39">
        <f>BY101</f>
        <v>134</v>
      </c>
      <c r="BY101" s="39">
        <v>134</v>
      </c>
      <c r="BZ101" s="80" t="s">
        <v>697</v>
      </c>
      <c r="CB101" s="39">
        <v>1</v>
      </c>
      <c r="CC101" s="39" t="s">
        <v>133</v>
      </c>
      <c r="CF101" s="39" t="s">
        <v>132</v>
      </c>
      <c r="CG101" s="39" t="s">
        <v>698</v>
      </c>
      <c r="CH101" s="39" t="s">
        <v>1805</v>
      </c>
      <c r="CJ101" s="39">
        <f t="shared" si="91"/>
        <v>2</v>
      </c>
      <c r="CK101" s="48">
        <f>CO101/CS101</f>
        <v>0.67623959676474032</v>
      </c>
      <c r="CO101" s="39">
        <v>115.38</v>
      </c>
      <c r="CP101" s="39" t="s">
        <v>1804</v>
      </c>
      <c r="CS101" s="39">
        <f t="shared" si="78"/>
        <v>170.62</v>
      </c>
      <c r="CT101" s="39" t="s">
        <v>1805</v>
      </c>
      <c r="CV101" s="36">
        <f t="shared" si="92"/>
        <v>4</v>
      </c>
      <c r="CW101" s="39">
        <f t="shared" si="114"/>
        <v>432.98</v>
      </c>
      <c r="DA101" s="39">
        <v>432.98</v>
      </c>
      <c r="DB101" s="39" t="s">
        <v>1806</v>
      </c>
      <c r="DD101" s="39">
        <f t="shared" si="80"/>
        <v>1</v>
      </c>
      <c r="DE101" s="69">
        <f>DM101/DI101</f>
        <v>3.4319911223842743</v>
      </c>
      <c r="DI101" s="39">
        <f t="shared" si="82"/>
        <v>126.16</v>
      </c>
      <c r="DJ101" s="39" t="s">
        <v>1804</v>
      </c>
      <c r="DM101" s="118">
        <f>DA101</f>
        <v>432.98</v>
      </c>
      <c r="DN101" s="39" t="s">
        <v>1804</v>
      </c>
      <c r="DP101" s="39">
        <v>2</v>
      </c>
      <c r="DQ101" s="39" t="s">
        <v>1807</v>
      </c>
      <c r="DR101" s="39" t="s">
        <v>1804</v>
      </c>
      <c r="DU101" s="40" t="s">
        <v>264</v>
      </c>
      <c r="DY101" s="40" t="s">
        <v>264</v>
      </c>
      <c r="EC101" s="40" t="s">
        <v>264</v>
      </c>
      <c r="EG101" s="40" t="s">
        <v>1808</v>
      </c>
      <c r="EJ101" s="2">
        <f t="shared" si="74"/>
        <v>1</v>
      </c>
      <c r="EK101" s="39">
        <f>EO101</f>
        <v>236.74</v>
      </c>
      <c r="EO101" s="39">
        <f>200.77+35.97</f>
        <v>236.74</v>
      </c>
      <c r="EP101" s="39" t="s">
        <v>1805</v>
      </c>
      <c r="ER101" s="8">
        <f t="shared" si="98"/>
        <v>1</v>
      </c>
      <c r="ES101" s="39">
        <f t="shared" si="115"/>
        <v>175.61</v>
      </c>
      <c r="EW101" s="39">
        <f>134.08+41.53</f>
        <v>175.61</v>
      </c>
      <c r="EX101" s="39" t="s">
        <v>1804</v>
      </c>
      <c r="EZ101" s="8">
        <f t="shared" si="99"/>
        <v>1</v>
      </c>
      <c r="FA101" s="39">
        <f>FE101</f>
        <v>548.22</v>
      </c>
      <c r="FE101" s="39">
        <f>407.71+140.51</f>
        <v>548.22</v>
      </c>
      <c r="FF101" s="39" t="s">
        <v>1804</v>
      </c>
      <c r="FH101" s="39">
        <v>2</v>
      </c>
      <c r="FI101" s="39" t="s">
        <v>1809</v>
      </c>
      <c r="FJ101" s="39" t="s">
        <v>1804</v>
      </c>
      <c r="FM101" s="39" t="s">
        <v>264</v>
      </c>
      <c r="FQ101" s="39" t="s">
        <v>264</v>
      </c>
      <c r="FU101" s="39" t="s">
        <v>1810</v>
      </c>
      <c r="FY101" s="39" t="s">
        <v>264</v>
      </c>
      <c r="GB101" s="39">
        <v>2</v>
      </c>
      <c r="GC101" s="39" t="s">
        <v>899</v>
      </c>
      <c r="GG101" s="39" t="s">
        <v>899</v>
      </c>
      <c r="GH101" s="39" t="s">
        <v>1805</v>
      </c>
      <c r="GJ101" s="8">
        <f t="shared" si="100"/>
        <v>4</v>
      </c>
      <c r="GK101" s="1">
        <f t="shared" si="101"/>
        <v>0</v>
      </c>
      <c r="GN101" s="39">
        <v>0</v>
      </c>
      <c r="GO101" s="39" t="s">
        <v>1811</v>
      </c>
      <c r="GP101" s="39" t="s">
        <v>1804</v>
      </c>
      <c r="GS101" s="69">
        <v>82.243611861299996</v>
      </c>
      <c r="GT101" s="39" t="s">
        <v>144</v>
      </c>
      <c r="GV101" s="8">
        <f t="shared" si="102"/>
        <v>2</v>
      </c>
      <c r="GW101" s="1">
        <f t="shared" si="103"/>
        <v>0.27437148611911466</v>
      </c>
      <c r="HA101" s="39">
        <v>151.99</v>
      </c>
      <c r="HB101" s="39" t="s">
        <v>1812</v>
      </c>
      <c r="HE101" s="69">
        <v>553.95698055160005</v>
      </c>
      <c r="HF101" s="39" t="s">
        <v>144</v>
      </c>
      <c r="HH101" s="39">
        <f t="shared" si="83"/>
        <v>1</v>
      </c>
      <c r="HI101" s="1">
        <f t="shared" si="104"/>
        <v>7.026376211161818E-3</v>
      </c>
      <c r="HM101" s="39">
        <v>0.4</v>
      </c>
      <c r="HN101" s="39" t="s">
        <v>1812</v>
      </c>
      <c r="HQ101" s="78">
        <v>56.928349404999999</v>
      </c>
      <c r="HR101" s="39" t="s">
        <v>144</v>
      </c>
      <c r="HT101" s="39">
        <f t="shared" si="84"/>
        <v>3</v>
      </c>
      <c r="HU101" s="10">
        <f t="shared" si="105"/>
        <v>6.8730914714968061E-2</v>
      </c>
      <c r="HY101" s="39">
        <v>10.07</v>
      </c>
      <c r="HZ101" s="39" t="s">
        <v>1812</v>
      </c>
      <c r="IC101" s="14">
        <v>146.51339999999999</v>
      </c>
      <c r="ID101" s="39" t="s">
        <v>1813</v>
      </c>
      <c r="IR101" s="42">
        <f t="shared" si="85"/>
        <v>1</v>
      </c>
      <c r="IS101" s="1">
        <f t="shared" si="106"/>
        <v>44.381087750791622</v>
      </c>
      <c r="IW101" s="140">
        <v>4438.43</v>
      </c>
      <c r="IX101" s="39" t="s">
        <v>501</v>
      </c>
      <c r="IY101" s="39" t="s">
        <v>1814</v>
      </c>
      <c r="JA101" s="69">
        <v>100.00723787850001</v>
      </c>
      <c r="JB101" s="39" t="s">
        <v>144</v>
      </c>
      <c r="JD101" s="39">
        <f t="shared" si="86"/>
        <v>4</v>
      </c>
      <c r="JE101" s="43">
        <f t="shared" si="87"/>
        <v>0.1024070021881838</v>
      </c>
      <c r="JI101" s="39">
        <v>9.36</v>
      </c>
      <c r="JJ101" s="39" t="s">
        <v>1805</v>
      </c>
      <c r="JM101" s="39">
        <v>0.4</v>
      </c>
      <c r="JN101" s="39" t="s">
        <v>1804</v>
      </c>
      <c r="JQ101" s="39">
        <v>269.32</v>
      </c>
      <c r="JR101" s="39" t="s">
        <v>1804</v>
      </c>
      <c r="JU101" s="39">
        <v>187.68</v>
      </c>
      <c r="JV101" s="39" t="s">
        <v>1804</v>
      </c>
      <c r="JX101" s="39">
        <v>2</v>
      </c>
      <c r="JY101" s="39" t="s">
        <v>981</v>
      </c>
      <c r="KB101" s="39">
        <v>13</v>
      </c>
      <c r="KC101" s="39" t="s">
        <v>981</v>
      </c>
      <c r="KD101" s="39" t="s">
        <v>1804</v>
      </c>
      <c r="KF101" s="8">
        <f t="shared" si="107"/>
        <v>1</v>
      </c>
      <c r="KG101" s="43">
        <f>KK101/KO101</f>
        <v>0</v>
      </c>
      <c r="KK101" s="39">
        <v>0</v>
      </c>
      <c r="KL101" s="39" t="s">
        <v>1812</v>
      </c>
      <c r="KO101" s="69">
        <v>100.00723787850001</v>
      </c>
      <c r="KP101" s="39" t="s">
        <v>144</v>
      </c>
    </row>
    <row r="102" spans="2:302" s="39" customFormat="1" ht="15.75" hidden="1" customHeight="1" x14ac:dyDescent="0.35">
      <c r="B102" s="39" t="s">
        <v>1815</v>
      </c>
      <c r="C102" s="39" t="s">
        <v>1816</v>
      </c>
      <c r="D102" s="39" t="s">
        <v>346</v>
      </c>
      <c r="E102" s="39" t="s">
        <v>369</v>
      </c>
      <c r="F102" s="39" t="s">
        <v>1801</v>
      </c>
      <c r="G102" s="42" t="s">
        <v>249</v>
      </c>
      <c r="H102" s="50">
        <v>1</v>
      </c>
      <c r="L102" s="42">
        <v>2</v>
      </c>
      <c r="M102" s="39" t="s">
        <v>1802</v>
      </c>
      <c r="P102" s="39" t="s">
        <v>1803</v>
      </c>
      <c r="Q102" s="39" t="s">
        <v>1817</v>
      </c>
      <c r="R102" s="39" t="s">
        <v>1818</v>
      </c>
      <c r="T102" s="39" t="s">
        <v>203</v>
      </c>
      <c r="U102" s="40">
        <f>77.26%*10%+77.26%*84.9%+77.26%*5.1%</f>
        <v>0.77260000000000006</v>
      </c>
      <c r="X102" s="39">
        <f t="shared" si="112"/>
        <v>1</v>
      </c>
      <c r="Y102" s="43">
        <f>(AC102-AG102)/AG102</f>
        <v>2.6635846372688472</v>
      </c>
      <c r="AC102" s="39">
        <v>103.02</v>
      </c>
      <c r="AD102" s="39" t="s">
        <v>1818</v>
      </c>
      <c r="AG102" s="39">
        <v>28.12</v>
      </c>
      <c r="AH102" s="39" t="s">
        <v>1818</v>
      </c>
      <c r="AK102" s="39" t="s">
        <v>1691</v>
      </c>
      <c r="AN102" s="39">
        <f t="shared" si="94"/>
        <v>1</v>
      </c>
      <c r="AO102" s="43">
        <f>((AS102-AW102)/AW102)*100%</f>
        <v>1.7883124627310674</v>
      </c>
      <c r="AS102" s="39">
        <v>93.52</v>
      </c>
      <c r="AT102" s="39" t="s">
        <v>1818</v>
      </c>
      <c r="AW102" s="39">
        <v>33.54</v>
      </c>
      <c r="AX102" s="39" t="s">
        <v>1819</v>
      </c>
      <c r="BA102" s="39" t="s">
        <v>1820</v>
      </c>
      <c r="BD102" s="2">
        <f t="shared" si="70"/>
        <v>3</v>
      </c>
      <c r="BE102" s="39">
        <f t="shared" si="113"/>
        <v>103.02</v>
      </c>
      <c r="BI102" s="39">
        <f t="shared" si="76"/>
        <v>103.02</v>
      </c>
      <c r="BJ102" s="39" t="s">
        <v>1804</v>
      </c>
      <c r="BL102" s="2">
        <f t="shared" si="71"/>
        <v>4</v>
      </c>
      <c r="BM102" s="39">
        <f t="shared" si="109"/>
        <v>93.52</v>
      </c>
      <c r="BQ102" s="39">
        <f t="shared" si="77"/>
        <v>93.52</v>
      </c>
      <c r="BR102" s="39" t="s">
        <v>1818</v>
      </c>
      <c r="BT102" s="8">
        <f t="shared" si="72"/>
        <v>5</v>
      </c>
      <c r="BU102" s="42" t="s">
        <v>626</v>
      </c>
      <c r="BX102" s="42"/>
      <c r="BY102" s="42" t="s">
        <v>1821</v>
      </c>
      <c r="BZ102" s="76" t="s">
        <v>1822</v>
      </c>
      <c r="CB102" s="39">
        <v>1</v>
      </c>
      <c r="CC102" s="39" t="s">
        <v>1823</v>
      </c>
      <c r="CF102" s="39" t="s">
        <v>132</v>
      </c>
      <c r="CG102" s="39" t="s">
        <v>698</v>
      </c>
      <c r="CH102" s="39" t="s">
        <v>1824</v>
      </c>
      <c r="CJ102" s="39">
        <f t="shared" si="91"/>
        <v>2</v>
      </c>
      <c r="CK102" s="48">
        <f>CO102/CS102</f>
        <v>0.76295864880605702</v>
      </c>
      <c r="CO102" s="39">
        <v>78.599999999999994</v>
      </c>
      <c r="CP102" s="39" t="s">
        <v>1819</v>
      </c>
      <c r="CS102" s="39">
        <f t="shared" si="78"/>
        <v>103.02</v>
      </c>
      <c r="CT102" s="39" t="s">
        <v>1819</v>
      </c>
      <c r="CV102" s="36">
        <f t="shared" si="92"/>
        <v>0</v>
      </c>
      <c r="CW102" s="39" t="str">
        <f t="shared" si="114"/>
        <v>数据缺失</v>
      </c>
      <c r="DA102" s="39" t="s">
        <v>264</v>
      </c>
      <c r="DD102" s="39">
        <f t="shared" si="80"/>
        <v>0</v>
      </c>
      <c r="DE102" s="155" t="s">
        <v>1574</v>
      </c>
      <c r="DI102" s="39">
        <f t="shared" si="82"/>
        <v>93.52</v>
      </c>
      <c r="DJ102" s="39" t="s">
        <v>1819</v>
      </c>
      <c r="DM102" s="118" t="str">
        <f>DA102</f>
        <v>数据缺失</v>
      </c>
      <c r="DP102" s="39">
        <v>5</v>
      </c>
      <c r="DQ102" s="40" t="s">
        <v>264</v>
      </c>
      <c r="DU102" s="40" t="s">
        <v>1691</v>
      </c>
      <c r="DY102" s="40" t="s">
        <v>1820</v>
      </c>
      <c r="EC102" s="40" t="s">
        <v>1574</v>
      </c>
      <c r="EG102" s="40" t="s">
        <v>1820</v>
      </c>
      <c r="EJ102" s="2">
        <f t="shared" si="74"/>
        <v>1</v>
      </c>
      <c r="EK102" s="39">
        <f>EO102</f>
        <v>273.52</v>
      </c>
      <c r="EO102" s="39">
        <f>204.69+68.83</f>
        <v>273.52</v>
      </c>
      <c r="EP102" s="39" t="s">
        <v>1825</v>
      </c>
      <c r="ER102" s="8">
        <f t="shared" si="98"/>
        <v>1</v>
      </c>
      <c r="ES102" s="39">
        <f t="shared" si="115"/>
        <v>135.82</v>
      </c>
      <c r="EW102" s="58">
        <f>39.57+96.25</f>
        <v>135.82</v>
      </c>
      <c r="EX102" s="39" t="s">
        <v>1825</v>
      </c>
      <c r="EZ102" s="8">
        <f t="shared" si="99"/>
        <v>1</v>
      </c>
      <c r="FA102" s="39">
        <f>FE102</f>
        <v>512.61</v>
      </c>
      <c r="FE102" s="58">
        <f>125.67+386.94</f>
        <v>512.61</v>
      </c>
      <c r="FF102" s="39" t="s">
        <v>1826</v>
      </c>
      <c r="FH102" s="39">
        <v>2</v>
      </c>
      <c r="FI102" s="39" t="s">
        <v>1827</v>
      </c>
      <c r="FJ102" s="39" t="s">
        <v>1828</v>
      </c>
      <c r="FM102" s="39" t="s">
        <v>1574</v>
      </c>
      <c r="FQ102" s="39" t="s">
        <v>1691</v>
      </c>
      <c r="FU102" s="39" t="s">
        <v>1574</v>
      </c>
      <c r="FY102" s="39" t="s">
        <v>1574</v>
      </c>
      <c r="GB102" s="39">
        <v>2</v>
      </c>
      <c r="GC102" s="39" t="s">
        <v>1829</v>
      </c>
      <c r="GG102" s="39" t="s">
        <v>899</v>
      </c>
      <c r="GH102" s="39" t="s">
        <v>1819</v>
      </c>
      <c r="GJ102" s="8">
        <f t="shared" si="100"/>
        <v>4</v>
      </c>
      <c r="GK102" s="1">
        <f t="shared" si="101"/>
        <v>0</v>
      </c>
      <c r="GN102" s="39">
        <v>0</v>
      </c>
      <c r="GO102" s="39" t="s">
        <v>1830</v>
      </c>
      <c r="GP102" s="39" t="s">
        <v>1819</v>
      </c>
      <c r="GS102" s="69">
        <v>72.985753448500006</v>
      </c>
      <c r="GT102" s="39" t="s">
        <v>1831</v>
      </c>
      <c r="GV102" s="8">
        <f t="shared" si="102"/>
        <v>2</v>
      </c>
      <c r="GW102" s="1">
        <f t="shared" si="103"/>
        <v>0.23657202283299866</v>
      </c>
      <c r="HA102" s="39">
        <v>99.6</v>
      </c>
      <c r="HB102" s="39" t="s">
        <v>1832</v>
      </c>
      <c r="HE102" s="69">
        <v>421.01343517830003</v>
      </c>
      <c r="HF102" s="39" t="s">
        <v>1583</v>
      </c>
      <c r="HH102" s="39">
        <f t="shared" si="83"/>
        <v>1</v>
      </c>
      <c r="HI102" s="1">
        <f t="shared" si="104"/>
        <v>2.3861597159118161E-2</v>
      </c>
      <c r="HM102" s="39">
        <v>1.41</v>
      </c>
      <c r="HN102" s="39" t="s">
        <v>1833</v>
      </c>
      <c r="HQ102" s="78">
        <v>59.090763732100001</v>
      </c>
      <c r="HR102" s="39" t="s">
        <v>1583</v>
      </c>
      <c r="HT102" s="39">
        <f t="shared" si="84"/>
        <v>2</v>
      </c>
      <c r="HU102" s="10">
        <f t="shared" si="105"/>
        <v>0.19530859705807974</v>
      </c>
      <c r="HY102" s="39">
        <v>18.14</v>
      </c>
      <c r="HZ102" s="39" t="s">
        <v>1833</v>
      </c>
      <c r="IC102" s="39">
        <v>92.878656000000007</v>
      </c>
      <c r="ID102" s="39" t="s">
        <v>1583</v>
      </c>
      <c r="IR102" s="42">
        <f t="shared" si="85"/>
        <v>0</v>
      </c>
      <c r="IS102" s="39" t="s">
        <v>1615</v>
      </c>
      <c r="IW102" s="39" t="s">
        <v>1691</v>
      </c>
      <c r="JA102" s="69">
        <v>91.420942551900012</v>
      </c>
      <c r="JB102" s="39" t="s">
        <v>1583</v>
      </c>
      <c r="JD102" s="39">
        <f t="shared" si="86"/>
        <v>4</v>
      </c>
      <c r="JE102" s="43">
        <f t="shared" si="87"/>
        <v>0.12881842474352212</v>
      </c>
      <c r="JI102" s="39">
        <v>10.42</v>
      </c>
      <c r="JJ102" s="39" t="s">
        <v>1819</v>
      </c>
      <c r="JM102" s="39">
        <v>0.61</v>
      </c>
      <c r="JN102" s="39" t="s">
        <v>1828</v>
      </c>
      <c r="JQ102" s="39">
        <v>187.68</v>
      </c>
      <c r="JR102" s="39" t="s">
        <v>1819</v>
      </c>
      <c r="JU102" s="39">
        <v>77.53</v>
      </c>
      <c r="JV102" s="39" t="s">
        <v>1828</v>
      </c>
      <c r="JX102" s="39">
        <v>2</v>
      </c>
      <c r="JY102" s="39" t="s">
        <v>1834</v>
      </c>
      <c r="KB102" s="39">
        <v>18</v>
      </c>
      <c r="KC102" s="39" t="s">
        <v>1834</v>
      </c>
      <c r="KD102" s="39" t="s">
        <v>1819</v>
      </c>
      <c r="KF102" s="8">
        <f t="shared" si="107"/>
        <v>1</v>
      </c>
      <c r="KG102" s="43">
        <f>KK102/KO102</f>
        <v>0</v>
      </c>
      <c r="KK102" s="39">
        <v>0</v>
      </c>
      <c r="KL102" s="39" t="s">
        <v>1833</v>
      </c>
      <c r="KO102" s="69">
        <v>91.420942551900012</v>
      </c>
      <c r="KP102" s="39" t="s">
        <v>1583</v>
      </c>
    </row>
    <row r="103" spans="2:302" s="39" customFormat="1" ht="15.75" hidden="1" customHeight="1" x14ac:dyDescent="0.35">
      <c r="B103" s="39" t="s">
        <v>1835</v>
      </c>
      <c r="C103" s="39" t="s">
        <v>1836</v>
      </c>
      <c r="D103" s="39" t="s">
        <v>346</v>
      </c>
      <c r="E103" s="39" t="s">
        <v>1837</v>
      </c>
      <c r="F103" s="39" t="s">
        <v>1838</v>
      </c>
      <c r="G103" s="42" t="s">
        <v>174</v>
      </c>
      <c r="H103" s="141">
        <v>0.31169999999999998</v>
      </c>
      <c r="I103" s="39" t="s">
        <v>688</v>
      </c>
      <c r="J103" s="39" t="s">
        <v>1839</v>
      </c>
      <c r="L103" s="42"/>
      <c r="U103" s="142"/>
      <c r="Y103" s="43"/>
      <c r="AO103" s="43"/>
      <c r="BD103" s="2">
        <f t="shared" si="70"/>
        <v>5</v>
      </c>
      <c r="BL103" s="2"/>
      <c r="BT103" s="8"/>
      <c r="CK103" s="48"/>
      <c r="CV103" s="36"/>
      <c r="DE103" s="69"/>
      <c r="DM103" s="118"/>
      <c r="DU103" s="40"/>
      <c r="DY103" s="40"/>
      <c r="EC103" s="40"/>
      <c r="EG103" s="40"/>
      <c r="EJ103" s="2"/>
      <c r="EZ103" s="8"/>
      <c r="FM103" s="142"/>
      <c r="FQ103" s="142"/>
      <c r="FU103" s="142"/>
      <c r="FY103" s="142"/>
      <c r="GJ103" s="8"/>
      <c r="GK103" s="1"/>
      <c r="GS103" s="69"/>
      <c r="GV103" s="8"/>
      <c r="GW103" s="1"/>
      <c r="HE103" s="69"/>
      <c r="HI103" s="1"/>
      <c r="HQ103" s="78"/>
      <c r="HU103" s="10"/>
      <c r="IR103" s="42"/>
      <c r="IS103" s="1"/>
      <c r="JA103" s="69"/>
      <c r="JE103" s="43"/>
      <c r="KD103" s="201"/>
      <c r="KF103" s="8"/>
      <c r="KG103" s="43"/>
      <c r="KO103" s="69"/>
    </row>
    <row r="104" spans="2:302" s="39" customFormat="1" ht="15.75" hidden="1" customHeight="1" x14ac:dyDescent="0.35">
      <c r="B104" s="39" t="s">
        <v>1840</v>
      </c>
      <c r="C104" s="39" t="s">
        <v>1841</v>
      </c>
      <c r="D104" s="39" t="s">
        <v>346</v>
      </c>
      <c r="E104" s="39" t="s">
        <v>1842</v>
      </c>
      <c r="F104" s="39" t="s">
        <v>1843</v>
      </c>
      <c r="G104" s="42" t="s">
        <v>199</v>
      </c>
      <c r="H104" s="44">
        <f xml:space="preserve"> 62.54/717.11</f>
        <v>8.721116704550208E-2</v>
      </c>
      <c r="I104" s="39" t="s">
        <v>1844</v>
      </c>
      <c r="J104" s="39" t="s">
        <v>1845</v>
      </c>
      <c r="L104" s="42"/>
      <c r="U104" s="142"/>
      <c r="Y104" s="43"/>
      <c r="AO104" s="43"/>
      <c r="BD104" s="2">
        <f t="shared" si="70"/>
        <v>5</v>
      </c>
      <c r="BL104" s="2">
        <f t="shared" si="71"/>
        <v>5</v>
      </c>
      <c r="BT104" s="8"/>
      <c r="CK104" s="48"/>
      <c r="CV104" s="36"/>
      <c r="DE104" s="69"/>
      <c r="DM104" s="118"/>
      <c r="DU104" s="40"/>
      <c r="DY104" s="40"/>
      <c r="EC104" s="40"/>
      <c r="EG104" s="40"/>
      <c r="EJ104" s="2"/>
      <c r="EZ104" s="8"/>
      <c r="FM104" s="142"/>
      <c r="FQ104" s="142"/>
      <c r="FU104" s="142"/>
      <c r="FY104" s="142"/>
      <c r="GJ104" s="8"/>
      <c r="GK104" s="1"/>
      <c r="GS104" s="69"/>
      <c r="GV104" s="8"/>
      <c r="GW104" s="1"/>
      <c r="HE104" s="69"/>
      <c r="HI104" s="1"/>
      <c r="HQ104" s="78"/>
      <c r="HU104" s="10"/>
      <c r="IR104" s="42"/>
      <c r="IS104" s="1"/>
      <c r="JA104" s="69"/>
      <c r="JE104" s="43"/>
      <c r="JX104" s="202"/>
      <c r="JY104" s="202"/>
      <c r="JZ104" s="202"/>
      <c r="KA104" s="202"/>
      <c r="KB104" s="202"/>
      <c r="KC104" s="202"/>
      <c r="KD104" s="201"/>
      <c r="KF104" s="8"/>
      <c r="KG104" s="43"/>
      <c r="KO104" s="69"/>
    </row>
    <row r="105" spans="2:302" s="39" customFormat="1" ht="13" x14ac:dyDescent="0.35">
      <c r="B105" s="39" t="s">
        <v>1846</v>
      </c>
      <c r="C105" s="39" t="s">
        <v>1847</v>
      </c>
      <c r="D105" s="39" t="s">
        <v>346</v>
      </c>
      <c r="E105" s="39" t="s">
        <v>1848</v>
      </c>
      <c r="F105" s="39" t="s">
        <v>1849</v>
      </c>
      <c r="G105" s="42" t="s">
        <v>174</v>
      </c>
      <c r="H105" s="40">
        <f>17.34/22.71</f>
        <v>0.76354029062087181</v>
      </c>
      <c r="L105" s="42">
        <v>4</v>
      </c>
      <c r="M105" s="39" t="s">
        <v>2894</v>
      </c>
      <c r="P105" s="39" t="s">
        <v>1850</v>
      </c>
      <c r="Q105" s="39" t="s">
        <v>1851</v>
      </c>
      <c r="R105" s="39" t="s">
        <v>1852</v>
      </c>
      <c r="T105" s="39" t="s">
        <v>709</v>
      </c>
      <c r="U105" s="40">
        <v>0.80649999999999999</v>
      </c>
      <c r="X105" s="39">
        <f t="shared" ref="X105:X112" si="116">IF(Y105="数据缺失",0,IF(Y105&lt;-30%,6,IF(Y105&lt;-10%,5,IF(Y105&lt;0%,4,IF(Y105&lt;10%,3,IF(Y105&lt;30%,2,1))))))</f>
        <v>0</v>
      </c>
      <c r="Y105" s="39" t="s">
        <v>1853</v>
      </c>
      <c r="AC105" s="39" t="s">
        <v>1853</v>
      </c>
      <c r="AG105" s="39" t="s">
        <v>1853</v>
      </c>
      <c r="AK105" s="39" t="s">
        <v>1853</v>
      </c>
      <c r="AN105" s="39">
        <f t="shared" ref="AN105:AN111" si="117">IF(AO105="数据缺失",0,IF(AO105&lt;-30%,6,IF(AO105&lt;-10%,5,IF(AO105&lt;0%,4,IF(AO105&lt;10%,3,IF(AO105&lt;30%,2,1))))))</f>
        <v>0</v>
      </c>
      <c r="AO105" s="39" t="s">
        <v>1853</v>
      </c>
      <c r="AS105" s="39" t="s">
        <v>1854</v>
      </c>
      <c r="AW105" s="39" t="s">
        <v>1854</v>
      </c>
      <c r="BA105" s="39" t="s">
        <v>1853</v>
      </c>
      <c r="BD105" s="2">
        <f t="shared" si="70"/>
        <v>0</v>
      </c>
      <c r="BE105" s="39" t="str">
        <f>BI105</f>
        <v>数据缺失</v>
      </c>
      <c r="BI105" s="39" t="str">
        <f t="shared" si="76"/>
        <v>数据缺失</v>
      </c>
      <c r="BL105" s="2">
        <f t="shared" si="71"/>
        <v>0</v>
      </c>
      <c r="BM105" s="39" t="str">
        <f>BQ105</f>
        <v>数据缺失</v>
      </c>
      <c r="BQ105" s="39" t="str">
        <f t="shared" si="77"/>
        <v>数据缺失</v>
      </c>
      <c r="BT105" s="8">
        <f t="shared" si="72"/>
        <v>5</v>
      </c>
      <c r="BU105" s="39" t="s">
        <v>1855</v>
      </c>
      <c r="BY105" s="39" t="s">
        <v>1855</v>
      </c>
      <c r="BZ105" s="39" t="s">
        <v>234</v>
      </c>
      <c r="CB105" s="39">
        <v>0</v>
      </c>
      <c r="CC105" s="39" t="s">
        <v>264</v>
      </c>
      <c r="CF105" s="39" t="s">
        <v>1574</v>
      </c>
      <c r="CG105" s="39" t="s">
        <v>1574</v>
      </c>
      <c r="CJ105" s="39">
        <f t="shared" si="91"/>
        <v>0</v>
      </c>
      <c r="CK105" s="39" t="s">
        <v>1574</v>
      </c>
      <c r="CO105" s="39" t="s">
        <v>1574</v>
      </c>
      <c r="CS105" s="39" t="str">
        <f t="shared" si="78"/>
        <v>数据缺失</v>
      </c>
      <c r="CV105" s="36">
        <f t="shared" si="92"/>
        <v>0</v>
      </c>
      <c r="CW105" s="39" t="str">
        <f>DA105</f>
        <v>数据缺失</v>
      </c>
      <c r="DA105" s="39" t="s">
        <v>1574</v>
      </c>
      <c r="DD105" s="39">
        <f t="shared" si="80"/>
        <v>0</v>
      </c>
      <c r="DE105" s="69" t="s">
        <v>264</v>
      </c>
      <c r="DI105" s="39" t="str">
        <f t="shared" si="82"/>
        <v>数据缺失</v>
      </c>
      <c r="DM105" s="118" t="str">
        <f>DA105</f>
        <v>数据缺失</v>
      </c>
      <c r="DP105" s="39">
        <v>1</v>
      </c>
      <c r="DQ105" s="39" t="s">
        <v>1856</v>
      </c>
      <c r="DR105" s="39" t="s">
        <v>1857</v>
      </c>
      <c r="DU105" s="40" t="s">
        <v>1574</v>
      </c>
      <c r="DY105" s="40" t="s">
        <v>1574</v>
      </c>
      <c r="EC105" s="40" t="s">
        <v>1574</v>
      </c>
      <c r="EG105" s="40" t="s">
        <v>1574</v>
      </c>
      <c r="EJ105" s="2">
        <f t="shared" si="74"/>
        <v>0</v>
      </c>
      <c r="EK105" s="39" t="str">
        <f>EO105</f>
        <v>数据缺失</v>
      </c>
      <c r="EO105" s="39" t="s">
        <v>1574</v>
      </c>
      <c r="ER105" s="39">
        <f>IF(ES105="数据缺失",0,IF(ES105&lt;0,0,IF(ES105&lt;=5,5,IF(ES105&lt;=20,4,IF(ES105&lt;=50,3,IF(ES105&lt;=100,2,1))))))</f>
        <v>0</v>
      </c>
      <c r="ES105" s="39" t="str">
        <f>EW105</f>
        <v>数据缺失</v>
      </c>
      <c r="EW105" s="118" t="s">
        <v>264</v>
      </c>
      <c r="EZ105" s="8">
        <f t="shared" si="99"/>
        <v>0</v>
      </c>
      <c r="FA105" s="39" t="str">
        <f>FE105</f>
        <v>数据缺失</v>
      </c>
      <c r="FE105" s="39" t="s">
        <v>264</v>
      </c>
      <c r="FH105" s="39">
        <v>1</v>
      </c>
      <c r="FI105" s="39" t="s">
        <v>1858</v>
      </c>
      <c r="FM105" s="39" t="s">
        <v>264</v>
      </c>
      <c r="FQ105" s="39" t="s">
        <v>264</v>
      </c>
      <c r="FU105" s="39" t="s">
        <v>264</v>
      </c>
      <c r="FY105" s="39" t="s">
        <v>1574</v>
      </c>
      <c r="GB105" s="39">
        <v>3</v>
      </c>
      <c r="GC105" s="39" t="s">
        <v>1859</v>
      </c>
      <c r="GG105" s="39" t="s">
        <v>1859</v>
      </c>
      <c r="GH105" s="39" t="s">
        <v>1113</v>
      </c>
      <c r="GJ105" s="8">
        <f t="shared" si="100"/>
        <v>1</v>
      </c>
      <c r="GK105" s="1">
        <f t="shared" si="101"/>
        <v>0.7634466939387583</v>
      </c>
      <c r="GN105" s="39">
        <v>17.34</v>
      </c>
      <c r="GO105" s="39" t="s">
        <v>1860</v>
      </c>
      <c r="GP105" s="39" t="s">
        <v>1861</v>
      </c>
      <c r="GS105" s="69">
        <v>22.712784190000001</v>
      </c>
      <c r="GT105" s="39" t="s">
        <v>1583</v>
      </c>
      <c r="GV105" s="8">
        <f t="shared" si="102"/>
        <v>1</v>
      </c>
      <c r="GW105" s="1">
        <f t="shared" si="103"/>
        <v>0</v>
      </c>
      <c r="HA105" s="39">
        <v>0</v>
      </c>
      <c r="HB105" s="39" t="s">
        <v>1861</v>
      </c>
      <c r="HE105" s="69">
        <v>102.19156999</v>
      </c>
      <c r="HF105" s="39" t="s">
        <v>1583</v>
      </c>
      <c r="HH105" s="39">
        <f t="shared" si="83"/>
        <v>1</v>
      </c>
      <c r="HI105" s="1">
        <f t="shared" si="104"/>
        <v>0</v>
      </c>
      <c r="HM105" s="39">
        <v>0</v>
      </c>
      <c r="HN105" s="39" t="s">
        <v>1861</v>
      </c>
      <c r="HQ105" s="78">
        <v>4.7289171300000001</v>
      </c>
      <c r="HR105" s="39" t="s">
        <v>1583</v>
      </c>
      <c r="HT105" s="39">
        <f t="shared" si="84"/>
        <v>4</v>
      </c>
      <c r="HU105" s="10">
        <f t="shared" si="105"/>
        <v>0</v>
      </c>
      <c r="HY105" s="39">
        <v>0</v>
      </c>
      <c r="HZ105" s="39" t="s">
        <v>1861</v>
      </c>
      <c r="IC105" s="39">
        <v>20</v>
      </c>
      <c r="ID105" s="39" t="s">
        <v>1583</v>
      </c>
      <c r="IR105" s="42">
        <f t="shared" si="85"/>
        <v>4</v>
      </c>
      <c r="IS105" s="1">
        <f t="shared" si="106"/>
        <v>0.30078931811155185</v>
      </c>
      <c r="IW105" s="39">
        <v>17</v>
      </c>
      <c r="IX105" s="39" t="s">
        <v>1862</v>
      </c>
      <c r="JA105" s="69">
        <v>56.517964489999997</v>
      </c>
      <c r="JB105" s="39" t="s">
        <v>1583</v>
      </c>
      <c r="JD105" s="39">
        <f t="shared" si="86"/>
        <v>2</v>
      </c>
      <c r="JE105" s="43">
        <f t="shared" si="87"/>
        <v>5.5546071724029256E-2</v>
      </c>
      <c r="JI105" s="39">
        <v>12.69</v>
      </c>
      <c r="JJ105" s="39" t="s">
        <v>1863</v>
      </c>
      <c r="JM105" s="39">
        <v>6.6</v>
      </c>
      <c r="JN105" s="39" t="s">
        <v>1863</v>
      </c>
      <c r="JQ105" s="39">
        <v>33.270000000000003</v>
      </c>
      <c r="JR105" s="39" t="s">
        <v>1863</v>
      </c>
      <c r="JU105" s="39">
        <v>35.96</v>
      </c>
      <c r="JV105" s="39" t="s">
        <v>1863</v>
      </c>
      <c r="JX105" s="39">
        <v>1</v>
      </c>
      <c r="JY105" s="39" t="s">
        <v>1864</v>
      </c>
      <c r="KB105" s="39">
        <v>1</v>
      </c>
      <c r="KC105" s="39" t="s">
        <v>1864</v>
      </c>
      <c r="KD105" s="39" t="s">
        <v>1863</v>
      </c>
      <c r="KF105" s="8">
        <f t="shared" si="107"/>
        <v>1</v>
      </c>
      <c r="KG105" s="43">
        <f>KK105/KO105</f>
        <v>0</v>
      </c>
      <c r="KK105" s="39">
        <v>0</v>
      </c>
      <c r="KL105" s="39" t="s">
        <v>1865</v>
      </c>
      <c r="KO105" s="69">
        <v>56.517964489999997</v>
      </c>
      <c r="KP105" s="39" t="s">
        <v>1583</v>
      </c>
    </row>
    <row r="106" spans="2:302" s="39" customFormat="1" ht="15" hidden="1" customHeight="1" x14ac:dyDescent="0.35">
      <c r="B106" s="39" t="s">
        <v>1868</v>
      </c>
      <c r="C106" s="36" t="s">
        <v>1869</v>
      </c>
      <c r="D106" s="39" t="s">
        <v>171</v>
      </c>
      <c r="E106" s="39" t="s">
        <v>172</v>
      </c>
      <c r="F106" s="39" t="s">
        <v>1870</v>
      </c>
      <c r="G106" s="3" t="s">
        <v>199</v>
      </c>
      <c r="H106" s="40">
        <v>0.85650000000000004</v>
      </c>
      <c r="L106" s="42">
        <v>4</v>
      </c>
      <c r="M106" s="39" t="s">
        <v>1871</v>
      </c>
      <c r="P106" s="39" t="s">
        <v>1872</v>
      </c>
      <c r="Q106" s="39" t="s">
        <v>1873</v>
      </c>
      <c r="R106" s="39" t="s">
        <v>395</v>
      </c>
      <c r="T106" s="39" t="s">
        <v>129</v>
      </c>
      <c r="U106" s="40">
        <v>0.41870000000000002</v>
      </c>
      <c r="X106" s="36">
        <f t="shared" si="116"/>
        <v>2</v>
      </c>
      <c r="Y106" s="5">
        <f>((AC106-AG106)/AG106+(AG106-AK106)/AK106)/2*100%</f>
        <v>0.16611117146120746</v>
      </c>
      <c r="Z106" s="36"/>
      <c r="AA106" s="36"/>
      <c r="AB106" s="36"/>
      <c r="AC106" s="36">
        <v>25.41</v>
      </c>
      <c r="AD106" s="36" t="s">
        <v>1874</v>
      </c>
      <c r="AE106" s="36"/>
      <c r="AF106" s="36"/>
      <c r="AG106" s="36">
        <v>27.87</v>
      </c>
      <c r="AH106" s="36" t="s">
        <v>1875</v>
      </c>
      <c r="AI106" s="36"/>
      <c r="AJ106" s="36"/>
      <c r="AK106" s="36">
        <v>19.62</v>
      </c>
      <c r="AL106" s="36" t="s">
        <v>1874</v>
      </c>
      <c r="AN106" s="36">
        <f t="shared" si="117"/>
        <v>3</v>
      </c>
      <c r="AO106" s="5">
        <f>((AS106-AW106)/AW106+(AW106-BA106)/BA106)/2*100%</f>
        <v>8.4566723546791817E-2</v>
      </c>
      <c r="AP106" s="36"/>
      <c r="AQ106" s="36"/>
      <c r="AR106" s="36"/>
      <c r="AS106" s="36">
        <v>23.74</v>
      </c>
      <c r="AT106" s="36" t="s">
        <v>1874</v>
      </c>
      <c r="AU106" s="36"/>
      <c r="AV106" s="36"/>
      <c r="AW106" s="36">
        <v>34.68</v>
      </c>
      <c r="AX106" s="36" t="s">
        <v>1874</v>
      </c>
      <c r="AY106" s="36"/>
      <c r="AZ106" s="36"/>
      <c r="BA106" s="36">
        <v>23.36</v>
      </c>
      <c r="BB106" s="36" t="s">
        <v>1874</v>
      </c>
      <c r="BD106" s="2">
        <f t="shared" si="70"/>
        <v>5</v>
      </c>
      <c r="BE106" s="36">
        <f>BI106</f>
        <v>25.41</v>
      </c>
      <c r="BF106" s="36"/>
      <c r="BG106" s="36"/>
      <c r="BH106" s="36"/>
      <c r="BI106" s="36">
        <f>AC106</f>
        <v>25.41</v>
      </c>
      <c r="BJ106" s="36" t="str">
        <f>AD106</f>
        <v>评级20151120</v>
      </c>
      <c r="BK106" s="36"/>
      <c r="BL106" s="2">
        <f t="shared" si="71"/>
        <v>5</v>
      </c>
      <c r="BM106" s="36">
        <f>BQ106</f>
        <v>23.74</v>
      </c>
      <c r="BN106" s="36"/>
      <c r="BO106" s="36"/>
      <c r="BP106" s="36"/>
      <c r="BQ106" s="36">
        <f>AS106</f>
        <v>23.74</v>
      </c>
      <c r="BR106" s="36" t="str">
        <f>AT106</f>
        <v>评级20151120</v>
      </c>
      <c r="BT106" s="8">
        <f t="shared" si="72"/>
        <v>4</v>
      </c>
      <c r="BU106" s="39">
        <v>367</v>
      </c>
      <c r="BY106" s="39">
        <v>367</v>
      </c>
      <c r="BZ106" s="39" t="s">
        <v>398</v>
      </c>
      <c r="CB106" s="39">
        <v>1</v>
      </c>
      <c r="CC106" s="39" t="s">
        <v>133</v>
      </c>
      <c r="CF106" s="39" t="s">
        <v>1876</v>
      </c>
      <c r="CG106" s="39" t="s">
        <v>1877</v>
      </c>
      <c r="CH106" s="39" t="s">
        <v>1878</v>
      </c>
      <c r="CI106" s="39" t="s">
        <v>1879</v>
      </c>
      <c r="CJ106" s="36">
        <f>IF(CK106="数据缺失",0,IF(CK106&lt;0,0,IF(CK106&lt;2,2,IF(CK106&lt;=5,1,3))))</f>
        <v>2</v>
      </c>
      <c r="CK106" s="53">
        <f>CO106/CS106</f>
        <v>0</v>
      </c>
      <c r="CL106" s="36"/>
      <c r="CM106" s="36"/>
      <c r="CN106" s="36"/>
      <c r="CO106" s="36">
        <v>0</v>
      </c>
      <c r="CP106" s="36" t="s">
        <v>1874</v>
      </c>
      <c r="CQ106" s="36"/>
      <c r="CR106" s="36"/>
      <c r="CS106" s="36">
        <f>AC106</f>
        <v>25.41</v>
      </c>
      <c r="CT106" s="36" t="str">
        <f>AD106</f>
        <v>评级20151120</v>
      </c>
      <c r="CV106" s="39">
        <f>IF(CW106="数据缺失",0,IF(CW106&lt;0,0,IF(CW106&lt;100,5,IF(CW106&lt;500,4,IF(CW106&lt;1000,3,IF(CW106&lt;2000,2,1))))))</f>
        <v>5</v>
      </c>
      <c r="CW106" s="69">
        <f>DA106</f>
        <v>82.568915000000004</v>
      </c>
      <c r="DA106" s="69">
        <v>82.568915000000004</v>
      </c>
      <c r="DB106" s="39" t="s">
        <v>1880</v>
      </c>
      <c r="DC106" s="39" t="s">
        <v>1881</v>
      </c>
      <c r="DD106" s="36">
        <f t="shared" ref="DD106:DD111" si="118">IF(DE106="数据缺失",0,IF(DE106&lt;0,0,IF(DE106&lt;2,3,IF(DE106&lt;=5,1,2))))</f>
        <v>1</v>
      </c>
      <c r="DE106" s="53">
        <f>DM106/DI106</f>
        <v>3.4780503369839937</v>
      </c>
      <c r="DF106" s="36"/>
      <c r="DG106" s="36"/>
      <c r="DH106" s="36"/>
      <c r="DI106" s="37">
        <f>BQ106</f>
        <v>23.74</v>
      </c>
      <c r="DJ106" s="36" t="str">
        <f>BR106</f>
        <v>评级20151120</v>
      </c>
      <c r="DM106" s="69">
        <v>82.568915000000004</v>
      </c>
      <c r="DN106" s="39" t="s">
        <v>1878</v>
      </c>
      <c r="DO106" s="39" t="s">
        <v>1881</v>
      </c>
      <c r="DP106" s="39">
        <v>4</v>
      </c>
      <c r="DQ106" s="39" t="s">
        <v>1882</v>
      </c>
      <c r="DR106" s="39" t="s">
        <v>1878</v>
      </c>
      <c r="DS106" s="39" t="s">
        <v>1883</v>
      </c>
      <c r="DU106" s="50">
        <v>0</v>
      </c>
      <c r="DV106" s="39" t="s">
        <v>1884</v>
      </c>
      <c r="DY106" s="40">
        <v>0.41620000000000001</v>
      </c>
      <c r="DZ106" s="39" t="s">
        <v>1884</v>
      </c>
      <c r="EC106" s="40">
        <v>0.58379999999999999</v>
      </c>
      <c r="ED106" s="39" t="s">
        <v>1884</v>
      </c>
      <c r="EG106" s="50">
        <v>0</v>
      </c>
      <c r="EH106" s="39" t="s">
        <v>1885</v>
      </c>
      <c r="EJ106" s="36">
        <f t="shared" ref="EJ106:EJ111" si="119">IF(EK106="数据缺失",0,IF(EK106&lt;0,0,IF(EK106&lt;=5,5,IF(EK106&lt;=20,4,IF(EK106&lt;=50,3,IF(EK106&lt;=100,2,1))))))</f>
        <v>3</v>
      </c>
      <c r="EK106" s="37">
        <f>EO106</f>
        <v>42.32</v>
      </c>
      <c r="EL106" s="36"/>
      <c r="EM106" s="36"/>
      <c r="EN106" s="36"/>
      <c r="EO106" s="36">
        <v>42.32</v>
      </c>
      <c r="EP106" s="36" t="s">
        <v>1886</v>
      </c>
      <c r="EQ106" s="36"/>
      <c r="ER106" s="36">
        <f>IF(ES106="数据缺失",0,IF(ES106&lt;0,0,IF(ES106&lt;=5,5,IF(ES106&lt;=20,4,IF(ES106&lt;=50,3,IF(ES106&lt;=100,2,1))))))</f>
        <v>3</v>
      </c>
      <c r="ES106" s="38">
        <f>EW106</f>
        <v>44</v>
      </c>
      <c r="ET106" s="36"/>
      <c r="EU106" s="36"/>
      <c r="EV106" s="36"/>
      <c r="EW106" s="36">
        <v>44</v>
      </c>
      <c r="EX106" s="36" t="s">
        <v>1874</v>
      </c>
      <c r="EY106" s="36"/>
      <c r="EZ106" s="42"/>
      <c r="FA106" s="39">
        <f>FE106</f>
        <v>159.18</v>
      </c>
      <c r="FE106" s="39">
        <v>159.18</v>
      </c>
      <c r="FF106" s="36" t="s">
        <v>1880</v>
      </c>
      <c r="FG106" s="36" t="s">
        <v>1887</v>
      </c>
      <c r="FH106" s="39">
        <v>3</v>
      </c>
      <c r="FI106" s="39" t="s">
        <v>1888</v>
      </c>
      <c r="FJ106" s="36" t="s">
        <v>1880</v>
      </c>
      <c r="FK106" s="36" t="s">
        <v>1887</v>
      </c>
      <c r="FM106" s="50">
        <v>0</v>
      </c>
      <c r="FN106" s="39" t="s">
        <v>1880</v>
      </c>
      <c r="FQ106" s="40">
        <v>0.78990000000000005</v>
      </c>
      <c r="FR106" s="39" t="s">
        <v>1880</v>
      </c>
      <c r="FU106" s="40">
        <v>0.21010000000000001</v>
      </c>
      <c r="FV106" s="39" t="s">
        <v>1880</v>
      </c>
      <c r="FY106" s="50">
        <v>0</v>
      </c>
      <c r="FZ106" s="39" t="s">
        <v>1880</v>
      </c>
      <c r="GB106" s="39">
        <v>1</v>
      </c>
      <c r="GC106" s="39" t="s">
        <v>1889</v>
      </c>
      <c r="GG106" s="39" t="s">
        <v>1889</v>
      </c>
      <c r="GH106" s="39" t="s">
        <v>395</v>
      </c>
      <c r="GJ106" s="39">
        <f t="shared" ref="GJ106:GJ113" si="120">IF(GK106="数据缺失",0,IF(GK106&lt;0%,0,IF(GK106&lt;=5%,4,IF(GK106&lt;10%,3,IF(GK106&lt;20%,2,1)))))</f>
        <v>4</v>
      </c>
      <c r="GK106" s="40">
        <f t="shared" ref="GK106:GK113" si="121">GN106/GS106</f>
        <v>2.9653787012494309E-2</v>
      </c>
      <c r="GN106" s="39">
        <v>1.06</v>
      </c>
      <c r="GO106" s="39" t="s">
        <v>1890</v>
      </c>
      <c r="GP106" s="39" t="s">
        <v>395</v>
      </c>
      <c r="GS106" s="69">
        <v>35.745855986399995</v>
      </c>
      <c r="GT106" s="39" t="s">
        <v>144</v>
      </c>
      <c r="GV106" s="39">
        <f>IF(GW106="数据缺失",0,IF(GW106&lt;20%,1,IF(GW106&lt;40%,2,IF(GW106&lt;60%,3,IF(GW106&lt;80%,4,IF(GW106&lt;=100%,5,0))))))</f>
        <v>0</v>
      </c>
      <c r="GW106" s="39" t="s">
        <v>37</v>
      </c>
      <c r="HA106" s="39" t="s">
        <v>37</v>
      </c>
      <c r="HE106" s="69">
        <v>212.54858709979999</v>
      </c>
      <c r="HF106" s="39" t="s">
        <v>144</v>
      </c>
      <c r="HH106" s="39">
        <f>IF(HI106="数据缺失",0,IF(HI106&lt;20%,1,IF(HI106&lt;40%,2,IF(HI106&lt;60%,3,IF(HI106&lt;80%,4,IF(HI106&lt;=100%,5,0))))))</f>
        <v>3</v>
      </c>
      <c r="HI106" s="40">
        <f>HM106/HQ106</f>
        <v>0.50461387108474287</v>
      </c>
      <c r="HM106" s="69">
        <v>9.4285301307000005</v>
      </c>
      <c r="HN106" s="39" t="s">
        <v>395</v>
      </c>
      <c r="HQ106" s="78">
        <v>18.684643191500001</v>
      </c>
      <c r="HR106" s="39" t="s">
        <v>144</v>
      </c>
      <c r="HT106" s="39">
        <f t="shared" ref="HT106:HT117" si="122">IF(HU106="数据缺失",0,IF(HU106&lt;5%,4,IF(HU106&lt;=10%,3,IF(HU106&lt;30%,2,IF(HU106&lt;=100%,1,0)))))</f>
        <v>4</v>
      </c>
      <c r="HU106" s="39">
        <f t="shared" ref="HU106:HU117" si="123">HY106/IC106</f>
        <v>0</v>
      </c>
      <c r="HY106" s="39">
        <v>0</v>
      </c>
      <c r="HZ106" s="39" t="s">
        <v>1891</v>
      </c>
      <c r="IC106" s="39">
        <v>47.286569999999998</v>
      </c>
      <c r="ID106" s="39" t="s">
        <v>144</v>
      </c>
      <c r="IR106" s="42">
        <f>IF(IS106="数据缺失",0,IF(IS106&lt;0%,0,IF(IS106&lt;=100%,4,IF(IS106&lt;200%,3,IF(IS106&lt;300%,2,1)))))</f>
        <v>4</v>
      </c>
      <c r="IS106" s="43">
        <f>IW106/JA106</f>
        <v>0.30771192145881149</v>
      </c>
      <c r="IW106" s="39">
        <v>13.66</v>
      </c>
      <c r="IX106" s="39" t="s">
        <v>224</v>
      </c>
      <c r="JA106" s="69">
        <v>44.392170232600002</v>
      </c>
      <c r="JB106" s="39" t="s">
        <v>144</v>
      </c>
      <c r="JD106" s="39">
        <f>IF(JE106="数据缺失",0,IF(JE106&lt;0%,0,IF(JE106&lt;4%,1,IF(JE106&lt;6%,2,IF(JE106&lt;8%,3,4)))))</f>
        <v>4</v>
      </c>
      <c r="JE106" s="44">
        <f>JI106/JM106/(JQ106+JU106)*2</f>
        <v>8.2938876604277859E-2</v>
      </c>
      <c r="JI106" s="39">
        <v>8.76</v>
      </c>
      <c r="JJ106" s="36" t="s">
        <v>1874</v>
      </c>
      <c r="JM106" s="39">
        <v>0.81</v>
      </c>
      <c r="JN106" s="36" t="s">
        <v>1874</v>
      </c>
      <c r="JQ106" s="39">
        <v>133.65</v>
      </c>
      <c r="JR106" s="36" t="s">
        <v>1874</v>
      </c>
      <c r="JU106" s="39">
        <v>127.14</v>
      </c>
      <c r="JV106" s="39" t="s">
        <v>1892</v>
      </c>
      <c r="JX106" s="39">
        <v>2</v>
      </c>
      <c r="JY106" s="39" t="s">
        <v>754</v>
      </c>
      <c r="KB106" s="39">
        <v>5</v>
      </c>
      <c r="KC106" s="39" t="s">
        <v>754</v>
      </c>
      <c r="KD106" s="39" t="s">
        <v>395</v>
      </c>
      <c r="KF106" s="39">
        <f>IF(KG106="数据缺失",0,IF(KG106&lt;0%,0,IF(KG106&lt;20%,1,IF(KG106&lt;50%,2,IF(KG106&lt;100%,3,4)))))</f>
        <v>1</v>
      </c>
      <c r="KG106" s="40">
        <f>KK106/KO106</f>
        <v>0</v>
      </c>
      <c r="KK106" s="39">
        <v>0</v>
      </c>
      <c r="KL106" s="39" t="s">
        <v>1891</v>
      </c>
      <c r="KO106" s="69">
        <v>44.392170232600002</v>
      </c>
      <c r="KP106" s="39" t="s">
        <v>144</v>
      </c>
    </row>
    <row r="107" spans="2:302" s="39" customFormat="1" ht="15" hidden="1" customHeight="1" x14ac:dyDescent="0.35">
      <c r="B107" s="39" t="s">
        <v>1868</v>
      </c>
      <c r="C107" s="36" t="s">
        <v>1893</v>
      </c>
      <c r="D107" s="39" t="s">
        <v>1894</v>
      </c>
      <c r="E107" s="39" t="s">
        <v>1895</v>
      </c>
      <c r="F107" s="39" t="s">
        <v>1896</v>
      </c>
      <c r="G107" s="3" t="s">
        <v>249</v>
      </c>
      <c r="H107" s="40">
        <f>26.83/33.93</f>
        <v>0.79074565281461828</v>
      </c>
      <c r="L107" s="138">
        <v>4</v>
      </c>
      <c r="M107" s="36" t="s">
        <v>1897</v>
      </c>
      <c r="N107" s="36"/>
      <c r="O107" s="36"/>
      <c r="P107" s="36" t="s">
        <v>1898</v>
      </c>
      <c r="Q107" s="36" t="s">
        <v>1873</v>
      </c>
      <c r="R107" s="36" t="s">
        <v>1899</v>
      </c>
      <c r="S107" s="36"/>
      <c r="T107" s="36" t="s">
        <v>129</v>
      </c>
      <c r="U107" s="40">
        <f>90%*2.02%+40.57%+65%*33.5%*0.41%</f>
        <v>0.42477277499999999</v>
      </c>
      <c r="X107" s="39">
        <f t="shared" si="116"/>
        <v>2</v>
      </c>
      <c r="Y107" s="40">
        <f>((AC107-AG107)/AG107+(AG107-AK107)/AK107)/2*100%</f>
        <v>0.23066905150106665</v>
      </c>
      <c r="AC107" s="39">
        <v>27.87</v>
      </c>
      <c r="AD107" s="39" t="s">
        <v>1900</v>
      </c>
      <c r="AG107" s="39">
        <v>19.62</v>
      </c>
      <c r="AH107" s="39" t="s">
        <v>1900</v>
      </c>
      <c r="AK107" s="39">
        <v>18.850000000000001</v>
      </c>
      <c r="AL107" s="39" t="s">
        <v>1900</v>
      </c>
      <c r="AN107" s="39">
        <f t="shared" si="117"/>
        <v>2</v>
      </c>
      <c r="AO107" s="43">
        <f>((AS107-AW107)/AW107+(AW107-BA107)/BA107)/2*100%</f>
        <v>0.28580312920313372</v>
      </c>
      <c r="AS107" s="39">
        <v>34.68</v>
      </c>
      <c r="AT107" s="39" t="s">
        <v>1900</v>
      </c>
      <c r="AW107" s="39">
        <v>23.36</v>
      </c>
      <c r="AX107" s="39" t="s">
        <v>1900</v>
      </c>
      <c r="BA107" s="39">
        <v>21.49</v>
      </c>
      <c r="BB107" s="39" t="s">
        <v>1900</v>
      </c>
      <c r="BD107" s="2">
        <f t="shared" si="70"/>
        <v>5</v>
      </c>
      <c r="BE107" s="39">
        <f>BI107</f>
        <v>27.87</v>
      </c>
      <c r="BI107" s="39">
        <v>27.87</v>
      </c>
      <c r="BJ107" s="39" t="s">
        <v>1900</v>
      </c>
      <c r="BL107" s="2">
        <f t="shared" si="71"/>
        <v>5</v>
      </c>
      <c r="BM107" s="39">
        <f>BQ107</f>
        <v>34.68</v>
      </c>
      <c r="BQ107" s="39">
        <v>34.68</v>
      </c>
      <c r="BR107" s="39" t="s">
        <v>1900</v>
      </c>
      <c r="BT107" s="8">
        <f t="shared" si="72"/>
        <v>3</v>
      </c>
      <c r="BU107" s="39">
        <v>252</v>
      </c>
      <c r="BY107" s="39">
        <v>252</v>
      </c>
      <c r="BZ107" s="39" t="s">
        <v>1161</v>
      </c>
      <c r="CB107" s="39">
        <v>1</v>
      </c>
      <c r="CC107" s="39" t="s">
        <v>1901</v>
      </c>
      <c r="CF107" s="39" t="s">
        <v>1901</v>
      </c>
      <c r="CG107" s="39" t="s">
        <v>1902</v>
      </c>
      <c r="CH107" s="39" t="s">
        <v>1903</v>
      </c>
      <c r="CI107" s="39" t="s">
        <v>1904</v>
      </c>
      <c r="CJ107" s="39">
        <f>IF(CK107="数据缺失",0,IF(CK107&lt;0,0,IF(CK107&lt;2,2,IF(CK107&lt;=5,1,3))))</f>
        <v>2</v>
      </c>
      <c r="CK107" s="48">
        <f>CO107/CS107</f>
        <v>0.1905274488697524</v>
      </c>
      <c r="CO107" s="39">
        <v>5.31</v>
      </c>
      <c r="CP107" s="39" t="s">
        <v>1892</v>
      </c>
      <c r="CS107" s="39">
        <v>27.87</v>
      </c>
      <c r="CT107" s="39" t="s">
        <v>1905</v>
      </c>
      <c r="CV107" s="36">
        <f>IF(CW107="数据缺失",0,IF(CW107&lt;0,0,IF(CW107&lt;100,5,IF(CW107&lt;500,4,IF(CW107&lt;1000,3,IF(CW107&lt;2000,2,1))))))</f>
        <v>4</v>
      </c>
      <c r="CW107" s="36">
        <f>DA107</f>
        <v>108.8</v>
      </c>
      <c r="CX107" s="36"/>
      <c r="CY107" s="36"/>
      <c r="CZ107" s="36"/>
      <c r="DA107" s="36">
        <v>108.8</v>
      </c>
      <c r="DB107" s="36" t="s">
        <v>1906</v>
      </c>
      <c r="DD107" s="36">
        <f t="shared" si="118"/>
        <v>1</v>
      </c>
      <c r="DE107" s="53">
        <f>DM107/DI107</f>
        <v>3.1372549019607843</v>
      </c>
      <c r="DF107" s="36"/>
      <c r="DG107" s="36"/>
      <c r="DH107" s="36"/>
      <c r="DI107" s="37">
        <f>BQ107</f>
        <v>34.68</v>
      </c>
      <c r="DJ107" s="36" t="str">
        <f>BR107</f>
        <v>募集20150729</v>
      </c>
      <c r="DK107" s="36"/>
      <c r="DL107" s="36"/>
      <c r="DM107" s="89">
        <f>DA107</f>
        <v>108.8</v>
      </c>
      <c r="DN107" s="35" t="str">
        <f>DB107</f>
        <v>评级20150528</v>
      </c>
      <c r="DP107" s="36">
        <v>4</v>
      </c>
      <c r="DQ107" s="36" t="s">
        <v>1907</v>
      </c>
      <c r="DR107" s="36" t="s">
        <v>1908</v>
      </c>
      <c r="DU107" s="36" t="s">
        <v>1909</v>
      </c>
      <c r="DV107" s="36"/>
      <c r="DW107" s="36"/>
      <c r="DX107" s="36"/>
      <c r="DY107" s="36" t="s">
        <v>37</v>
      </c>
      <c r="DZ107" s="36"/>
      <c r="EA107" s="36"/>
      <c r="EB107" s="36"/>
      <c r="EC107" s="36" t="s">
        <v>1909</v>
      </c>
      <c r="ED107" s="36"/>
      <c r="EE107" s="36"/>
      <c r="EF107" s="36"/>
      <c r="EG107" s="36" t="s">
        <v>1909</v>
      </c>
      <c r="EJ107" s="36">
        <f t="shared" si="119"/>
        <v>2</v>
      </c>
      <c r="EK107" s="37">
        <f>EO107</f>
        <v>81.09</v>
      </c>
      <c r="EL107" s="36"/>
      <c r="EM107" s="36"/>
      <c r="EN107" s="36"/>
      <c r="EO107" s="36">
        <v>81.09</v>
      </c>
      <c r="EP107" s="36" t="s">
        <v>1910</v>
      </c>
      <c r="EQ107" s="36"/>
      <c r="ER107" s="36">
        <f>IF(ES107="数据缺失",0,IF(ES107&lt;0,0,IF(ES107&lt;=5,5,IF(ES107&lt;=20,4,IF(ES107&lt;=50,3,IF(ES107&lt;=100,2,1))))))</f>
        <v>3</v>
      </c>
      <c r="ES107" s="38">
        <f>EW107</f>
        <v>26.48</v>
      </c>
      <c r="ET107" s="36"/>
      <c r="EU107" s="36"/>
      <c r="EV107" s="36"/>
      <c r="EW107" s="36">
        <v>26.48</v>
      </c>
      <c r="EX107" s="36" t="s">
        <v>1911</v>
      </c>
      <c r="EZ107" s="3" t="str">
        <f>IF(FA107&gt;=200,"1",IF(FA107&gt;=100,"2",IF(FA107&gt;=50,"3",IF(FA107&gt;=0,"4",IF(FA107=数据缺失,"0")))))</f>
        <v>1</v>
      </c>
      <c r="FA107" s="38">
        <f>FE107</f>
        <v>272.39999999999998</v>
      </c>
      <c r="FB107" s="36"/>
      <c r="FC107" s="36"/>
      <c r="FD107" s="36"/>
      <c r="FE107" s="36">
        <v>272.39999999999998</v>
      </c>
      <c r="FF107" s="36" t="s">
        <v>1906</v>
      </c>
      <c r="FG107" s="36" t="s">
        <v>1912</v>
      </c>
      <c r="FH107" s="39">
        <v>3</v>
      </c>
      <c r="FI107" s="39" t="s">
        <v>1913</v>
      </c>
      <c r="FM107" s="39" t="s">
        <v>1909</v>
      </c>
      <c r="FQ107" s="39" t="s">
        <v>37</v>
      </c>
      <c r="FU107" s="39" t="s">
        <v>37</v>
      </c>
      <c r="FY107" s="39" t="s">
        <v>1909</v>
      </c>
      <c r="GB107" s="36">
        <v>1</v>
      </c>
      <c r="GC107" s="36" t="str">
        <f>GG107</f>
        <v>房地产销售收入占比76.13%；房地产出租占比3.07%；游乐服务收入占比8.97%；建筑：7.23%</v>
      </c>
      <c r="GD107" s="36"/>
      <c r="GE107" s="36"/>
      <c r="GF107" s="36"/>
      <c r="GG107" s="36" t="s">
        <v>1914</v>
      </c>
      <c r="GH107" s="36" t="s">
        <v>366</v>
      </c>
      <c r="GJ107" s="39">
        <f t="shared" si="120"/>
        <v>4</v>
      </c>
      <c r="GK107" s="40">
        <f t="shared" si="121"/>
        <v>3.0564774212330448E-2</v>
      </c>
      <c r="GN107" s="69">
        <v>1.0371372487999999</v>
      </c>
      <c r="GO107" s="39" t="s">
        <v>1915</v>
      </c>
      <c r="GP107" s="39" t="s">
        <v>1916</v>
      </c>
      <c r="GS107" s="69">
        <v>33.932436130399999</v>
      </c>
      <c r="GT107" s="39" t="s">
        <v>1917</v>
      </c>
      <c r="GV107" s="39">
        <f>IF(GW107="数据缺失",0,IF(GW107&lt;20%,1,IF(GW107&lt;40%,2,IF(GW107&lt;60%,3,IF(GW107&lt;80%,4,IF(GW107&lt;=100%,5,0))))))</f>
        <v>0</v>
      </c>
      <c r="GW107" s="39" t="s">
        <v>1909</v>
      </c>
      <c r="HA107" s="39" t="s">
        <v>1909</v>
      </c>
      <c r="HE107" s="69">
        <v>200.78322729380002</v>
      </c>
      <c r="HF107" s="39" t="s">
        <v>1917</v>
      </c>
      <c r="HH107" s="39">
        <f>IF(HI107="数据缺失",0,IF(HI107&lt;20%,1,IF(HI107&lt;40%,2,IF(HI107&lt;60%,3,IF(HI107&lt;80%,4,IF(HI107&lt;=100%,5,0))))))</f>
        <v>2</v>
      </c>
      <c r="HI107" s="40">
        <f>HM107/HQ107</f>
        <v>0.39607630332331906</v>
      </c>
      <c r="HM107" s="39">
        <v>6.9</v>
      </c>
      <c r="HN107" s="39" t="s">
        <v>366</v>
      </c>
      <c r="HQ107" s="78">
        <v>17.420885678099999</v>
      </c>
      <c r="HR107" s="39" t="s">
        <v>144</v>
      </c>
      <c r="HT107" s="39">
        <f t="shared" si="122"/>
        <v>4</v>
      </c>
      <c r="HU107" s="39">
        <f t="shared" si="123"/>
        <v>0</v>
      </c>
      <c r="HY107" s="39">
        <v>0</v>
      </c>
      <c r="HZ107" s="39" t="s">
        <v>1916</v>
      </c>
      <c r="IC107" s="39">
        <v>48.1556</v>
      </c>
      <c r="ID107" s="39" t="s">
        <v>1917</v>
      </c>
      <c r="IR107" s="3" t="str">
        <f>IF(IS107&gt;=300%,"1",IF(IS107&gt;=200%,"2",IF(IS107&gt;=100%,"3",IF(IS107&gt;=0%,"4",IF(IS107=数据缺失,"0")))))</f>
        <v>1</v>
      </c>
      <c r="IS107" s="5">
        <f>IW107/JA107</f>
        <v>4.5048302167199443</v>
      </c>
      <c r="IT107" s="36"/>
      <c r="IU107" s="36"/>
      <c r="IV107" s="36"/>
      <c r="IW107" s="36">
        <v>188.6</v>
      </c>
      <c r="IX107" s="36" t="s">
        <v>1918</v>
      </c>
      <c r="IY107" s="36" t="s">
        <v>1410</v>
      </c>
      <c r="JA107" s="69">
        <v>41.866172736100005</v>
      </c>
      <c r="JB107" s="39" t="s">
        <v>144</v>
      </c>
      <c r="JD107" s="39">
        <f>IF(JE107="数据缺失",0,IF(JE107&lt;0%,0,IF(JE107&lt;4%,1,IF(JE107&lt;6%,2,IF(JE107&lt;8%,3,4)))))</f>
        <v>4</v>
      </c>
      <c r="JE107" s="44">
        <f>JI107/JM107/(JQ107+JU107)*2</f>
        <v>8.3533478951929863E-2</v>
      </c>
      <c r="JI107" s="39">
        <v>6.53</v>
      </c>
      <c r="JJ107" s="39" t="s">
        <v>1919</v>
      </c>
      <c r="JM107" s="39">
        <v>0.67</v>
      </c>
      <c r="JN107" s="39" t="s">
        <v>1920</v>
      </c>
      <c r="JQ107" s="39">
        <v>127.14</v>
      </c>
      <c r="JR107" s="39" t="s">
        <v>1920</v>
      </c>
      <c r="JU107" s="39">
        <v>106.21</v>
      </c>
      <c r="JV107" s="39" t="s">
        <v>1920</v>
      </c>
      <c r="JX107" s="39">
        <v>2</v>
      </c>
      <c r="JY107" s="39" t="s">
        <v>754</v>
      </c>
      <c r="KB107" s="39">
        <v>4</v>
      </c>
      <c r="KC107" s="39" t="s">
        <v>754</v>
      </c>
      <c r="KD107" s="39" t="s">
        <v>366</v>
      </c>
      <c r="KF107" s="39">
        <f>IF(KG107="数据缺失",0,IF(KG107&lt;0%,0,IF(KG107&lt;20%,1,IF(KG107&lt;50%,2,IF(KG107&lt;100%,3,4)))))</f>
        <v>1</v>
      </c>
      <c r="KG107" s="40">
        <f>KK107/KO107</f>
        <v>0</v>
      </c>
      <c r="KK107" s="39">
        <v>0</v>
      </c>
      <c r="KL107" s="39" t="s">
        <v>1916</v>
      </c>
      <c r="KO107" s="69">
        <v>41.866172736100005</v>
      </c>
      <c r="KP107" s="39" t="s">
        <v>1917</v>
      </c>
    </row>
    <row r="108" spans="2:302" s="202" customFormat="1" ht="15.75" customHeight="1" x14ac:dyDescent="0.35">
      <c r="B108" s="39" t="s">
        <v>1921</v>
      </c>
      <c r="C108" s="202" t="s">
        <v>1922</v>
      </c>
      <c r="D108" s="39" t="s">
        <v>325</v>
      </c>
      <c r="E108" s="202" t="s">
        <v>1923</v>
      </c>
      <c r="F108" s="39" t="s">
        <v>1924</v>
      </c>
      <c r="G108" s="3" t="s">
        <v>199</v>
      </c>
      <c r="H108" s="203">
        <v>0.96309999999999996</v>
      </c>
      <c r="J108" s="203"/>
      <c r="L108" s="204">
        <v>4</v>
      </c>
      <c r="M108" s="202" t="s">
        <v>1925</v>
      </c>
      <c r="P108" s="202" t="s">
        <v>1926</v>
      </c>
      <c r="Q108" s="202" t="s">
        <v>1927</v>
      </c>
      <c r="R108" s="202" t="s">
        <v>623</v>
      </c>
      <c r="T108" s="202" t="s">
        <v>1928</v>
      </c>
      <c r="U108" s="203">
        <v>0.25130000000000002</v>
      </c>
      <c r="X108" s="202">
        <f t="shared" si="116"/>
        <v>3</v>
      </c>
      <c r="Y108" s="40">
        <f>(AC108-AG108)/AG108</f>
        <v>2.4637102144093679E-2</v>
      </c>
      <c r="Z108" s="39"/>
      <c r="AA108" s="39"/>
      <c r="AB108" s="39"/>
      <c r="AC108" s="205">
        <v>76.94</v>
      </c>
      <c r="AD108" s="202" t="s">
        <v>1929</v>
      </c>
      <c r="AG108" s="205">
        <v>75.09</v>
      </c>
      <c r="AH108" s="202" t="s">
        <v>1929</v>
      </c>
      <c r="AK108" s="205" t="s">
        <v>1930</v>
      </c>
      <c r="AN108" s="202">
        <f t="shared" si="117"/>
        <v>0</v>
      </c>
      <c r="AO108" s="39" t="s">
        <v>1931</v>
      </c>
      <c r="AS108" s="205">
        <v>54.12</v>
      </c>
      <c r="AT108" s="202" t="s">
        <v>631</v>
      </c>
      <c r="AW108" s="205">
        <v>39.159999999999997</v>
      </c>
      <c r="AX108" s="202" t="s">
        <v>1929</v>
      </c>
      <c r="BA108" s="205" t="s">
        <v>1931</v>
      </c>
      <c r="BD108" s="2">
        <f t="shared" si="70"/>
        <v>4</v>
      </c>
      <c r="BE108" s="202">
        <f>BI108</f>
        <v>76.94</v>
      </c>
      <c r="BI108" s="205">
        <v>76.94</v>
      </c>
      <c r="BJ108" s="202" t="s">
        <v>1932</v>
      </c>
      <c r="BL108" s="2">
        <f t="shared" si="71"/>
        <v>4</v>
      </c>
      <c r="BM108" s="202">
        <f>BQ108</f>
        <v>54.12</v>
      </c>
      <c r="BQ108" s="205">
        <v>54.12</v>
      </c>
      <c r="BR108" s="202" t="s">
        <v>631</v>
      </c>
      <c r="BT108" s="8">
        <f t="shared" si="72"/>
        <v>3</v>
      </c>
      <c r="BU108" s="202">
        <v>115</v>
      </c>
      <c r="BY108" s="202">
        <v>115</v>
      </c>
      <c r="BZ108" s="201" t="s">
        <v>1933</v>
      </c>
      <c r="CA108" s="202" t="s">
        <v>1934</v>
      </c>
      <c r="CB108" s="202">
        <v>3</v>
      </c>
      <c r="CC108" s="202" t="s">
        <v>1935</v>
      </c>
      <c r="CF108" s="202" t="s">
        <v>1936</v>
      </c>
      <c r="CG108" s="202" t="s">
        <v>1937</v>
      </c>
      <c r="CH108" s="202" t="s">
        <v>1929</v>
      </c>
      <c r="CJ108" s="202">
        <f>IF(CK108="数据缺失",0,IF(CK108&lt;0,0,IF(CK108&lt;2,2,IF(CK108&lt;=5,1,3))))</f>
        <v>0</v>
      </c>
      <c r="CK108" s="205" t="s">
        <v>37</v>
      </c>
      <c r="CL108" s="39"/>
      <c r="CM108" s="39"/>
      <c r="CN108" s="39"/>
      <c r="CO108" s="205" t="s">
        <v>37</v>
      </c>
      <c r="CQ108" s="39"/>
      <c r="CR108" s="39"/>
      <c r="CS108" s="205">
        <v>76.94</v>
      </c>
      <c r="CT108" s="202" t="s">
        <v>631</v>
      </c>
      <c r="CV108" s="206">
        <f>IF(CW108="数据缺失",0,IF(CW108&lt;0,0,IF(CW108&lt;100,5,IF(CW108&lt;500,4,IF(CW108&lt;1000,3,IF(CW108&lt;2000,2,1))))))</f>
        <v>0</v>
      </c>
      <c r="CW108" s="205" t="s">
        <v>1930</v>
      </c>
      <c r="CX108" s="39"/>
      <c r="CY108" s="39"/>
      <c r="CZ108" s="39"/>
      <c r="DA108" s="205" t="s">
        <v>1930</v>
      </c>
      <c r="DB108" s="39"/>
      <c r="DC108" s="39"/>
      <c r="DD108" s="202">
        <f t="shared" si="118"/>
        <v>0</v>
      </c>
      <c r="DE108" s="205" t="s">
        <v>1931</v>
      </c>
      <c r="DF108" s="39"/>
      <c r="DG108" s="39"/>
      <c r="DH108" s="39"/>
      <c r="DI108" s="205">
        <v>54.12</v>
      </c>
      <c r="DJ108" s="202" t="s">
        <v>1929</v>
      </c>
      <c r="DK108" s="39"/>
      <c r="DL108" s="39"/>
      <c r="DM108" s="205" t="s">
        <v>1930</v>
      </c>
      <c r="DP108" s="202">
        <v>5</v>
      </c>
      <c r="DQ108" s="202" t="s">
        <v>1931</v>
      </c>
      <c r="DU108" s="202" t="s">
        <v>1931</v>
      </c>
      <c r="DY108" s="202" t="s">
        <v>1931</v>
      </c>
      <c r="EC108" s="202" t="s">
        <v>1931</v>
      </c>
      <c r="EG108" s="202" t="s">
        <v>1931</v>
      </c>
      <c r="EJ108" s="202">
        <f t="shared" si="119"/>
        <v>2</v>
      </c>
      <c r="EK108" s="202">
        <f>EO108</f>
        <v>80.53</v>
      </c>
      <c r="EO108" s="205">
        <v>80.53</v>
      </c>
      <c r="EP108" s="202" t="s">
        <v>631</v>
      </c>
      <c r="ER108" s="202">
        <f>IF(ES108="数据缺失",0,IF(ES108&lt;0%,0,IF(ES108&lt;=5%,5,IF(ES108&lt;=20%,4,IF(ES108&lt;=50%,3,IF(ES108&lt;=100,2,1))))))</f>
        <v>2</v>
      </c>
      <c r="ES108" s="205">
        <f>EW108</f>
        <v>70.06</v>
      </c>
      <c r="EW108" s="205">
        <v>70.06</v>
      </c>
      <c r="EX108" s="202" t="s">
        <v>631</v>
      </c>
      <c r="EZ108" s="36">
        <f t="shared" ref="EZ108:EZ115" si="124">IF(FA108="数据缺失",0,IF(FA108&lt;0%,0,IF(FA108&lt;=50,4,IF(FA108&lt;100,3,IF(FA108&lt;200,2,1)))))</f>
        <v>2</v>
      </c>
      <c r="FA108" s="39">
        <v>111.55</v>
      </c>
      <c r="FB108" s="39"/>
      <c r="FC108" s="39"/>
      <c r="FD108" s="39"/>
      <c r="FE108" s="39">
        <v>111.55</v>
      </c>
      <c r="FF108" s="39" t="s">
        <v>623</v>
      </c>
      <c r="FH108" s="202">
        <v>5</v>
      </c>
      <c r="FI108" s="202" t="s">
        <v>1930</v>
      </c>
      <c r="FM108" s="202" t="s">
        <v>37</v>
      </c>
      <c r="FQ108" s="202" t="s">
        <v>1931</v>
      </c>
      <c r="FU108" s="202" t="s">
        <v>1931</v>
      </c>
      <c r="FY108" s="202" t="s">
        <v>1930</v>
      </c>
      <c r="GB108" s="202">
        <v>2</v>
      </c>
      <c r="GC108" s="202" t="s">
        <v>1938</v>
      </c>
      <c r="GG108" s="202" t="s">
        <v>1939</v>
      </c>
      <c r="GH108" s="202" t="s">
        <v>1940</v>
      </c>
      <c r="GJ108" s="202">
        <f t="shared" si="120"/>
        <v>4</v>
      </c>
      <c r="GK108" s="207">
        <f t="shared" si="121"/>
        <v>2.2555522163643503E-2</v>
      </c>
      <c r="GN108" s="202">
        <v>1.26</v>
      </c>
      <c r="GO108" s="202" t="s">
        <v>1941</v>
      </c>
      <c r="GP108" s="202" t="s">
        <v>623</v>
      </c>
      <c r="GS108" s="208">
        <v>55.862151665500001</v>
      </c>
      <c r="GT108" s="39" t="s">
        <v>1942</v>
      </c>
      <c r="GV108" s="202">
        <v>0</v>
      </c>
      <c r="GW108" s="202" t="s">
        <v>1931</v>
      </c>
      <c r="HA108" s="205" t="s">
        <v>37</v>
      </c>
      <c r="HB108" s="39"/>
      <c r="HC108" s="39"/>
      <c r="HD108" s="39"/>
      <c r="HE108" s="69">
        <v>335.91353965719998</v>
      </c>
      <c r="HF108" s="39" t="s">
        <v>1943</v>
      </c>
      <c r="HH108" s="202">
        <v>0</v>
      </c>
      <c r="HI108" s="205" t="s">
        <v>37</v>
      </c>
      <c r="HM108" s="205" t="s">
        <v>1930</v>
      </c>
      <c r="HQ108" s="205">
        <v>38.315444140100006</v>
      </c>
      <c r="HR108" s="39" t="s">
        <v>1942</v>
      </c>
      <c r="HT108" s="202">
        <f t="shared" si="122"/>
        <v>4</v>
      </c>
      <c r="HU108" s="203">
        <f t="shared" si="123"/>
        <v>0</v>
      </c>
      <c r="HV108" s="39"/>
      <c r="HW108" s="39"/>
      <c r="HX108" s="39"/>
      <c r="HY108" s="39">
        <v>0</v>
      </c>
      <c r="HZ108" s="39" t="s">
        <v>1929</v>
      </c>
      <c r="IA108" s="39"/>
      <c r="IB108" s="39"/>
      <c r="IC108" s="69">
        <v>38.217300000000002</v>
      </c>
      <c r="ID108" s="39" t="s">
        <v>144</v>
      </c>
      <c r="IR108" s="202">
        <v>0</v>
      </c>
      <c r="IS108" s="202" t="s">
        <v>1930</v>
      </c>
      <c r="IW108" s="205" t="s">
        <v>1930</v>
      </c>
      <c r="IX108" s="39"/>
      <c r="IY108" s="39"/>
      <c r="IZ108" s="39"/>
      <c r="JA108" s="69">
        <v>71.712865641400001</v>
      </c>
      <c r="JB108" s="39" t="s">
        <v>144</v>
      </c>
      <c r="JD108" s="202">
        <f t="shared" ref="JD108:JD118" si="125">IF(JE108="数据缺失",0,IF(JE108&lt;0%,0,IF(JE108&lt;4%,1,IF(JE108&lt;6%,2,IF(JE108&lt;8%,3,4)))))</f>
        <v>4</v>
      </c>
      <c r="JE108" s="209">
        <f t="shared" ref="JE108:JE118" si="126">JI108/JM108/(JQ108+JU108)*2</f>
        <v>0.10608381973863268</v>
      </c>
      <c r="JI108" s="205">
        <v>18.829999999999998</v>
      </c>
      <c r="JJ108" s="202" t="s">
        <v>1940</v>
      </c>
      <c r="JM108" s="205">
        <v>2.37</v>
      </c>
      <c r="JN108" s="202" t="s">
        <v>1944</v>
      </c>
      <c r="JQ108" s="205">
        <v>70.55</v>
      </c>
      <c r="JR108" s="202" t="s">
        <v>1940</v>
      </c>
      <c r="JU108" s="205">
        <v>79.239999999999995</v>
      </c>
      <c r="JV108" s="202" t="s">
        <v>1940</v>
      </c>
      <c r="JX108" s="202">
        <v>2</v>
      </c>
      <c r="JY108" s="202" t="s">
        <v>1945</v>
      </c>
      <c r="KB108" s="202">
        <v>20</v>
      </c>
      <c r="KC108" s="202" t="s">
        <v>1945</v>
      </c>
      <c r="KD108" s="202" t="s">
        <v>1940</v>
      </c>
      <c r="KF108" s="202">
        <v>0</v>
      </c>
      <c r="KG108" s="205" t="s">
        <v>37</v>
      </c>
      <c r="KK108" s="205" t="s">
        <v>1930</v>
      </c>
      <c r="KL108" s="39"/>
      <c r="KM108" s="39"/>
      <c r="KN108" s="39"/>
      <c r="KO108" s="69">
        <v>71.712865641400001</v>
      </c>
      <c r="KP108" s="39" t="s">
        <v>144</v>
      </c>
    </row>
    <row r="109" spans="2:302" s="202" customFormat="1" ht="15" hidden="1" customHeight="1" x14ac:dyDescent="0.35">
      <c r="B109" s="39" t="s">
        <v>1946</v>
      </c>
      <c r="C109" s="39" t="s">
        <v>1947</v>
      </c>
      <c r="D109" s="39" t="s">
        <v>325</v>
      </c>
      <c r="E109" s="202" t="s">
        <v>1948</v>
      </c>
      <c r="F109" s="39" t="s">
        <v>1949</v>
      </c>
      <c r="G109" s="3" t="s">
        <v>199</v>
      </c>
      <c r="H109" s="40">
        <f>(118.85+0.56)/123.54118625</f>
        <v>0.96656025107578247</v>
      </c>
      <c r="L109" s="204">
        <v>4</v>
      </c>
      <c r="M109" s="39" t="s">
        <v>1950</v>
      </c>
      <c r="P109" s="202" t="s">
        <v>118</v>
      </c>
      <c r="Q109" s="202" t="s">
        <v>1951</v>
      </c>
      <c r="R109" s="202" t="s">
        <v>1952</v>
      </c>
      <c r="T109" s="39" t="s">
        <v>203</v>
      </c>
      <c r="U109" s="40">
        <f>0.68+(0.085+0.0425+0.0425)</f>
        <v>0.85000000000000009</v>
      </c>
      <c r="X109" s="39">
        <f t="shared" si="116"/>
        <v>2</v>
      </c>
      <c r="Y109" s="43">
        <f>((AC109-AG109)/AG109+(AG109-AK109)/AK109)/2*100%</f>
        <v>0.15340421591801381</v>
      </c>
      <c r="Z109" s="39"/>
      <c r="AA109" s="39"/>
      <c r="AB109" s="39"/>
      <c r="AC109" s="39">
        <v>125.52</v>
      </c>
      <c r="AD109" s="39" t="s">
        <v>1952</v>
      </c>
      <c r="AE109" s="39"/>
      <c r="AF109" s="39"/>
      <c r="AG109" s="39">
        <v>132.08000000000001</v>
      </c>
      <c r="AH109" s="39" t="s">
        <v>1952</v>
      </c>
      <c r="AI109" s="39"/>
      <c r="AJ109" s="39"/>
      <c r="AK109" s="39">
        <v>97.37</v>
      </c>
      <c r="AL109" s="39" t="s">
        <v>1953</v>
      </c>
      <c r="AN109" s="39">
        <f t="shared" si="117"/>
        <v>2</v>
      </c>
      <c r="AO109" s="43">
        <f>((AS109-AW109)/AW109+(AW109-BA109)/BA109)/2*100%</f>
        <v>0.21767488334591217</v>
      </c>
      <c r="AP109" s="39"/>
      <c r="AQ109" s="39"/>
      <c r="AR109" s="39"/>
      <c r="AS109" s="39">
        <v>165.59</v>
      </c>
      <c r="AT109" s="39" t="s">
        <v>1953</v>
      </c>
      <c r="AU109" s="39"/>
      <c r="AV109" s="39"/>
      <c r="AW109" s="39">
        <v>164.22</v>
      </c>
      <c r="AX109" s="39" t="s">
        <v>1952</v>
      </c>
      <c r="AY109" s="39"/>
      <c r="AZ109" s="39"/>
      <c r="BA109" s="39">
        <v>115.08</v>
      </c>
      <c r="BB109" s="39" t="s">
        <v>1952</v>
      </c>
      <c r="BD109" s="2">
        <f t="shared" si="70"/>
        <v>3</v>
      </c>
      <c r="BE109" s="39">
        <v>125.52</v>
      </c>
      <c r="BF109" s="39"/>
      <c r="BG109" s="39"/>
      <c r="BH109" s="39"/>
      <c r="BI109" s="39">
        <f>AC109</f>
        <v>125.52</v>
      </c>
      <c r="BJ109" s="39" t="s">
        <v>1952</v>
      </c>
      <c r="BK109" s="39"/>
      <c r="BL109" s="2">
        <f t="shared" si="71"/>
        <v>3</v>
      </c>
      <c r="BM109" s="39">
        <v>165.59</v>
      </c>
      <c r="BN109" s="39"/>
      <c r="BO109" s="39"/>
      <c r="BP109" s="39"/>
      <c r="BQ109" s="39">
        <f>AS109</f>
        <v>165.59</v>
      </c>
      <c r="BR109" s="39" t="s">
        <v>1952</v>
      </c>
      <c r="BT109" s="8">
        <f t="shared" si="72"/>
        <v>2</v>
      </c>
      <c r="BU109" s="202">
        <v>42</v>
      </c>
      <c r="BY109" s="202">
        <v>42</v>
      </c>
      <c r="BZ109" s="201" t="s">
        <v>331</v>
      </c>
      <c r="CA109" s="39" t="s">
        <v>1954</v>
      </c>
      <c r="CB109" s="39">
        <v>1</v>
      </c>
      <c r="CC109" s="39" t="str">
        <f>CF109</f>
        <v>一级</v>
      </c>
      <c r="CD109" s="39"/>
      <c r="CE109" s="39"/>
      <c r="CF109" s="39" t="s">
        <v>132</v>
      </c>
      <c r="CG109" s="39" t="s">
        <v>1955</v>
      </c>
      <c r="CH109" s="39" t="s">
        <v>1956</v>
      </c>
      <c r="CJ109" s="39">
        <v>0</v>
      </c>
      <c r="CK109" s="39" t="s">
        <v>37</v>
      </c>
      <c r="CL109" s="39"/>
      <c r="CM109" s="39"/>
      <c r="CN109" s="39"/>
      <c r="CO109" s="39" t="s">
        <v>37</v>
      </c>
      <c r="CP109" s="39"/>
      <c r="CQ109" s="39"/>
      <c r="CR109" s="39"/>
      <c r="CS109" s="39">
        <f>AC109</f>
        <v>125.52</v>
      </c>
      <c r="CT109" s="39" t="s">
        <v>1953</v>
      </c>
      <c r="CV109" s="206">
        <f>IF(CW109="数据缺失",0,IF(CW109&lt;0,0,IF(CW109&lt;100,5,IF(CW109&lt;500,4,IF(CW109&lt;1000,3,IF(CW109&lt;2000,2,1))))))</f>
        <v>0</v>
      </c>
      <c r="CW109" s="202" t="str">
        <f>DA109</f>
        <v>数据缺失</v>
      </c>
      <c r="DA109" s="205" t="s">
        <v>37</v>
      </c>
      <c r="DB109" s="202" t="s">
        <v>1956</v>
      </c>
      <c r="DC109" s="39"/>
      <c r="DD109" s="39">
        <f t="shared" si="118"/>
        <v>0</v>
      </c>
      <c r="DE109" s="205" t="s">
        <v>37</v>
      </c>
      <c r="DF109" s="39"/>
      <c r="DG109" s="39"/>
      <c r="DH109" s="39"/>
      <c r="DI109" s="39">
        <f>AS109</f>
        <v>165.59</v>
      </c>
      <c r="DJ109" s="39" t="s">
        <v>1952</v>
      </c>
      <c r="DK109" s="39"/>
      <c r="DL109" s="39"/>
      <c r="DM109" s="205" t="s">
        <v>37</v>
      </c>
      <c r="DN109" s="202" t="s">
        <v>1957</v>
      </c>
      <c r="DP109" s="202">
        <v>5</v>
      </c>
      <c r="DQ109" s="202" t="s">
        <v>37</v>
      </c>
      <c r="DU109" s="202" t="s">
        <v>37</v>
      </c>
      <c r="DY109" s="202" t="s">
        <v>37</v>
      </c>
      <c r="EC109" s="202" t="s">
        <v>37</v>
      </c>
      <c r="EG109" s="202" t="s">
        <v>37</v>
      </c>
      <c r="EJ109" s="39">
        <f t="shared" si="119"/>
        <v>1</v>
      </c>
      <c r="EK109" s="39">
        <v>223.4</v>
      </c>
      <c r="EL109" s="39"/>
      <c r="EM109" s="39"/>
      <c r="EN109" s="39"/>
      <c r="EO109" s="39">
        <v>223.4</v>
      </c>
      <c r="EP109" s="39" t="s">
        <v>1952</v>
      </c>
      <c r="EQ109" s="39"/>
      <c r="ER109" s="39">
        <f>IF(ES109="数据缺失",0,IF(ES109&lt;0,0,IF(ES109&lt;=5,5,IF(ES109&lt;=20,4,IF(ES109&lt;=50,3,IF(ES109&lt;=100,2,1))))))</f>
        <v>1</v>
      </c>
      <c r="ES109" s="39">
        <v>219.14</v>
      </c>
      <c r="ET109" s="39"/>
      <c r="EU109" s="39"/>
      <c r="EV109" s="39"/>
      <c r="EW109" s="39">
        <v>219.14</v>
      </c>
      <c r="EX109" s="39" t="s">
        <v>1953</v>
      </c>
      <c r="EZ109" s="202">
        <f t="shared" si="124"/>
        <v>1</v>
      </c>
      <c r="FA109" s="205">
        <f>FE109</f>
        <v>464</v>
      </c>
      <c r="FE109" s="205">
        <v>464</v>
      </c>
      <c r="FF109" s="202" t="s">
        <v>1956</v>
      </c>
      <c r="FH109" s="39">
        <v>5</v>
      </c>
      <c r="FI109" s="39" t="s">
        <v>1958</v>
      </c>
      <c r="FJ109" s="202" t="s">
        <v>1957</v>
      </c>
      <c r="FM109" s="203" t="s">
        <v>37</v>
      </c>
      <c r="FQ109" s="203" t="s">
        <v>37</v>
      </c>
      <c r="FU109" s="203" t="s">
        <v>37</v>
      </c>
      <c r="FY109" s="203" t="s">
        <v>37</v>
      </c>
      <c r="GB109" s="39">
        <v>2</v>
      </c>
      <c r="GC109" s="39" t="s">
        <v>1959</v>
      </c>
      <c r="GD109" s="39"/>
      <c r="GE109" s="39"/>
      <c r="GF109" s="39"/>
      <c r="GG109" s="39" t="s">
        <v>1960</v>
      </c>
      <c r="GH109" s="39" t="s">
        <v>1953</v>
      </c>
      <c r="GJ109" s="39">
        <f t="shared" si="120"/>
        <v>4</v>
      </c>
      <c r="GK109" s="43">
        <f t="shared" si="121"/>
        <v>4.5329012695958315E-3</v>
      </c>
      <c r="GL109" s="39"/>
      <c r="GM109" s="39"/>
      <c r="GN109" s="39">
        <v>0.56000000000000005</v>
      </c>
      <c r="GO109" s="39" t="s">
        <v>1961</v>
      </c>
      <c r="GP109" s="39" t="s">
        <v>1952</v>
      </c>
      <c r="GQ109" s="39"/>
      <c r="GR109" s="39"/>
      <c r="GS109" s="69">
        <v>123.54118625</v>
      </c>
      <c r="GT109" s="67" t="s">
        <v>1962</v>
      </c>
      <c r="GV109" s="39">
        <f t="shared" ref="GV109:GV117" si="127">IF(GW109="数据缺失",0,IF(GW109&lt;20%,1,IF(GW109&lt;40%,2,IF(GW109&lt;60%,3,IF(GW109&lt;80%,4,IF(GW109&lt;=100%,5,0))))))</f>
        <v>2</v>
      </c>
      <c r="GW109" s="43">
        <f>HA109/HE109*100%</f>
        <v>0.33185965738942125</v>
      </c>
      <c r="GX109" s="39"/>
      <c r="GY109" s="39"/>
      <c r="GZ109" s="39"/>
      <c r="HA109" s="39">
        <v>126.66</v>
      </c>
      <c r="HB109" s="39" t="s">
        <v>1956</v>
      </c>
      <c r="HE109" s="69">
        <v>381.66736202999999</v>
      </c>
      <c r="HF109" s="39" t="s">
        <v>144</v>
      </c>
      <c r="HH109" s="39">
        <f t="shared" ref="HH109:HH117" si="128">IF(HI109="数据缺失",0,IF(HI109&lt;20%,1,IF(HI109&lt;40%,2,IF(HI109&lt;60%,3,IF(HI109&lt;80%,4,IF(HI109&lt;=100%,5,0))))))</f>
        <v>1</v>
      </c>
      <c r="HI109" s="43">
        <f t="shared" ref="HI109:HI117" si="129">HM109/HQ109</f>
        <v>0.10567480990971327</v>
      </c>
      <c r="HJ109" s="39"/>
      <c r="HK109" s="39"/>
      <c r="HL109" s="39"/>
      <c r="HM109" s="39">
        <v>5.85</v>
      </c>
      <c r="HN109" s="39" t="s">
        <v>1957</v>
      </c>
      <c r="HO109" s="39"/>
      <c r="HP109" s="39"/>
      <c r="HQ109" s="78">
        <v>55.3585098</v>
      </c>
      <c r="HR109" s="39" t="s">
        <v>144</v>
      </c>
      <c r="HT109" s="202">
        <f t="shared" si="122"/>
        <v>4</v>
      </c>
      <c r="HU109" s="203">
        <f t="shared" si="123"/>
        <v>1.921735451901083E-2</v>
      </c>
      <c r="HV109" s="39"/>
      <c r="HW109" s="39"/>
      <c r="HX109" s="39"/>
      <c r="HY109" s="39">
        <v>1.54</v>
      </c>
      <c r="HZ109" s="39" t="s">
        <v>1952</v>
      </c>
      <c r="IA109" s="39"/>
      <c r="IB109" s="39"/>
      <c r="IC109" s="69">
        <v>80.135900000000007</v>
      </c>
      <c r="ID109" s="39" t="s">
        <v>144</v>
      </c>
      <c r="IR109" s="39">
        <v>3</v>
      </c>
      <c r="IS109" s="43">
        <f>IW109/JA109</f>
        <v>1.9107980350172078</v>
      </c>
      <c r="IT109" s="39"/>
      <c r="IU109" s="39"/>
      <c r="IV109" s="39"/>
      <c r="IW109" s="83">
        <v>244.58</v>
      </c>
      <c r="IX109" s="202" t="s">
        <v>1963</v>
      </c>
      <c r="IY109" s="39"/>
      <c r="IZ109" s="39"/>
      <c r="JA109" s="69">
        <v>127.99887561</v>
      </c>
      <c r="JB109" s="39" t="s">
        <v>1962</v>
      </c>
      <c r="JD109" s="39">
        <f t="shared" si="125"/>
        <v>3</v>
      </c>
      <c r="JE109" s="46">
        <f t="shared" si="126"/>
        <v>7.7029578966937698E-2</v>
      </c>
      <c r="JF109" s="39"/>
      <c r="JG109" s="39"/>
      <c r="JH109" s="39"/>
      <c r="JI109" s="39">
        <v>31.49</v>
      </c>
      <c r="JJ109" s="39" t="s">
        <v>1963</v>
      </c>
      <c r="JK109" s="39"/>
      <c r="JL109" s="39"/>
      <c r="JM109" s="39">
        <v>3.8</v>
      </c>
      <c r="JN109" s="39" t="s">
        <v>1963</v>
      </c>
      <c r="JO109" s="39"/>
      <c r="JP109" s="39"/>
      <c r="JQ109" s="39">
        <v>129.58000000000001</v>
      </c>
      <c r="JR109" s="39" t="s">
        <v>1963</v>
      </c>
      <c r="JS109" s="39"/>
      <c r="JT109" s="39"/>
      <c r="JU109" s="39">
        <v>85.58</v>
      </c>
      <c r="JV109" s="39" t="s">
        <v>1963</v>
      </c>
      <c r="JX109" s="39">
        <v>1</v>
      </c>
      <c r="JY109" s="39" t="s">
        <v>1964</v>
      </c>
      <c r="JZ109" s="39"/>
      <c r="KA109" s="39"/>
      <c r="KB109" s="39">
        <v>6</v>
      </c>
      <c r="KC109" s="39" t="s">
        <v>1964</v>
      </c>
      <c r="KD109" s="39" t="s">
        <v>1965</v>
      </c>
      <c r="KF109" s="202">
        <f t="shared" ref="KF109:KF117" si="130">IF(KG109="数据缺失",0,IF(KG109&lt;0%,0,IF(KG109&lt;20%,1,IF(KG109&lt;50%,2,IF(KG109&lt;100%,3,4)))))</f>
        <v>2</v>
      </c>
      <c r="KG109" s="207">
        <f t="shared" ref="KG109:KG117" si="131">KK109/KO109</f>
        <v>0.29172131256661438</v>
      </c>
      <c r="KH109" s="39"/>
      <c r="KI109" s="39"/>
      <c r="KJ109" s="39"/>
      <c r="KK109" s="39">
        <v>37.340000000000003</v>
      </c>
      <c r="KL109" s="39" t="s">
        <v>1966</v>
      </c>
      <c r="KM109" s="39" t="s">
        <v>1002</v>
      </c>
      <c r="KN109" s="39"/>
      <c r="KO109" s="69">
        <v>127.99887561</v>
      </c>
      <c r="KP109" s="39" t="s">
        <v>144</v>
      </c>
    </row>
    <row r="110" spans="2:302" s="202" customFormat="1" ht="17.25" hidden="1" customHeight="1" x14ac:dyDescent="0.35">
      <c r="B110" s="39" t="s">
        <v>1967</v>
      </c>
      <c r="C110" s="39" t="s">
        <v>390</v>
      </c>
      <c r="D110" s="39" t="s">
        <v>325</v>
      </c>
      <c r="E110" s="202" t="s">
        <v>172</v>
      </c>
      <c r="F110" s="39" t="s">
        <v>1968</v>
      </c>
      <c r="G110" s="3" t="s">
        <v>174</v>
      </c>
      <c r="H110" s="210">
        <v>1</v>
      </c>
      <c r="L110" s="204">
        <v>4</v>
      </c>
      <c r="M110" s="202" t="s">
        <v>1969</v>
      </c>
      <c r="P110" s="202" t="s">
        <v>1970</v>
      </c>
      <c r="Q110" s="202" t="s">
        <v>1971</v>
      </c>
      <c r="R110" s="202" t="s">
        <v>1972</v>
      </c>
      <c r="T110" s="39" t="s">
        <v>129</v>
      </c>
      <c r="U110" s="203">
        <v>0.34</v>
      </c>
      <c r="X110" s="202">
        <f t="shared" si="116"/>
        <v>3</v>
      </c>
      <c r="Y110" s="207">
        <f>((AC110-AG110)/AG110+(AG110-AK110)/AK110)/2*100%</f>
        <v>7.7904149502662515E-2</v>
      </c>
      <c r="AC110" s="205">
        <v>32.04</v>
      </c>
      <c r="AD110" s="202" t="s">
        <v>1973</v>
      </c>
      <c r="AG110" s="205">
        <v>32.28</v>
      </c>
      <c r="AH110" s="202" t="s">
        <v>1973</v>
      </c>
      <c r="AK110" s="205">
        <v>27.75</v>
      </c>
      <c r="AL110" s="202" t="s">
        <v>1974</v>
      </c>
      <c r="AN110" s="202">
        <f t="shared" si="117"/>
        <v>2</v>
      </c>
      <c r="AO110" s="207">
        <f>((AS110-AW110)/AW110+(AW110-BA110)/BA110)/2*100%</f>
        <v>0.16316804347503244</v>
      </c>
      <c r="AS110" s="205">
        <v>31.01</v>
      </c>
      <c r="AT110" s="202" t="s">
        <v>1973</v>
      </c>
      <c r="AW110" s="205">
        <v>30.62</v>
      </c>
      <c r="AX110" s="202" t="s">
        <v>1973</v>
      </c>
      <c r="BA110" s="205">
        <v>23.31</v>
      </c>
      <c r="BB110" s="202" t="s">
        <v>1975</v>
      </c>
      <c r="BD110" s="2">
        <f t="shared" si="70"/>
        <v>5</v>
      </c>
      <c r="BE110" s="39">
        <v>32.04</v>
      </c>
      <c r="BF110" s="39"/>
      <c r="BG110" s="39"/>
      <c r="BH110" s="39"/>
      <c r="BI110" s="39">
        <f>AC110</f>
        <v>32.04</v>
      </c>
      <c r="BJ110" s="39" t="s">
        <v>1973</v>
      </c>
      <c r="BK110" s="39"/>
      <c r="BL110" s="2">
        <f t="shared" si="71"/>
        <v>5</v>
      </c>
      <c r="BM110" s="39">
        <v>31.01</v>
      </c>
      <c r="BN110" s="39"/>
      <c r="BO110" s="39"/>
      <c r="BP110" s="39"/>
      <c r="BQ110" s="39">
        <f>AS110</f>
        <v>31.01</v>
      </c>
      <c r="BR110" s="39" t="s">
        <v>1973</v>
      </c>
      <c r="BT110" s="8">
        <f t="shared" si="72"/>
        <v>3</v>
      </c>
      <c r="BU110" s="202">
        <v>236</v>
      </c>
      <c r="BY110" s="202">
        <v>236</v>
      </c>
      <c r="BZ110" s="201" t="s">
        <v>131</v>
      </c>
      <c r="CB110" s="202">
        <v>1</v>
      </c>
      <c r="CC110" s="202" t="s">
        <v>1976</v>
      </c>
      <c r="CF110" s="202" t="s">
        <v>133</v>
      </c>
      <c r="CG110" s="202" t="s">
        <v>1977</v>
      </c>
      <c r="CH110" s="201" t="s">
        <v>1978</v>
      </c>
      <c r="CJ110" s="202">
        <f>IF(CK110="数据缺失",0,IF(CK110&lt;0,0,IF(CK110&lt;2,2,IF(CK110&lt;=5,1,3))))</f>
        <v>2</v>
      </c>
      <c r="CK110" s="211">
        <f>CO110/CS110</f>
        <v>4.9625468164794011E-2</v>
      </c>
      <c r="CO110" s="205">
        <v>1.59</v>
      </c>
      <c r="CP110" s="202" t="s">
        <v>1973</v>
      </c>
      <c r="CS110" s="205">
        <v>32.04</v>
      </c>
      <c r="CT110" s="202" t="s">
        <v>1979</v>
      </c>
      <c r="CV110" s="39">
        <v>5</v>
      </c>
      <c r="CW110" s="39">
        <v>91.72</v>
      </c>
      <c r="CX110" s="39"/>
      <c r="CY110" s="39"/>
      <c r="CZ110" s="39"/>
      <c r="DA110" s="39">
        <f>16.68+19.32+55.72</f>
        <v>91.72</v>
      </c>
      <c r="DB110" s="39" t="s">
        <v>1980</v>
      </c>
      <c r="DD110" s="202">
        <f t="shared" si="118"/>
        <v>1</v>
      </c>
      <c r="DE110" s="69">
        <f>DM110/DI110</f>
        <v>2.9577555627217027</v>
      </c>
      <c r="DF110" s="39"/>
      <c r="DG110" s="39"/>
      <c r="DH110" s="39"/>
      <c r="DI110" s="39">
        <f>AS110</f>
        <v>31.01</v>
      </c>
      <c r="DJ110" s="39" t="s">
        <v>1981</v>
      </c>
      <c r="DK110" s="39"/>
      <c r="DL110" s="39"/>
      <c r="DM110" s="39">
        <f>16.68+19.32+55.72</f>
        <v>91.72</v>
      </c>
      <c r="DN110" s="39" t="s">
        <v>1980</v>
      </c>
      <c r="DP110" s="202">
        <v>3</v>
      </c>
      <c r="DQ110" s="202" t="s">
        <v>1982</v>
      </c>
      <c r="DU110" s="203">
        <v>0.18190000000000001</v>
      </c>
      <c r="DV110" s="202" t="s">
        <v>1981</v>
      </c>
      <c r="DY110" s="203">
        <v>0.81810000000000005</v>
      </c>
      <c r="DZ110" s="202" t="s">
        <v>1981</v>
      </c>
      <c r="EC110" s="203">
        <v>0</v>
      </c>
      <c r="ED110" s="202" t="s">
        <v>1981</v>
      </c>
      <c r="EG110" s="203">
        <v>0</v>
      </c>
      <c r="EH110" s="202" t="s">
        <v>1981</v>
      </c>
      <c r="EJ110" s="39">
        <f t="shared" si="119"/>
        <v>3</v>
      </c>
      <c r="EK110" s="39">
        <v>27</v>
      </c>
      <c r="EL110" s="39"/>
      <c r="EM110" s="39"/>
      <c r="EN110" s="39"/>
      <c r="EO110" s="39">
        <v>27</v>
      </c>
      <c r="EP110" s="39" t="s">
        <v>1981</v>
      </c>
      <c r="EQ110" s="39"/>
      <c r="ER110" s="39">
        <f>IF(ES110="数据缺失",0,IF(ES110&lt;0,0,IF(ES110&lt;=5,5,IF(ES110&lt;=20,4,IF(ES110&lt;=50,3,IF(ES110&lt;=100,2,1))))))</f>
        <v>3</v>
      </c>
      <c r="ES110" s="39">
        <v>27</v>
      </c>
      <c r="ET110" s="39"/>
      <c r="EU110" s="39"/>
      <c r="EV110" s="39"/>
      <c r="EW110" s="39">
        <v>27</v>
      </c>
      <c r="EX110" s="39" t="s">
        <v>1981</v>
      </c>
      <c r="EZ110" s="39">
        <f t="shared" si="124"/>
        <v>2</v>
      </c>
      <c r="FA110" s="39">
        <v>141.38999999999999</v>
      </c>
      <c r="FB110" s="39"/>
      <c r="FC110" s="39"/>
      <c r="FD110" s="39"/>
      <c r="FE110" s="39">
        <f>72.21+10.97+25.7+9.46+13.34+9.71</f>
        <v>141.39000000000001</v>
      </c>
      <c r="FF110" s="39" t="s">
        <v>1981</v>
      </c>
      <c r="FG110" s="39"/>
      <c r="FH110" s="39">
        <v>3</v>
      </c>
      <c r="FI110" s="39" t="s">
        <v>1983</v>
      </c>
      <c r="FJ110" s="39"/>
      <c r="FK110" s="39"/>
      <c r="FL110" s="39"/>
      <c r="FM110" s="39">
        <v>0</v>
      </c>
      <c r="FN110" s="39" t="s">
        <v>1981</v>
      </c>
      <c r="FO110" s="39"/>
      <c r="FP110" s="39"/>
      <c r="FQ110" s="40">
        <v>0.48928495650328885</v>
      </c>
      <c r="FR110" s="39" t="s">
        <v>1981</v>
      </c>
      <c r="FS110" s="39"/>
      <c r="FT110" s="39"/>
      <c r="FU110" s="40">
        <v>0.51071504349671126</v>
      </c>
      <c r="FV110" s="39" t="s">
        <v>1981</v>
      </c>
      <c r="FW110" s="39"/>
      <c r="FX110" s="39"/>
      <c r="FY110" s="39">
        <v>0</v>
      </c>
      <c r="FZ110" s="39" t="s">
        <v>1981</v>
      </c>
      <c r="GB110" s="202">
        <v>2</v>
      </c>
      <c r="GC110" s="39" t="s">
        <v>1984</v>
      </c>
      <c r="GG110" s="39" t="s">
        <v>1984</v>
      </c>
      <c r="GH110" s="39" t="s">
        <v>1985</v>
      </c>
      <c r="GJ110" s="202">
        <f t="shared" si="120"/>
        <v>4</v>
      </c>
      <c r="GK110" s="207">
        <f t="shared" si="121"/>
        <v>2.3533857782212699E-2</v>
      </c>
      <c r="GN110" s="202">
        <v>0.86</v>
      </c>
      <c r="GO110" s="202" t="s">
        <v>1986</v>
      </c>
      <c r="GP110" s="202" t="s">
        <v>146</v>
      </c>
      <c r="GS110" s="208">
        <v>36.543094972299997</v>
      </c>
      <c r="GT110" s="39" t="s">
        <v>1917</v>
      </c>
      <c r="GV110" s="39">
        <f t="shared" si="127"/>
        <v>2</v>
      </c>
      <c r="GW110" s="43">
        <f>HA110/HE110*100%</f>
        <v>0.32329662212464755</v>
      </c>
      <c r="GX110" s="39"/>
      <c r="GY110" s="39"/>
      <c r="GZ110" s="39"/>
      <c r="HA110" s="39">
        <v>41.07</v>
      </c>
      <c r="HB110" s="39" t="s">
        <v>1985</v>
      </c>
      <c r="HC110" s="39"/>
      <c r="HD110" s="39"/>
      <c r="HE110" s="69">
        <v>127.03504209260001</v>
      </c>
      <c r="HF110" s="39" t="s">
        <v>144</v>
      </c>
      <c r="HH110" s="39">
        <f t="shared" si="128"/>
        <v>1</v>
      </c>
      <c r="HI110" s="43">
        <f t="shared" si="129"/>
        <v>2.5861545630630416E-2</v>
      </c>
      <c r="HJ110" s="39"/>
      <c r="HK110" s="39"/>
      <c r="HL110" s="39"/>
      <c r="HM110" s="205">
        <v>0.46</v>
      </c>
      <c r="HN110" s="39" t="s">
        <v>1985</v>
      </c>
      <c r="HO110" s="39"/>
      <c r="HP110" s="39"/>
      <c r="HQ110" s="78">
        <v>17.787026598099999</v>
      </c>
      <c r="HR110" s="39" t="s">
        <v>144</v>
      </c>
      <c r="HT110" s="39">
        <f t="shared" si="122"/>
        <v>4</v>
      </c>
      <c r="HU110" s="39">
        <f t="shared" si="123"/>
        <v>0</v>
      </c>
      <c r="HV110" s="39"/>
      <c r="HW110" s="39"/>
      <c r="HX110" s="39"/>
      <c r="HY110" s="39">
        <v>0</v>
      </c>
      <c r="HZ110" s="39" t="s">
        <v>1985</v>
      </c>
      <c r="IA110" s="39"/>
      <c r="IB110" s="39"/>
      <c r="IC110" s="69">
        <v>24.469215160600001</v>
      </c>
      <c r="ID110" s="39" t="s">
        <v>1917</v>
      </c>
      <c r="IR110" s="202">
        <f t="shared" ref="IR110:IR115" si="132">IF(IS110="数据缺失",0,IF(IS110&lt;0%,0,IF(IS110&lt;=100%,4,IF(IS110&lt;200%,3,IF(IS110&lt;300%,2,1)))))</f>
        <v>4</v>
      </c>
      <c r="IS110" s="207">
        <f>IW110/JA110</f>
        <v>0.90097602674914845</v>
      </c>
      <c r="IW110" s="205">
        <v>40.5</v>
      </c>
      <c r="IX110" s="202" t="s">
        <v>146</v>
      </c>
      <c r="IY110" s="39"/>
      <c r="IZ110" s="39"/>
      <c r="JA110" s="69">
        <v>44.951251528999997</v>
      </c>
      <c r="JB110" s="39" t="s">
        <v>144</v>
      </c>
      <c r="JD110" s="39">
        <f t="shared" si="125"/>
        <v>3</v>
      </c>
      <c r="JE110" s="46">
        <f t="shared" si="126"/>
        <v>6.9056219675507693E-2</v>
      </c>
      <c r="JF110" s="39"/>
      <c r="JG110" s="39"/>
      <c r="JH110" s="39"/>
      <c r="JI110" s="39">
        <v>8.64</v>
      </c>
      <c r="JJ110" s="39" t="s">
        <v>1981</v>
      </c>
      <c r="JK110" s="39"/>
      <c r="JL110" s="39"/>
      <c r="JM110" s="39">
        <v>2.91</v>
      </c>
      <c r="JN110" s="39" t="s">
        <v>1973</v>
      </c>
      <c r="JO110" s="39"/>
      <c r="JP110" s="39"/>
      <c r="JQ110" s="39">
        <v>51.03</v>
      </c>
      <c r="JR110" s="39" t="s">
        <v>1973</v>
      </c>
      <c r="JS110" s="39"/>
      <c r="JT110" s="39"/>
      <c r="JU110" s="39">
        <v>34.96</v>
      </c>
      <c r="JV110" s="39" t="s">
        <v>1981</v>
      </c>
      <c r="JX110" s="39">
        <v>2</v>
      </c>
      <c r="JY110" s="39" t="s">
        <v>155</v>
      </c>
      <c r="JZ110" s="39"/>
      <c r="KA110" s="39"/>
      <c r="KB110" s="39">
        <v>2</v>
      </c>
      <c r="KC110" s="39" t="s">
        <v>155</v>
      </c>
      <c r="KD110" s="39" t="s">
        <v>1985</v>
      </c>
      <c r="KF110" s="202">
        <f t="shared" si="130"/>
        <v>1</v>
      </c>
      <c r="KG110" s="207">
        <f t="shared" si="131"/>
        <v>5.0754706985813597E-5</v>
      </c>
      <c r="KH110" s="39"/>
      <c r="KI110" s="39"/>
      <c r="KJ110" s="39"/>
      <c r="KK110" s="212">
        <v>2.2814876000000002E-3</v>
      </c>
      <c r="KL110" s="39" t="s">
        <v>595</v>
      </c>
      <c r="KM110" s="39" t="s">
        <v>1987</v>
      </c>
      <c r="KN110" s="39"/>
      <c r="KO110" s="69">
        <v>44.951251528999997</v>
      </c>
      <c r="KP110" s="39" t="s">
        <v>1917</v>
      </c>
    </row>
    <row r="111" spans="2:302" s="202" customFormat="1" ht="18.75" hidden="1" customHeight="1" x14ac:dyDescent="0.35">
      <c r="B111" s="39" t="s">
        <v>1988</v>
      </c>
      <c r="C111" s="39" t="s">
        <v>1989</v>
      </c>
      <c r="D111" s="39" t="s">
        <v>1990</v>
      </c>
      <c r="E111" s="202" t="s">
        <v>1991</v>
      </c>
      <c r="F111" s="39" t="s">
        <v>1992</v>
      </c>
      <c r="G111" s="3" t="s">
        <v>249</v>
      </c>
      <c r="H111" s="213">
        <v>0.92500000000000004</v>
      </c>
      <c r="L111" s="42">
        <v>4</v>
      </c>
      <c r="M111" s="39" t="s">
        <v>1993</v>
      </c>
      <c r="N111" s="39"/>
      <c r="O111" s="39"/>
      <c r="P111" s="202" t="s">
        <v>1994</v>
      </c>
      <c r="Q111" s="202" t="s">
        <v>1995</v>
      </c>
      <c r="R111" s="39" t="s">
        <v>1996</v>
      </c>
      <c r="S111" s="39"/>
      <c r="T111" s="202" t="s">
        <v>203</v>
      </c>
      <c r="U111" s="40">
        <v>0.52600000000000002</v>
      </c>
      <c r="X111" s="202">
        <f t="shared" si="116"/>
        <v>1</v>
      </c>
      <c r="Y111" s="207">
        <f>((AC111-AG111)/AG111+(AG111-AK111)/AK111)/2*100%</f>
        <v>0.47787473188347274</v>
      </c>
      <c r="AC111" s="205">
        <v>30.71</v>
      </c>
      <c r="AD111" s="202" t="s">
        <v>1997</v>
      </c>
      <c r="AG111" s="205">
        <v>42.99</v>
      </c>
      <c r="AH111" s="202" t="s">
        <v>1997</v>
      </c>
      <c r="AK111" s="205">
        <v>19.18</v>
      </c>
      <c r="AL111" s="202" t="s">
        <v>1997</v>
      </c>
      <c r="AN111" s="202">
        <f t="shared" si="117"/>
        <v>1</v>
      </c>
      <c r="AO111" s="207">
        <f>((AS111-AW111)/AW111+(AW111-BA111)/BA111)/2*100%</f>
        <v>0.31532990529517879</v>
      </c>
      <c r="AS111" s="205">
        <v>38.01</v>
      </c>
      <c r="AT111" s="202" t="s">
        <v>1997</v>
      </c>
      <c r="AW111" s="205">
        <v>56.15</v>
      </c>
      <c r="AX111" s="202" t="s">
        <v>1997</v>
      </c>
      <c r="BA111" s="205">
        <v>28.74</v>
      </c>
      <c r="BB111" s="202" t="s">
        <v>1998</v>
      </c>
      <c r="BD111" s="2">
        <f t="shared" si="70"/>
        <v>5</v>
      </c>
      <c r="BE111" s="205">
        <f>BI111</f>
        <v>30.71</v>
      </c>
      <c r="BI111" s="205">
        <v>30.71</v>
      </c>
      <c r="BJ111" s="202" t="s">
        <v>1997</v>
      </c>
      <c r="BL111" s="2">
        <f t="shared" si="71"/>
        <v>5</v>
      </c>
      <c r="BM111" s="205">
        <f>BQ111</f>
        <v>38.01</v>
      </c>
      <c r="BQ111" s="205">
        <v>38.01</v>
      </c>
      <c r="BR111" s="202" t="s">
        <v>1997</v>
      </c>
      <c r="BT111" s="8">
        <f t="shared" si="72"/>
        <v>3</v>
      </c>
      <c r="BU111" s="202">
        <v>191</v>
      </c>
      <c r="BY111" s="202">
        <v>191</v>
      </c>
      <c r="BZ111" s="214" t="s">
        <v>1999</v>
      </c>
      <c r="CA111" s="39"/>
      <c r="CB111" s="202">
        <v>0</v>
      </c>
      <c r="CC111" s="39" t="s">
        <v>2000</v>
      </c>
      <c r="CF111" s="202" t="s">
        <v>2000</v>
      </c>
      <c r="CG111" s="202" t="s">
        <v>1192</v>
      </c>
      <c r="CJ111" s="39">
        <v>0</v>
      </c>
      <c r="CK111" s="39" t="s">
        <v>2000</v>
      </c>
      <c r="CL111" s="39"/>
      <c r="CM111" s="39"/>
      <c r="CN111" s="39"/>
      <c r="CO111" s="39" t="s">
        <v>2000</v>
      </c>
      <c r="CP111" s="39"/>
      <c r="CQ111" s="39"/>
      <c r="CR111" s="39"/>
      <c r="CS111" s="205">
        <v>30.71</v>
      </c>
      <c r="CT111" s="202" t="s">
        <v>1997</v>
      </c>
      <c r="CV111" s="206">
        <f t="shared" ref="CV111:CV117" si="133">IF(CW111="数据缺失",0,IF(CW111&lt;0,0,IF(CW111&lt;100,5,IF(CW111&lt;500,4,IF(CW111&lt;1000,3,IF(CW111&lt;2000,2,1))))))</f>
        <v>4</v>
      </c>
      <c r="CW111" s="202">
        <f>DA111</f>
        <v>274.89</v>
      </c>
      <c r="DA111" s="205">
        <f>483.12-178-30.23</f>
        <v>274.89</v>
      </c>
      <c r="DB111" s="202" t="s">
        <v>1997</v>
      </c>
      <c r="DC111" s="202" t="s">
        <v>2001</v>
      </c>
      <c r="DD111" s="202">
        <f t="shared" si="118"/>
        <v>2</v>
      </c>
      <c r="DE111" s="211">
        <f>DM111/DI111</f>
        <v>7.2320441988950277</v>
      </c>
      <c r="DI111" s="205">
        <v>38.01</v>
      </c>
      <c r="DJ111" s="202" t="s">
        <v>1997</v>
      </c>
      <c r="DM111" s="205">
        <f>483.12-178-30.23</f>
        <v>274.89</v>
      </c>
      <c r="DN111" s="202" t="s">
        <v>1998</v>
      </c>
      <c r="DO111" s="202" t="s">
        <v>718</v>
      </c>
      <c r="DP111" s="202">
        <v>6</v>
      </c>
      <c r="DQ111" s="202" t="s">
        <v>2002</v>
      </c>
      <c r="DR111" s="202" t="s">
        <v>1998</v>
      </c>
      <c r="DS111" s="202" t="s">
        <v>718</v>
      </c>
      <c r="DU111" s="203">
        <v>0.25430000000000003</v>
      </c>
      <c r="DV111" s="202" t="s">
        <v>1998</v>
      </c>
      <c r="DY111" s="203">
        <v>0.21310000000000001</v>
      </c>
      <c r="DZ111" s="202" t="s">
        <v>1997</v>
      </c>
      <c r="EC111" s="203">
        <v>3.32E-2</v>
      </c>
      <c r="ED111" s="202" t="s">
        <v>1997</v>
      </c>
      <c r="EG111" s="203">
        <v>0.49940000000000001</v>
      </c>
      <c r="EH111" s="202" t="s">
        <v>1998</v>
      </c>
      <c r="EJ111" s="215">
        <f t="shared" si="119"/>
        <v>2</v>
      </c>
      <c r="EK111" s="205">
        <f>EO111</f>
        <v>51.25</v>
      </c>
      <c r="EO111" s="205">
        <v>51.25</v>
      </c>
      <c r="EP111" s="202" t="s">
        <v>1998</v>
      </c>
      <c r="ER111" s="202">
        <f>IF(ES111="数据缺失",0,IF(ES111&lt;0%,0,IF(ES111&lt;=5%,5,IF(ES111&lt;=20%,4,IF(ES111&lt;=50%,3,IF(ES111&lt;=100,2,1))))))</f>
        <v>2</v>
      </c>
      <c r="ES111" s="205">
        <f>EW111</f>
        <v>97.21</v>
      </c>
      <c r="ET111" s="39"/>
      <c r="EU111" s="39"/>
      <c r="EV111" s="39"/>
      <c r="EW111" s="205">
        <v>97.21</v>
      </c>
      <c r="EX111" s="202" t="s">
        <v>1997</v>
      </c>
      <c r="EZ111" s="202">
        <f t="shared" si="124"/>
        <v>2</v>
      </c>
      <c r="FA111" s="205">
        <f>FE111</f>
        <v>178</v>
      </c>
      <c r="FE111" s="205">
        <v>178</v>
      </c>
      <c r="FF111" s="202" t="s">
        <v>1997</v>
      </c>
      <c r="FG111" s="202" t="s">
        <v>2001</v>
      </c>
      <c r="FH111" s="202">
        <v>2</v>
      </c>
      <c r="FI111" s="202" t="s">
        <v>2003</v>
      </c>
      <c r="FJ111" s="202" t="s">
        <v>1997</v>
      </c>
      <c r="FK111" s="202" t="s">
        <v>2001</v>
      </c>
      <c r="FM111" s="203">
        <v>0.29070000000000001</v>
      </c>
      <c r="FN111" s="202" t="s">
        <v>1997</v>
      </c>
      <c r="FQ111" s="203">
        <v>0.33210000000000001</v>
      </c>
      <c r="FR111" s="202" t="s">
        <v>1997</v>
      </c>
      <c r="FU111" s="203">
        <v>0.1908</v>
      </c>
      <c r="FV111" s="202" t="s">
        <v>1997</v>
      </c>
      <c r="FY111" s="203">
        <v>0.1865</v>
      </c>
      <c r="FZ111" s="202" t="s">
        <v>1997</v>
      </c>
      <c r="GB111" s="39">
        <v>2</v>
      </c>
      <c r="GC111" s="39" t="s">
        <v>2004</v>
      </c>
      <c r="GG111" s="39" t="s">
        <v>2004</v>
      </c>
      <c r="GH111" s="39" t="s">
        <v>1996</v>
      </c>
      <c r="GJ111" s="202">
        <f t="shared" si="120"/>
        <v>3</v>
      </c>
      <c r="GK111" s="207">
        <f t="shared" si="121"/>
        <v>7.6719034020417923E-2</v>
      </c>
      <c r="GL111" s="39"/>
      <c r="GM111" s="39"/>
      <c r="GN111" s="39">
        <v>2.2400000000000002</v>
      </c>
      <c r="GO111" s="39" t="s">
        <v>2005</v>
      </c>
      <c r="GP111" s="39" t="s">
        <v>1996</v>
      </c>
      <c r="GQ111" s="39"/>
      <c r="GR111" s="39"/>
      <c r="GS111" s="69">
        <v>29.1974479163</v>
      </c>
      <c r="GT111" s="39" t="s">
        <v>2006</v>
      </c>
      <c r="GV111" s="39">
        <f t="shared" si="127"/>
        <v>0</v>
      </c>
      <c r="GW111" s="43" t="s">
        <v>2000</v>
      </c>
      <c r="GX111" s="39"/>
      <c r="GY111" s="39"/>
      <c r="GZ111" s="39"/>
      <c r="HA111" s="39" t="s">
        <v>2000</v>
      </c>
      <c r="HB111" s="39"/>
      <c r="HC111" s="39"/>
      <c r="HD111" s="39"/>
      <c r="HE111" s="69">
        <v>133.10120921410001</v>
      </c>
      <c r="HF111" s="39" t="s">
        <v>2006</v>
      </c>
      <c r="HH111" s="202">
        <f t="shared" si="128"/>
        <v>1</v>
      </c>
      <c r="HI111" s="207">
        <f t="shared" si="129"/>
        <v>3.9770098560595914E-2</v>
      </c>
      <c r="HM111" s="205">
        <v>0.68</v>
      </c>
      <c r="HN111" s="202" t="s">
        <v>1996</v>
      </c>
      <c r="HO111" s="39"/>
      <c r="HP111" s="39"/>
      <c r="HQ111" s="78">
        <v>17.098272939000001</v>
      </c>
      <c r="HR111" s="39" t="s">
        <v>2006</v>
      </c>
      <c r="HT111" s="202">
        <f t="shared" si="122"/>
        <v>4</v>
      </c>
      <c r="HU111" s="203">
        <f t="shared" si="123"/>
        <v>0</v>
      </c>
      <c r="HY111" s="216">
        <v>0</v>
      </c>
      <c r="HZ111" s="202" t="s">
        <v>1996</v>
      </c>
      <c r="IC111" s="69">
        <v>19.6902068777</v>
      </c>
      <c r="ID111" s="39" t="s">
        <v>2006</v>
      </c>
      <c r="IR111" s="39">
        <f t="shared" si="132"/>
        <v>0</v>
      </c>
      <c r="IS111" s="39" t="s">
        <v>37</v>
      </c>
      <c r="IT111" s="39"/>
      <c r="IU111" s="39"/>
      <c r="IV111" s="39"/>
      <c r="IW111" s="39" t="s">
        <v>37</v>
      </c>
      <c r="IX111" s="39"/>
      <c r="JA111" s="69">
        <v>21.852439135700003</v>
      </c>
      <c r="JB111" s="39" t="s">
        <v>144</v>
      </c>
      <c r="JD111" s="202">
        <f t="shared" si="125"/>
        <v>4</v>
      </c>
      <c r="JE111" s="209">
        <f t="shared" si="126"/>
        <v>9.2984659383485782E-2</v>
      </c>
      <c r="JI111" s="205">
        <v>7.53</v>
      </c>
      <c r="JJ111" s="202" t="s">
        <v>1997</v>
      </c>
      <c r="JM111" s="205">
        <v>2.67</v>
      </c>
      <c r="JN111" s="202" t="s">
        <v>1997</v>
      </c>
      <c r="JQ111" s="205">
        <v>31.59</v>
      </c>
      <c r="JR111" s="202" t="s">
        <v>1998</v>
      </c>
      <c r="JU111" s="205">
        <v>29.07</v>
      </c>
      <c r="JV111" s="202" t="s">
        <v>1998</v>
      </c>
      <c r="JX111" s="202">
        <v>1</v>
      </c>
      <c r="JY111" s="202" t="s">
        <v>2007</v>
      </c>
      <c r="KB111" s="202">
        <v>2</v>
      </c>
      <c r="KC111" s="202" t="s">
        <v>2007</v>
      </c>
      <c r="KD111" s="202" t="s">
        <v>366</v>
      </c>
      <c r="KF111" s="202">
        <f t="shared" si="130"/>
        <v>4</v>
      </c>
      <c r="KG111" s="207">
        <f t="shared" si="131"/>
        <v>1.4149450232073388</v>
      </c>
      <c r="KK111" s="205">
        <v>30.92</v>
      </c>
      <c r="KL111" s="202" t="s">
        <v>366</v>
      </c>
      <c r="KM111" s="202" t="s">
        <v>2008</v>
      </c>
      <c r="KN111" s="39"/>
      <c r="KO111" s="69">
        <v>21.852439135700003</v>
      </c>
      <c r="KP111" s="39" t="s">
        <v>144</v>
      </c>
    </row>
    <row r="112" spans="2:302" s="39" customFormat="1" ht="13" x14ac:dyDescent="0.35">
      <c r="B112" s="39" t="s">
        <v>2009</v>
      </c>
      <c r="C112" s="39" t="s">
        <v>390</v>
      </c>
      <c r="D112" s="39" t="s">
        <v>325</v>
      </c>
      <c r="E112" s="202" t="s">
        <v>172</v>
      </c>
      <c r="F112" s="36" t="s">
        <v>124</v>
      </c>
      <c r="G112" s="3" t="s">
        <v>199</v>
      </c>
      <c r="H112" s="168">
        <v>0.99260000000000004</v>
      </c>
      <c r="L112" s="3">
        <v>4</v>
      </c>
      <c r="M112" s="36" t="s">
        <v>2010</v>
      </c>
      <c r="N112" s="36"/>
      <c r="O112" s="36"/>
      <c r="P112" s="36" t="s">
        <v>118</v>
      </c>
      <c r="Q112" s="36" t="s">
        <v>127</v>
      </c>
      <c r="R112" s="36" t="s">
        <v>395</v>
      </c>
      <c r="S112" s="36"/>
      <c r="T112" s="36" t="s">
        <v>203</v>
      </c>
      <c r="U112" s="168">
        <v>0.73809999999999998</v>
      </c>
      <c r="X112" s="202">
        <f t="shared" si="116"/>
        <v>1</v>
      </c>
      <c r="Y112" s="5">
        <f>(AC112-AG3993)/AG112</f>
        <v>1.6153969784635167</v>
      </c>
      <c r="Z112" s="36"/>
      <c r="AA112" s="36"/>
      <c r="AB112" s="36"/>
      <c r="AC112" s="83">
        <v>201.02</v>
      </c>
      <c r="AD112" s="36" t="s">
        <v>2011</v>
      </c>
      <c r="AE112" s="36"/>
      <c r="AF112" s="36"/>
      <c r="AG112" s="83">
        <v>124.44</v>
      </c>
      <c r="AH112" s="36" t="s">
        <v>188</v>
      </c>
      <c r="AI112" s="36"/>
      <c r="AJ112" s="36"/>
      <c r="AK112" s="36" t="s">
        <v>1909</v>
      </c>
      <c r="AN112" s="36">
        <v>0</v>
      </c>
      <c r="AO112" s="5">
        <f>(AS112-AW112)/AW112</f>
        <v>0.34417769800314102</v>
      </c>
      <c r="AP112" s="36"/>
      <c r="AQ112" s="36"/>
      <c r="AR112" s="36"/>
      <c r="AS112" s="83">
        <v>119.82</v>
      </c>
      <c r="AT112" s="36" t="s">
        <v>2011</v>
      </c>
      <c r="AU112" s="36"/>
      <c r="AV112" s="36"/>
      <c r="AW112" s="83">
        <v>89.14</v>
      </c>
      <c r="AX112" s="36" t="s">
        <v>188</v>
      </c>
      <c r="AY112" s="36"/>
      <c r="AZ112" s="36"/>
      <c r="BA112" s="36" t="s">
        <v>37</v>
      </c>
      <c r="BD112" s="2">
        <f t="shared" si="70"/>
        <v>3</v>
      </c>
      <c r="BE112" s="36">
        <f>BI112</f>
        <v>201.02</v>
      </c>
      <c r="BF112" s="36"/>
      <c r="BG112" s="36"/>
      <c r="BH112" s="36"/>
      <c r="BI112" s="83">
        <v>201.02</v>
      </c>
      <c r="BJ112" s="36" t="s">
        <v>2012</v>
      </c>
      <c r="BK112" s="36"/>
      <c r="BL112" s="2">
        <f t="shared" si="71"/>
        <v>3</v>
      </c>
      <c r="BM112" s="36">
        <f>BQ112</f>
        <v>119.82</v>
      </c>
      <c r="BN112" s="36"/>
      <c r="BO112" s="36"/>
      <c r="BP112" s="36"/>
      <c r="BQ112" s="83">
        <v>119.82</v>
      </c>
      <c r="BR112" s="36" t="s">
        <v>2011</v>
      </c>
      <c r="BT112" s="8">
        <f t="shared" si="72"/>
        <v>2</v>
      </c>
      <c r="BU112" s="36">
        <f>BY112</f>
        <v>28</v>
      </c>
      <c r="BV112" s="36"/>
      <c r="BW112" s="36"/>
      <c r="BX112" s="36"/>
      <c r="BY112" s="36">
        <v>28</v>
      </c>
      <c r="BZ112" s="47" t="s">
        <v>2013</v>
      </c>
      <c r="CB112" s="36">
        <v>1</v>
      </c>
      <c r="CC112" s="36" t="str">
        <f>CF112</f>
        <v>一级</v>
      </c>
      <c r="CD112" s="36"/>
      <c r="CE112" s="36"/>
      <c r="CF112" s="36" t="s">
        <v>132</v>
      </c>
      <c r="CG112" s="36" t="s">
        <v>2014</v>
      </c>
      <c r="CH112" s="36" t="s">
        <v>2012</v>
      </c>
      <c r="CJ112" s="36">
        <v>0</v>
      </c>
      <c r="CK112" s="39" t="s">
        <v>1909</v>
      </c>
      <c r="CL112" s="36"/>
      <c r="CM112" s="36"/>
      <c r="CN112" s="36"/>
      <c r="CO112" s="36" t="s">
        <v>1909</v>
      </c>
      <c r="CP112" s="36"/>
      <c r="CQ112" s="36"/>
      <c r="CR112" s="36"/>
      <c r="CS112" s="83">
        <v>201.02</v>
      </c>
      <c r="CT112" s="36" t="s">
        <v>2012</v>
      </c>
      <c r="CV112" s="36">
        <f t="shared" si="133"/>
        <v>0</v>
      </c>
      <c r="CW112" s="36" t="str">
        <f>DA112</f>
        <v>数据缺失</v>
      </c>
      <c r="CX112" s="36"/>
      <c r="CY112" s="36"/>
      <c r="CZ112" s="36"/>
      <c r="DA112" s="36" t="s">
        <v>2015</v>
      </c>
      <c r="DD112" s="36">
        <v>0</v>
      </c>
      <c r="DE112" s="35" t="s">
        <v>2015</v>
      </c>
      <c r="DF112" s="36"/>
      <c r="DG112" s="36"/>
      <c r="DH112" s="36"/>
      <c r="DI112" s="83">
        <v>119.82</v>
      </c>
      <c r="DJ112" s="36" t="s">
        <v>188</v>
      </c>
      <c r="DK112" s="36"/>
      <c r="DL112" s="36"/>
      <c r="DM112" s="35" t="str">
        <f>DA112</f>
        <v>数据缺失</v>
      </c>
      <c r="DP112" s="36">
        <v>5</v>
      </c>
      <c r="DQ112" s="36" t="s">
        <v>37</v>
      </c>
      <c r="DR112" s="36"/>
      <c r="DS112" s="36"/>
      <c r="DT112" s="36"/>
      <c r="DU112" s="41" t="s">
        <v>1909</v>
      </c>
      <c r="DV112" s="36"/>
      <c r="DW112" s="36"/>
      <c r="DX112" s="36"/>
      <c r="DY112" s="41" t="s">
        <v>1909</v>
      </c>
      <c r="DZ112" s="36"/>
      <c r="EA112" s="36"/>
      <c r="EB112" s="36"/>
      <c r="EC112" s="41" t="s">
        <v>37</v>
      </c>
      <c r="ED112" s="36"/>
      <c r="EE112" s="36"/>
      <c r="EF112" s="36"/>
      <c r="EG112" s="41" t="s">
        <v>1909</v>
      </c>
      <c r="EJ112" s="36">
        <f t="shared" ref="EJ112:EJ120" si="134">IF(EK112="数据缺失",0,IF(EK112&lt;0,0,IF(EK112&lt;=5,5,IF(EK112&lt;=20,4,IF(EK112&lt;=50,3,IF(EK112&lt;=100,2,1))))))</f>
        <v>1</v>
      </c>
      <c r="EK112" s="36">
        <f>EO112</f>
        <v>573.19000000000005</v>
      </c>
      <c r="EL112" s="36"/>
      <c r="EM112" s="36"/>
      <c r="EN112" s="36"/>
      <c r="EO112" s="36">
        <v>573.19000000000005</v>
      </c>
      <c r="EP112" s="36" t="s">
        <v>2012</v>
      </c>
      <c r="EQ112" s="36" t="s">
        <v>2016</v>
      </c>
      <c r="ER112" s="36">
        <f>IF(ES112="数据缺失",0,IF(ES112&lt;0,0,IF(ES112&lt;=5,5,IF(ES112&lt;=20,4,IF(ES112&lt;=50,3,IF(ES112&lt;=100,2,1))))))</f>
        <v>4</v>
      </c>
      <c r="ES112" s="36">
        <f>EW112</f>
        <v>14.19</v>
      </c>
      <c r="ET112" s="36"/>
      <c r="EU112" s="36"/>
      <c r="EV112" s="36"/>
      <c r="EW112" s="36">
        <v>14.19</v>
      </c>
      <c r="EX112" s="36" t="s">
        <v>2012</v>
      </c>
      <c r="EZ112" s="36">
        <f t="shared" si="124"/>
        <v>0</v>
      </c>
      <c r="FA112" s="36" t="str">
        <f>FE112</f>
        <v>数据缺失</v>
      </c>
      <c r="FB112" s="36"/>
      <c r="FC112" s="36"/>
      <c r="FD112" s="36"/>
      <c r="FE112" s="36" t="s">
        <v>2015</v>
      </c>
      <c r="FH112" s="36">
        <v>5</v>
      </c>
      <c r="FI112" s="36" t="s">
        <v>1909</v>
      </c>
      <c r="FJ112" s="36"/>
      <c r="FK112" s="36"/>
      <c r="FL112" s="36"/>
      <c r="FM112" s="36" t="s">
        <v>1909</v>
      </c>
      <c r="FN112" s="36"/>
      <c r="FO112" s="36"/>
      <c r="FP112" s="36"/>
      <c r="FQ112" s="36" t="s">
        <v>1909</v>
      </c>
      <c r="FR112" s="36"/>
      <c r="FS112" s="36"/>
      <c r="FT112" s="36"/>
      <c r="FU112" s="36" t="s">
        <v>1909</v>
      </c>
      <c r="FV112" s="36"/>
      <c r="FW112" s="36"/>
      <c r="FX112" s="36"/>
      <c r="FY112" s="36" t="s">
        <v>1909</v>
      </c>
      <c r="GB112" s="39">
        <v>2</v>
      </c>
      <c r="GC112" s="39" t="s">
        <v>2017</v>
      </c>
      <c r="GG112" s="39" t="s">
        <v>2018</v>
      </c>
      <c r="GH112" s="39" t="s">
        <v>2019</v>
      </c>
      <c r="GJ112" s="39">
        <f t="shared" si="120"/>
        <v>4</v>
      </c>
      <c r="GK112" s="43">
        <f t="shared" si="121"/>
        <v>2.1857725571734717E-2</v>
      </c>
      <c r="GN112" s="39">
        <v>1.83</v>
      </c>
      <c r="GO112" s="39" t="s">
        <v>2020</v>
      </c>
      <c r="GP112" s="39" t="s">
        <v>2019</v>
      </c>
      <c r="GS112" s="38">
        <v>83.723258121900002</v>
      </c>
      <c r="GT112" s="36" t="s">
        <v>1917</v>
      </c>
      <c r="GV112" s="36">
        <f t="shared" si="127"/>
        <v>3</v>
      </c>
      <c r="GW112" s="5">
        <f t="shared" ref="GW112:GW117" si="135">HA112/HE112*100%</f>
        <v>0.5044758664007577</v>
      </c>
      <c r="GX112" s="36"/>
      <c r="GY112" s="36"/>
      <c r="GZ112" s="36"/>
      <c r="HA112" s="36">
        <v>314.77</v>
      </c>
      <c r="HB112" s="36" t="s">
        <v>2019</v>
      </c>
      <c r="HC112" s="36"/>
      <c r="HD112" s="36"/>
      <c r="HE112" s="38">
        <v>623.95452580469998</v>
      </c>
      <c r="HF112" s="36" t="s">
        <v>144</v>
      </c>
      <c r="HH112" s="36">
        <f t="shared" si="128"/>
        <v>2</v>
      </c>
      <c r="HI112" s="5">
        <f t="shared" si="129"/>
        <v>0.37179643377554067</v>
      </c>
      <c r="HJ112" s="36"/>
      <c r="HK112" s="36"/>
      <c r="HL112" s="36"/>
      <c r="HM112" s="36">
        <v>12.47</v>
      </c>
      <c r="HN112" s="36" t="s">
        <v>2019</v>
      </c>
      <c r="HO112" s="36"/>
      <c r="HP112" s="36"/>
      <c r="HQ112" s="83">
        <v>33.539859092699999</v>
      </c>
      <c r="HR112" s="36" t="s">
        <v>1917</v>
      </c>
      <c r="HT112" s="36">
        <f t="shared" si="122"/>
        <v>4</v>
      </c>
      <c r="HU112" s="36">
        <f t="shared" si="123"/>
        <v>0</v>
      </c>
      <c r="HV112" s="36"/>
      <c r="HW112" s="36"/>
      <c r="HX112" s="36"/>
      <c r="HY112" s="36">
        <v>0</v>
      </c>
      <c r="HZ112" s="36" t="s">
        <v>2019</v>
      </c>
      <c r="IA112" s="36"/>
      <c r="IB112" s="36"/>
      <c r="IC112" s="36">
        <v>233.6241054585</v>
      </c>
      <c r="ID112" s="36" t="s">
        <v>2021</v>
      </c>
      <c r="IR112" s="202">
        <f t="shared" si="132"/>
        <v>4</v>
      </c>
      <c r="IS112" s="207">
        <f>IW112/JA112</f>
        <v>0.84792396632710043</v>
      </c>
      <c r="IT112" s="36"/>
      <c r="IU112" s="36"/>
      <c r="IV112" s="36"/>
      <c r="IW112" s="36">
        <v>57</v>
      </c>
      <c r="IX112" s="36" t="s">
        <v>1918</v>
      </c>
      <c r="IY112" s="169" t="s">
        <v>2022</v>
      </c>
      <c r="IZ112" s="36"/>
      <c r="JA112" s="38">
        <v>67.223008504999996</v>
      </c>
      <c r="JB112" s="36" t="s">
        <v>1917</v>
      </c>
      <c r="JD112" s="39">
        <f t="shared" si="125"/>
        <v>4</v>
      </c>
      <c r="JE112" s="46">
        <f t="shared" si="126"/>
        <v>0.16757366604725243</v>
      </c>
      <c r="JI112" s="39">
        <v>10.1</v>
      </c>
      <c r="JJ112" s="39" t="s">
        <v>2012</v>
      </c>
      <c r="JM112" s="39">
        <v>0.2</v>
      </c>
      <c r="JN112" s="39" t="s">
        <v>188</v>
      </c>
      <c r="JQ112" s="39">
        <v>389.94</v>
      </c>
      <c r="JR112" s="39" t="s">
        <v>2012</v>
      </c>
      <c r="JU112" s="39">
        <v>212.78</v>
      </c>
      <c r="JV112" s="39" t="s">
        <v>2012</v>
      </c>
      <c r="JX112" s="36">
        <v>2</v>
      </c>
      <c r="JY112" s="36" t="s">
        <v>155</v>
      </c>
      <c r="JZ112" s="36"/>
      <c r="KA112" s="36"/>
      <c r="KB112" s="36">
        <v>4</v>
      </c>
      <c r="KC112" s="36" t="s">
        <v>155</v>
      </c>
      <c r="KD112" s="39" t="s">
        <v>2023</v>
      </c>
      <c r="KF112" s="36">
        <f t="shared" si="130"/>
        <v>4</v>
      </c>
      <c r="KG112" s="5">
        <f t="shared" si="131"/>
        <v>1.3789611780482154</v>
      </c>
      <c r="KH112" s="36"/>
      <c r="KI112" s="36"/>
      <c r="KJ112" s="36"/>
      <c r="KK112" s="38">
        <v>92.697918999999999</v>
      </c>
      <c r="KL112" s="36" t="s">
        <v>2019</v>
      </c>
      <c r="KM112" s="36" t="s">
        <v>2024</v>
      </c>
      <c r="KN112" s="36"/>
      <c r="KO112" s="38">
        <v>67.223008504999996</v>
      </c>
      <c r="KP112" s="36" t="s">
        <v>2021</v>
      </c>
    </row>
    <row r="113" spans="2:302" s="39" customFormat="1" ht="13" hidden="1" x14ac:dyDescent="0.35">
      <c r="B113" s="39" t="s">
        <v>2025</v>
      </c>
      <c r="C113" s="39" t="s">
        <v>2026</v>
      </c>
      <c r="D113" s="39" t="s">
        <v>325</v>
      </c>
      <c r="E113" s="202" t="s">
        <v>172</v>
      </c>
      <c r="F113" s="39" t="s">
        <v>2027</v>
      </c>
      <c r="G113" s="3" t="s">
        <v>174</v>
      </c>
      <c r="H113" s="203">
        <v>0.98960000000000004</v>
      </c>
      <c r="L113" s="204">
        <v>3</v>
      </c>
      <c r="M113" s="202" t="s">
        <v>2028</v>
      </c>
      <c r="N113" s="202"/>
      <c r="O113" s="202"/>
      <c r="P113" s="202" t="s">
        <v>116</v>
      </c>
      <c r="Q113" s="202" t="s">
        <v>2029</v>
      </c>
      <c r="R113" s="39" t="s">
        <v>595</v>
      </c>
      <c r="T113" s="39" t="s">
        <v>203</v>
      </c>
      <c r="U113" s="40">
        <v>0.56520000000000004</v>
      </c>
      <c r="X113" s="39">
        <f t="shared" ref="X113:X123" si="136">IF(Y113="数据缺失",0,IF(Y113&lt;-30%,6,IF(Y113&lt;-10%,5,IF(Y113&lt;0%,4,IF(Y113&lt;10%,3,IF(Y113&lt;30%,2,1))))))</f>
        <v>2</v>
      </c>
      <c r="Y113" s="43">
        <f>((AC113-AG113)/AG113+(AG113-AK113)/AK113)/2*100%</f>
        <v>0.29224567302142357</v>
      </c>
      <c r="AC113" s="39">
        <v>30.82</v>
      </c>
      <c r="AD113" s="39" t="s">
        <v>322</v>
      </c>
      <c r="AG113" s="39">
        <v>32.369999999999997</v>
      </c>
      <c r="AH113" s="39" t="s">
        <v>2030</v>
      </c>
      <c r="AK113" s="39">
        <v>19.829999999999998</v>
      </c>
      <c r="AL113" s="39" t="s">
        <v>322</v>
      </c>
      <c r="AN113" s="39">
        <f t="shared" ref="AN113:AN123" si="137">IF(AO113="数据缺失",0,IF(AO113&lt;-30%,6,IF(AO113&lt;-10%,5,IF(AO113&lt;0%,4,IF(AO113&lt;10%,3,IF(AO113&lt;30%,2,1))))))</f>
        <v>2</v>
      </c>
      <c r="AO113" s="43">
        <f t="shared" ref="AO113:AO123" si="138">((AS113-AW113)/AW113+(AW113-BA113)/BA113)/2*100%</f>
        <v>0.19669428575092501</v>
      </c>
      <c r="AS113" s="39">
        <v>26.53</v>
      </c>
      <c r="AT113" s="39" t="s">
        <v>322</v>
      </c>
      <c r="AW113" s="39">
        <v>30.96</v>
      </c>
      <c r="AX113" s="39" t="s">
        <v>322</v>
      </c>
      <c r="BA113" s="39">
        <v>20.149999999999999</v>
      </c>
      <c r="BB113" s="39" t="s">
        <v>322</v>
      </c>
      <c r="BD113" s="2">
        <f t="shared" si="70"/>
        <v>5</v>
      </c>
      <c r="BE113" s="39">
        <f>BI113</f>
        <v>30.82</v>
      </c>
      <c r="BI113" s="39">
        <f t="shared" ref="BI113:BI118" si="139">AC113</f>
        <v>30.82</v>
      </c>
      <c r="BJ113" s="39" t="s">
        <v>2030</v>
      </c>
      <c r="BL113" s="2">
        <f t="shared" si="71"/>
        <v>5</v>
      </c>
      <c r="BM113" s="39">
        <f>BQ113</f>
        <v>26.53</v>
      </c>
      <c r="BQ113" s="39">
        <f t="shared" ref="BQ113:BQ118" si="140">AS113</f>
        <v>26.53</v>
      </c>
      <c r="BR113" s="39" t="s">
        <v>322</v>
      </c>
      <c r="BT113" s="8">
        <f t="shared" si="72"/>
        <v>3</v>
      </c>
      <c r="BU113" s="202">
        <v>259</v>
      </c>
      <c r="BV113" s="202"/>
      <c r="BW113" s="202"/>
      <c r="BX113" s="202"/>
      <c r="BY113" s="202">
        <v>259</v>
      </c>
      <c r="BZ113" s="201" t="s">
        <v>131</v>
      </c>
      <c r="CB113" s="202">
        <v>1</v>
      </c>
      <c r="CC113" s="202" t="s">
        <v>1976</v>
      </c>
      <c r="CD113" s="202"/>
      <c r="CE113" s="202"/>
      <c r="CF113" s="202" t="s">
        <v>1976</v>
      </c>
      <c r="CG113" s="202" t="s">
        <v>2031</v>
      </c>
      <c r="CH113" s="201" t="s">
        <v>699</v>
      </c>
      <c r="CJ113" s="39">
        <v>0</v>
      </c>
      <c r="CK113" s="39" t="s">
        <v>1909</v>
      </c>
      <c r="CO113" s="39" t="s">
        <v>1909</v>
      </c>
      <c r="CS113" s="39">
        <f>AC113</f>
        <v>30.82</v>
      </c>
      <c r="CT113" s="39" t="s">
        <v>322</v>
      </c>
      <c r="CV113" s="206">
        <f t="shared" si="133"/>
        <v>4</v>
      </c>
      <c r="CW113" s="205">
        <f>DA113</f>
        <v>105.37</v>
      </c>
      <c r="CX113" s="202"/>
      <c r="CY113" s="202"/>
      <c r="CZ113" s="202"/>
      <c r="DA113" s="205">
        <v>105.37</v>
      </c>
      <c r="DB113" s="202" t="s">
        <v>2030</v>
      </c>
      <c r="DD113" s="202">
        <f>IF(DE113="数据缺失",0,IF(DE113&lt;0,0,IF(DE113&lt;2,3,IF(DE113&lt;=5,1,2))))</f>
        <v>1</v>
      </c>
      <c r="DE113" s="211">
        <f>DM113/DI113</f>
        <v>3.9717301168488506</v>
      </c>
      <c r="DF113" s="202"/>
      <c r="DG113" s="202"/>
      <c r="DH113" s="202"/>
      <c r="DI113" s="205">
        <v>26.53</v>
      </c>
      <c r="DJ113" s="202" t="s">
        <v>322</v>
      </c>
      <c r="DK113" s="202"/>
      <c r="DL113" s="202"/>
      <c r="DM113" s="205">
        <v>105.37</v>
      </c>
      <c r="DN113" s="202" t="s">
        <v>2030</v>
      </c>
      <c r="DP113" s="39">
        <v>3</v>
      </c>
      <c r="DQ113" s="39" t="s">
        <v>2032</v>
      </c>
      <c r="DU113" s="203">
        <v>0</v>
      </c>
      <c r="DV113" s="202" t="s">
        <v>322</v>
      </c>
      <c r="DW113" s="202"/>
      <c r="DX113" s="202"/>
      <c r="DY113" s="203">
        <v>1</v>
      </c>
      <c r="DZ113" s="202" t="s">
        <v>2030</v>
      </c>
      <c r="EA113" s="202"/>
      <c r="EB113" s="202"/>
      <c r="EC113" s="203">
        <v>0</v>
      </c>
      <c r="ED113" s="202" t="s">
        <v>2030</v>
      </c>
      <c r="EE113" s="202"/>
      <c r="EF113" s="202"/>
      <c r="EG113" s="203">
        <v>0</v>
      </c>
      <c r="EH113" s="202" t="s">
        <v>2030</v>
      </c>
      <c r="EJ113" s="39">
        <f t="shared" si="134"/>
        <v>1</v>
      </c>
      <c r="EK113" s="39">
        <f>EO113</f>
        <v>125</v>
      </c>
      <c r="EO113" s="39">
        <v>125</v>
      </c>
      <c r="EP113" s="39" t="s">
        <v>322</v>
      </c>
      <c r="ER113" s="39">
        <f>IF(ES113="数据缺失",0,IF(ES113&lt;0,0,IF(ES113&lt;=5,5,IF(ES113&lt;=20,4,IF(ES113&lt;=50,3,IF(ES113&lt;=100,2,1))))))</f>
        <v>2</v>
      </c>
      <c r="ES113" s="39">
        <f>EW113</f>
        <v>53.43</v>
      </c>
      <c r="EW113" s="39">
        <v>53.43</v>
      </c>
      <c r="EX113" s="39" t="s">
        <v>2030</v>
      </c>
      <c r="EZ113" s="202">
        <f t="shared" si="124"/>
        <v>1</v>
      </c>
      <c r="FA113" s="205">
        <f>FE113</f>
        <v>425.11</v>
      </c>
      <c r="FB113" s="202"/>
      <c r="FC113" s="202"/>
      <c r="FD113" s="202"/>
      <c r="FE113" s="205">
        <v>425.11</v>
      </c>
      <c r="FF113" s="202" t="s">
        <v>322</v>
      </c>
      <c r="FH113" s="39">
        <v>3</v>
      </c>
      <c r="FI113" s="39" t="s">
        <v>2033</v>
      </c>
      <c r="FM113" s="39">
        <v>0</v>
      </c>
      <c r="FN113" s="39" t="s">
        <v>2030</v>
      </c>
      <c r="FQ113" s="40">
        <v>0.88245395309449315</v>
      </c>
      <c r="FR113" s="39" t="s">
        <v>2030</v>
      </c>
      <c r="FU113" s="40">
        <v>0.11754604690550681</v>
      </c>
      <c r="FV113" s="39" t="s">
        <v>2030</v>
      </c>
      <c r="FY113" s="39">
        <v>0</v>
      </c>
      <c r="FZ113" s="39" t="s">
        <v>2030</v>
      </c>
      <c r="GB113" s="202">
        <v>2</v>
      </c>
      <c r="GC113" s="202" t="s">
        <v>2034</v>
      </c>
      <c r="GD113" s="202"/>
      <c r="GE113" s="202"/>
      <c r="GF113" s="202"/>
      <c r="GG113" s="202" t="s">
        <v>2035</v>
      </c>
      <c r="GH113" s="202" t="s">
        <v>1985</v>
      </c>
      <c r="GJ113" s="39">
        <f t="shared" si="120"/>
        <v>4</v>
      </c>
      <c r="GK113" s="43">
        <f t="shared" si="121"/>
        <v>3.3618700838340912E-2</v>
      </c>
      <c r="GN113" s="39">
        <v>1</v>
      </c>
      <c r="GO113" s="39" t="s">
        <v>2036</v>
      </c>
      <c r="GP113" s="39" t="s">
        <v>2030</v>
      </c>
      <c r="GS113" s="69">
        <v>29.745349316399999</v>
      </c>
      <c r="GT113" s="39" t="s">
        <v>1917</v>
      </c>
      <c r="GV113" s="39">
        <f t="shared" si="127"/>
        <v>2</v>
      </c>
      <c r="GW113" s="43">
        <f t="shared" si="135"/>
        <v>0.25142710977740973</v>
      </c>
      <c r="HA113" s="39">
        <v>43.61</v>
      </c>
      <c r="HB113" s="39" t="s">
        <v>1985</v>
      </c>
      <c r="HE113" s="69">
        <v>173.4498719673</v>
      </c>
      <c r="HF113" s="39" t="s">
        <v>1917</v>
      </c>
      <c r="HH113" s="39">
        <f t="shared" si="128"/>
        <v>1</v>
      </c>
      <c r="HI113" s="43">
        <f t="shared" si="129"/>
        <v>1.6028438205946901E-2</v>
      </c>
      <c r="HM113" s="39">
        <v>0.31</v>
      </c>
      <c r="HN113" s="39" t="s">
        <v>146</v>
      </c>
      <c r="HQ113" s="78">
        <v>19.3406242091</v>
      </c>
      <c r="HR113" s="39" t="s">
        <v>144</v>
      </c>
      <c r="HT113" s="39">
        <f t="shared" si="122"/>
        <v>4</v>
      </c>
      <c r="HU113" s="39">
        <f t="shared" si="123"/>
        <v>0</v>
      </c>
      <c r="HY113" s="39">
        <v>0</v>
      </c>
      <c r="HZ113" s="39" t="s">
        <v>1972</v>
      </c>
      <c r="IC113" s="69">
        <v>37.299399999999999</v>
      </c>
      <c r="ID113" s="39" t="s">
        <v>144</v>
      </c>
      <c r="IR113" s="39">
        <f t="shared" si="132"/>
        <v>0</v>
      </c>
      <c r="IS113" s="202" t="s">
        <v>2037</v>
      </c>
      <c r="IT113" s="202"/>
      <c r="IU113" s="202"/>
      <c r="IV113" s="202"/>
      <c r="IW113" s="205" t="s">
        <v>1909</v>
      </c>
      <c r="JA113" s="69">
        <v>27.377191046799997</v>
      </c>
      <c r="JB113" s="39" t="s">
        <v>1917</v>
      </c>
      <c r="JD113" s="39">
        <f t="shared" si="125"/>
        <v>4</v>
      </c>
      <c r="JE113" s="46">
        <f t="shared" si="126"/>
        <v>8.8272201468318642E-2</v>
      </c>
      <c r="JI113" s="39">
        <v>3.06</v>
      </c>
      <c r="JJ113" s="39" t="s">
        <v>322</v>
      </c>
      <c r="JM113" s="39">
        <v>0.41</v>
      </c>
      <c r="JN113" s="39" t="s">
        <v>2030</v>
      </c>
      <c r="JQ113" s="39">
        <v>98.01</v>
      </c>
      <c r="JR113" s="39" t="s">
        <v>2030</v>
      </c>
      <c r="JU113" s="39">
        <v>71.09</v>
      </c>
      <c r="JV113" s="39" t="s">
        <v>2030</v>
      </c>
      <c r="JX113" s="39">
        <v>2</v>
      </c>
      <c r="JY113" s="39" t="s">
        <v>2038</v>
      </c>
      <c r="KB113" s="39">
        <v>30</v>
      </c>
      <c r="KC113" s="39" t="s">
        <v>2038</v>
      </c>
      <c r="KD113" s="39" t="s">
        <v>146</v>
      </c>
      <c r="KF113" s="202">
        <f t="shared" si="130"/>
        <v>3</v>
      </c>
      <c r="KG113" s="207">
        <f t="shared" si="131"/>
        <v>0.66858524560500787</v>
      </c>
      <c r="KH113" s="202"/>
      <c r="KI113" s="202"/>
      <c r="KJ113" s="202"/>
      <c r="KK113" s="205">
        <v>18.303985999999998</v>
      </c>
      <c r="KL113" s="202" t="s">
        <v>1985</v>
      </c>
      <c r="KM113" s="36" t="s">
        <v>2039</v>
      </c>
      <c r="KN113" s="202"/>
      <c r="KO113" s="69">
        <v>27.377191046799997</v>
      </c>
      <c r="KP113" s="39" t="s">
        <v>1917</v>
      </c>
    </row>
    <row r="114" spans="2:302" s="39" customFormat="1" ht="13" hidden="1" x14ac:dyDescent="0.35">
      <c r="B114" s="39" t="s">
        <v>2040</v>
      </c>
      <c r="C114" s="39" t="s">
        <v>1947</v>
      </c>
      <c r="D114" s="39" t="s">
        <v>2041</v>
      </c>
      <c r="E114" s="202" t="s">
        <v>1948</v>
      </c>
      <c r="F114" s="39" t="s">
        <v>2042</v>
      </c>
      <c r="G114" s="3" t="s">
        <v>199</v>
      </c>
      <c r="H114" s="40">
        <f>24.11/35.1</f>
        <v>0.68689458689458682</v>
      </c>
      <c r="L114" s="158">
        <v>3</v>
      </c>
      <c r="M114" s="107" t="s">
        <v>2043</v>
      </c>
      <c r="N114" s="107"/>
      <c r="O114" s="107"/>
      <c r="P114" s="107" t="s">
        <v>603</v>
      </c>
      <c r="Q114" s="217" t="s">
        <v>2044</v>
      </c>
      <c r="R114" s="107" t="s">
        <v>2045</v>
      </c>
      <c r="S114" s="107"/>
      <c r="T114" s="39" t="s">
        <v>709</v>
      </c>
      <c r="U114" s="179">
        <v>1</v>
      </c>
      <c r="X114" s="39">
        <f t="shared" si="136"/>
        <v>5</v>
      </c>
      <c r="Y114" s="43">
        <f>((AC114-AG114)/AG114+(AG114-AK114)/AK114)/2*100%</f>
        <v>-0.13921568627450981</v>
      </c>
      <c r="AC114" s="39">
        <v>10</v>
      </c>
      <c r="AD114" s="39" t="s">
        <v>2045</v>
      </c>
      <c r="AG114" s="39">
        <v>17</v>
      </c>
      <c r="AH114" s="39" t="s">
        <v>2045</v>
      </c>
      <c r="AK114" s="39">
        <v>15</v>
      </c>
      <c r="AL114" s="39" t="s">
        <v>2046</v>
      </c>
      <c r="AN114" s="39">
        <f t="shared" si="137"/>
        <v>5</v>
      </c>
      <c r="AO114" s="43">
        <f t="shared" si="138"/>
        <v>-0.17801857585139319</v>
      </c>
      <c r="AS114" s="39">
        <v>10</v>
      </c>
      <c r="AT114" s="39" t="s">
        <v>2045</v>
      </c>
      <c r="AW114" s="39">
        <v>19</v>
      </c>
      <c r="AX114" s="39" t="s">
        <v>2047</v>
      </c>
      <c r="BA114" s="39">
        <v>17</v>
      </c>
      <c r="BB114" s="39" t="s">
        <v>2046</v>
      </c>
      <c r="BD114" s="2">
        <f t="shared" si="70"/>
        <v>5</v>
      </c>
      <c r="BE114" s="39">
        <f>BI114</f>
        <v>10</v>
      </c>
      <c r="BI114" s="39">
        <f t="shared" si="139"/>
        <v>10</v>
      </c>
      <c r="BJ114" s="39" t="s">
        <v>2047</v>
      </c>
      <c r="BL114" s="2">
        <f t="shared" si="71"/>
        <v>5</v>
      </c>
      <c r="BM114" s="39">
        <f>BQ114</f>
        <v>10</v>
      </c>
      <c r="BQ114" s="39">
        <f t="shared" si="140"/>
        <v>10</v>
      </c>
      <c r="BR114" s="39" t="s">
        <v>2047</v>
      </c>
      <c r="BT114" s="8">
        <f t="shared" si="72"/>
        <v>5</v>
      </c>
      <c r="BU114" s="39" t="s">
        <v>2048</v>
      </c>
      <c r="BY114" s="39" t="s">
        <v>2048</v>
      </c>
      <c r="BZ114" s="39" t="s">
        <v>398</v>
      </c>
      <c r="CB114" s="39">
        <v>0</v>
      </c>
      <c r="CC114" s="39" t="s">
        <v>37</v>
      </c>
      <c r="CF114" s="39" t="s">
        <v>37</v>
      </c>
      <c r="CG114" s="202" t="s">
        <v>1192</v>
      </c>
      <c r="CJ114" s="39">
        <v>0</v>
      </c>
      <c r="CK114" s="39" t="s">
        <v>37</v>
      </c>
      <c r="CO114" s="39" t="s">
        <v>37</v>
      </c>
      <c r="CS114" s="39">
        <f>AC114</f>
        <v>10</v>
      </c>
      <c r="CT114" s="39" t="s">
        <v>2045</v>
      </c>
      <c r="CV114" s="206">
        <f t="shared" si="133"/>
        <v>5</v>
      </c>
      <c r="CW114" s="205">
        <f>DA114</f>
        <v>76.900000000000006</v>
      </c>
      <c r="CX114" s="202"/>
      <c r="CY114" s="202"/>
      <c r="CZ114" s="202"/>
      <c r="DA114" s="205">
        <v>76.900000000000006</v>
      </c>
      <c r="DB114" s="202" t="s">
        <v>2045</v>
      </c>
      <c r="DD114" s="202">
        <f>IF(DE114="数据缺失",0,IF(DE114&lt;0,0,IF(DE114&lt;2,3,IF(DE114&lt;=5,1,2))))</f>
        <v>2</v>
      </c>
      <c r="DE114" s="211">
        <f>DM114/DI114</f>
        <v>7.69</v>
      </c>
      <c r="DF114" s="202"/>
      <c r="DG114" s="202"/>
      <c r="DH114" s="202"/>
      <c r="DI114" s="205">
        <v>10</v>
      </c>
      <c r="DJ114" s="202" t="s">
        <v>2047</v>
      </c>
      <c r="DK114" s="202"/>
      <c r="DL114" s="202"/>
      <c r="DM114" s="205">
        <v>76.900000000000006</v>
      </c>
      <c r="DN114" s="202" t="s">
        <v>2047</v>
      </c>
      <c r="DP114" s="202">
        <v>3</v>
      </c>
      <c r="DQ114" s="202" t="s">
        <v>2049</v>
      </c>
      <c r="DR114" s="202"/>
      <c r="DS114" s="202"/>
      <c r="DT114" s="202"/>
      <c r="DU114" s="203">
        <v>0</v>
      </c>
      <c r="DV114" s="202" t="s">
        <v>2045</v>
      </c>
      <c r="DW114" s="202"/>
      <c r="DX114" s="202"/>
      <c r="DY114" s="203">
        <v>0.53790000000000004</v>
      </c>
      <c r="DZ114" s="202" t="s">
        <v>2047</v>
      </c>
      <c r="EA114" s="202"/>
      <c r="EB114" s="202"/>
      <c r="EC114" s="203">
        <v>0.19950000000000001</v>
      </c>
      <c r="ED114" s="202" t="s">
        <v>2047</v>
      </c>
      <c r="EE114" s="202"/>
      <c r="EF114" s="202"/>
      <c r="EG114" s="203">
        <v>0.2626</v>
      </c>
      <c r="EH114" s="202" t="s">
        <v>2047</v>
      </c>
      <c r="EJ114" s="39">
        <f t="shared" si="134"/>
        <v>3</v>
      </c>
      <c r="EK114" s="39">
        <f>EO114</f>
        <v>22</v>
      </c>
      <c r="EO114" s="39">
        <v>22</v>
      </c>
      <c r="EP114" s="39" t="s">
        <v>2047</v>
      </c>
      <c r="ER114" s="39">
        <f>IF(ES114="数据缺失",0,IF(ES114&lt;0,0,IF(ES114&lt;=5,5,IF(ES114&lt;=20,4,IF(ES114&lt;=50,3,IF(ES114&lt;=100,2,1))))))</f>
        <v>4</v>
      </c>
      <c r="ES114" s="39">
        <f>EW114</f>
        <v>20</v>
      </c>
      <c r="EW114" s="39">
        <v>20</v>
      </c>
      <c r="EX114" s="39" t="s">
        <v>2045</v>
      </c>
      <c r="EZ114" s="202">
        <f t="shared" si="124"/>
        <v>1</v>
      </c>
      <c r="FA114" s="205">
        <f>FE114</f>
        <v>254.0514</v>
      </c>
      <c r="FB114" s="202"/>
      <c r="FC114" s="202"/>
      <c r="FD114" s="202"/>
      <c r="FE114" s="205">
        <v>254.0514</v>
      </c>
      <c r="FF114" s="202" t="s">
        <v>2045</v>
      </c>
      <c r="FG114" s="202"/>
      <c r="FH114" s="202">
        <v>3</v>
      </c>
      <c r="FI114" s="202" t="s">
        <v>2050</v>
      </c>
      <c r="FJ114" s="202"/>
      <c r="FK114" s="202"/>
      <c r="FL114" s="202"/>
      <c r="FM114" s="203">
        <v>0</v>
      </c>
      <c r="FN114" s="202" t="s">
        <v>2045</v>
      </c>
      <c r="FO114" s="202"/>
      <c r="FP114" s="202"/>
      <c r="FQ114" s="203">
        <v>0.64370000000000005</v>
      </c>
      <c r="FR114" s="202" t="s">
        <v>2045</v>
      </c>
      <c r="FS114" s="202"/>
      <c r="FT114" s="202"/>
      <c r="FU114" s="203">
        <v>0.27300000000000002</v>
      </c>
      <c r="FV114" s="202" t="s">
        <v>2047</v>
      </c>
      <c r="FW114" s="202"/>
      <c r="FX114" s="202"/>
      <c r="FY114" s="203">
        <v>8.3299999999999999E-2</v>
      </c>
      <c r="FZ114" s="202" t="s">
        <v>2045</v>
      </c>
      <c r="GB114" s="202">
        <v>1</v>
      </c>
      <c r="GC114" s="202" t="s">
        <v>2051</v>
      </c>
      <c r="GD114" s="202"/>
      <c r="GE114" s="202"/>
      <c r="GF114" s="202"/>
      <c r="GG114" s="202" t="s">
        <v>2052</v>
      </c>
      <c r="GH114" s="202" t="s">
        <v>2053</v>
      </c>
      <c r="GJ114" s="202">
        <v>0</v>
      </c>
      <c r="GK114" s="202">
        <v>0</v>
      </c>
      <c r="GL114" s="202"/>
      <c r="GM114" s="202"/>
      <c r="GN114" s="202">
        <v>0</v>
      </c>
      <c r="GO114" s="202" t="s">
        <v>921</v>
      </c>
      <c r="GP114" s="202" t="s">
        <v>395</v>
      </c>
      <c r="GS114" s="69">
        <v>35.096808856800003</v>
      </c>
      <c r="GT114" s="39" t="s">
        <v>144</v>
      </c>
      <c r="GV114" s="202">
        <f t="shared" si="127"/>
        <v>1</v>
      </c>
      <c r="GW114" s="207">
        <f t="shared" si="135"/>
        <v>0.14967818153628878</v>
      </c>
      <c r="HA114" s="39">
        <f>70.69+10.42+4.55+0.33</f>
        <v>85.99</v>
      </c>
      <c r="HB114" s="39" t="s">
        <v>2045</v>
      </c>
      <c r="HE114" s="69">
        <v>574.49922973010007</v>
      </c>
      <c r="HF114" s="39" t="s">
        <v>2054</v>
      </c>
      <c r="HH114" s="202">
        <f t="shared" si="128"/>
        <v>1</v>
      </c>
      <c r="HI114" s="207">
        <f t="shared" si="129"/>
        <v>0</v>
      </c>
      <c r="HJ114" s="202"/>
      <c r="HK114" s="202"/>
      <c r="HL114" s="202"/>
      <c r="HM114" s="205">
        <v>0</v>
      </c>
      <c r="HN114" s="202" t="s">
        <v>2045</v>
      </c>
      <c r="HQ114" s="78">
        <v>126.51892435200001</v>
      </c>
      <c r="HR114" s="39" t="s">
        <v>2054</v>
      </c>
      <c r="HT114" s="39">
        <f t="shared" si="122"/>
        <v>2</v>
      </c>
      <c r="HU114" s="203">
        <f t="shared" si="123"/>
        <v>0.24370696471079464</v>
      </c>
      <c r="HY114" s="39">
        <v>39.9</v>
      </c>
      <c r="HZ114" s="39" t="s">
        <v>2053</v>
      </c>
      <c r="IC114" s="69">
        <v>163.72121349649998</v>
      </c>
      <c r="ID114" s="39" t="s">
        <v>2054</v>
      </c>
      <c r="IR114" s="39">
        <f t="shared" si="132"/>
        <v>0</v>
      </c>
      <c r="IS114" s="39" t="s">
        <v>2037</v>
      </c>
      <c r="IW114" s="39" t="s">
        <v>2037</v>
      </c>
      <c r="JA114" s="69">
        <v>42.141683018599998</v>
      </c>
      <c r="JB114" s="39" t="s">
        <v>2054</v>
      </c>
      <c r="JD114" s="39">
        <f t="shared" si="125"/>
        <v>4</v>
      </c>
      <c r="JE114" s="46">
        <f t="shared" si="126"/>
        <v>9.1931418225520728E-2</v>
      </c>
      <c r="JI114" s="39">
        <v>11.78</v>
      </c>
      <c r="JJ114" s="39" t="s">
        <v>2045</v>
      </c>
      <c r="JM114" s="39">
        <v>0.33</v>
      </c>
      <c r="JN114" s="39" t="s">
        <v>2045</v>
      </c>
      <c r="JQ114" s="39">
        <v>427.95</v>
      </c>
      <c r="JR114" s="39" t="s">
        <v>2045</v>
      </c>
      <c r="JU114" s="39">
        <v>348.65</v>
      </c>
      <c r="JV114" s="39" t="s">
        <v>2045</v>
      </c>
      <c r="JX114" s="39">
        <v>2</v>
      </c>
      <c r="JY114" s="39" t="s">
        <v>2055</v>
      </c>
      <c r="KB114" s="39">
        <v>18</v>
      </c>
      <c r="KC114" s="39" t="s">
        <v>2055</v>
      </c>
      <c r="KD114" s="39" t="s">
        <v>2053</v>
      </c>
      <c r="KF114" s="39">
        <f t="shared" si="130"/>
        <v>1</v>
      </c>
      <c r="KG114" s="43">
        <f t="shared" si="131"/>
        <v>8.7087172061452278E-2</v>
      </c>
      <c r="KK114" s="39">
        <v>3.67</v>
      </c>
      <c r="KL114" s="39" t="s">
        <v>2053</v>
      </c>
      <c r="KO114" s="69">
        <v>42.141683018599998</v>
      </c>
      <c r="KP114" s="39" t="s">
        <v>2054</v>
      </c>
    </row>
    <row r="115" spans="2:302" s="202" customFormat="1" ht="15" hidden="1" customHeight="1" x14ac:dyDescent="0.35">
      <c r="B115" s="39" t="s">
        <v>2056</v>
      </c>
      <c r="C115" s="39" t="s">
        <v>2057</v>
      </c>
      <c r="D115" s="39" t="s">
        <v>2058</v>
      </c>
      <c r="E115" s="202" t="s">
        <v>2059</v>
      </c>
      <c r="F115" s="39" t="s">
        <v>2060</v>
      </c>
      <c r="G115" s="3" t="s">
        <v>174</v>
      </c>
      <c r="H115" s="40">
        <v>0.98819999999999997</v>
      </c>
      <c r="I115" s="218"/>
      <c r="L115" s="42">
        <v>4</v>
      </c>
      <c r="M115" s="39" t="s">
        <v>2061</v>
      </c>
      <c r="N115" s="39"/>
      <c r="O115" s="39"/>
      <c r="P115" s="39" t="s">
        <v>2062</v>
      </c>
      <c r="Q115" s="39" t="s">
        <v>2063</v>
      </c>
      <c r="R115" s="39" t="s">
        <v>2064</v>
      </c>
      <c r="S115" s="39"/>
      <c r="T115" s="39" t="s">
        <v>2065</v>
      </c>
      <c r="U115" s="40">
        <v>0.35720000000000002</v>
      </c>
      <c r="X115" s="39">
        <f t="shared" si="136"/>
        <v>4</v>
      </c>
      <c r="Y115" s="43">
        <f>((AC115-AG115)/AG115+(AG115-AK115)/AK115)/2*100%</f>
        <v>-4.2524644030668135E-2</v>
      </c>
      <c r="Z115" s="39"/>
      <c r="AA115" s="39"/>
      <c r="AB115" s="39"/>
      <c r="AC115" s="39">
        <v>19.5</v>
      </c>
      <c r="AD115" s="39" t="s">
        <v>2064</v>
      </c>
      <c r="AE115" s="39"/>
      <c r="AF115" s="39"/>
      <c r="AG115" s="39">
        <v>24.9</v>
      </c>
      <c r="AH115" s="39" t="s">
        <v>2066</v>
      </c>
      <c r="AI115" s="39"/>
      <c r="AJ115" s="39"/>
      <c r="AK115" s="39">
        <v>22</v>
      </c>
      <c r="AL115" s="39" t="s">
        <v>2064</v>
      </c>
      <c r="AN115" s="39">
        <f t="shared" si="137"/>
        <v>4</v>
      </c>
      <c r="AO115" s="43">
        <f t="shared" si="138"/>
        <v>-1.7070265978562892E-2</v>
      </c>
      <c r="AP115" s="39"/>
      <c r="AQ115" s="39"/>
      <c r="AR115" s="39"/>
      <c r="AS115" s="39">
        <v>22</v>
      </c>
      <c r="AT115" s="39" t="s">
        <v>2064</v>
      </c>
      <c r="AU115" s="39"/>
      <c r="AV115" s="39"/>
      <c r="AW115" s="39">
        <v>24.2</v>
      </c>
      <c r="AX115" s="39" t="s">
        <v>2064</v>
      </c>
      <c r="AY115" s="39"/>
      <c r="AZ115" s="39"/>
      <c r="BA115" s="39">
        <v>22.9</v>
      </c>
      <c r="BB115" s="39" t="s">
        <v>2067</v>
      </c>
      <c r="BD115" s="2">
        <f t="shared" si="70"/>
        <v>5</v>
      </c>
      <c r="BE115" s="39">
        <f>BI115</f>
        <v>19.5</v>
      </c>
      <c r="BF115" s="39"/>
      <c r="BG115" s="39"/>
      <c r="BH115" s="39"/>
      <c r="BI115" s="39">
        <f t="shared" si="139"/>
        <v>19.5</v>
      </c>
      <c r="BJ115" s="39" t="s">
        <v>2064</v>
      </c>
      <c r="BK115" s="39"/>
      <c r="BL115" s="2">
        <f t="shared" si="71"/>
        <v>5</v>
      </c>
      <c r="BM115" s="39">
        <f>BQ115</f>
        <v>22</v>
      </c>
      <c r="BN115" s="39"/>
      <c r="BO115" s="39"/>
      <c r="BP115" s="39"/>
      <c r="BQ115" s="39">
        <f t="shared" si="140"/>
        <v>22</v>
      </c>
      <c r="BR115" s="39" t="s">
        <v>2064</v>
      </c>
      <c r="BT115" s="8">
        <f t="shared" si="72"/>
        <v>5</v>
      </c>
      <c r="BU115" s="39" t="s">
        <v>2068</v>
      </c>
      <c r="BV115" s="39"/>
      <c r="BW115" s="39"/>
      <c r="BX115" s="39"/>
      <c r="BY115" s="39" t="s">
        <v>2068</v>
      </c>
      <c r="BZ115" s="76" t="s">
        <v>2069</v>
      </c>
      <c r="CB115" s="39">
        <v>0</v>
      </c>
      <c r="CC115" s="39" t="s">
        <v>1931</v>
      </c>
      <c r="CD115" s="39"/>
      <c r="CE115" s="39"/>
      <c r="CF115" s="39" t="s">
        <v>1931</v>
      </c>
      <c r="CG115" s="39" t="s">
        <v>1931</v>
      </c>
      <c r="CJ115" s="202">
        <f>IF(CK115="数据缺失",0,IF(CK115&lt;0,0,IF(CK115&lt;2,2,IF(CK115&lt;=5,1,3))))</f>
        <v>2</v>
      </c>
      <c r="CK115" s="211">
        <f>CO115/CS115</f>
        <v>0.20860512820512822</v>
      </c>
      <c r="CO115" s="205">
        <v>4.0678000000000001</v>
      </c>
      <c r="CP115" s="202" t="s">
        <v>2064</v>
      </c>
      <c r="CS115" s="205">
        <v>19.5</v>
      </c>
      <c r="CT115" s="202" t="s">
        <v>2064</v>
      </c>
      <c r="CV115" s="39">
        <f t="shared" si="133"/>
        <v>0</v>
      </c>
      <c r="CW115" s="39" t="s">
        <v>1931</v>
      </c>
      <c r="CX115" s="39"/>
      <c r="CY115" s="39"/>
      <c r="CZ115" s="39"/>
      <c r="DA115" s="39" t="s">
        <v>1931</v>
      </c>
      <c r="DD115" s="39">
        <f>IF(DE115="数据缺失",0,IF(DE115&lt;0,0,IF(DE115&lt;2,3,IF(DE115&lt;=5,1,2))))</f>
        <v>0</v>
      </c>
      <c r="DE115" s="118" t="s">
        <v>1931</v>
      </c>
      <c r="DF115" s="39"/>
      <c r="DG115" s="39"/>
      <c r="DH115" s="39"/>
      <c r="DI115" s="39">
        <f>AS115</f>
        <v>22</v>
      </c>
      <c r="DJ115" s="39" t="s">
        <v>2064</v>
      </c>
      <c r="DK115" s="39"/>
      <c r="DL115" s="39"/>
      <c r="DM115" s="118" t="s">
        <v>1931</v>
      </c>
      <c r="DP115" s="202">
        <v>4</v>
      </c>
      <c r="DQ115" s="202" t="s">
        <v>2070</v>
      </c>
      <c r="DR115" s="39" t="s">
        <v>2064</v>
      </c>
      <c r="DS115" s="202" t="s">
        <v>2071</v>
      </c>
      <c r="DU115" s="41" t="s">
        <v>1931</v>
      </c>
      <c r="DV115" s="36"/>
      <c r="DW115" s="36"/>
      <c r="DX115" s="36"/>
      <c r="DY115" s="41" t="s">
        <v>37</v>
      </c>
      <c r="DZ115" s="36"/>
      <c r="EA115" s="36"/>
      <c r="EB115" s="36"/>
      <c r="EC115" s="41" t="s">
        <v>1931</v>
      </c>
      <c r="ED115" s="36"/>
      <c r="EE115" s="36"/>
      <c r="EF115" s="36"/>
      <c r="EG115" s="41" t="s">
        <v>1931</v>
      </c>
      <c r="EJ115" s="39">
        <f t="shared" si="134"/>
        <v>4</v>
      </c>
      <c r="EK115" s="39">
        <f>EO115</f>
        <v>11.5</v>
      </c>
      <c r="EL115" s="39"/>
      <c r="EM115" s="39"/>
      <c r="EN115" s="39"/>
      <c r="EO115" s="39">
        <v>11.5</v>
      </c>
      <c r="EP115" s="39" t="s">
        <v>2064</v>
      </c>
      <c r="EQ115" s="39"/>
      <c r="ER115" s="39">
        <f t="shared" ref="ER115:ER120" si="141">IF(ES115="数据缺失",0,IF(ES115&lt;0,0,IF(ES115&lt;=5,5,IF(ES115&lt;=20,4,IF(ES115&lt;=50,3,IF(ES115&lt;=100,2,1))))))</f>
        <v>3</v>
      </c>
      <c r="ES115" s="39">
        <f>EW115</f>
        <v>28.2</v>
      </c>
      <c r="ET115" s="39"/>
      <c r="EU115" s="39"/>
      <c r="EV115" s="39"/>
      <c r="EW115" s="39">
        <v>28.2</v>
      </c>
      <c r="EX115" s="39" t="s">
        <v>2064</v>
      </c>
      <c r="EZ115" s="202">
        <f t="shared" si="124"/>
        <v>3</v>
      </c>
      <c r="FA115" s="205">
        <f>FE115</f>
        <v>58.26</v>
      </c>
      <c r="FE115" s="205">
        <v>58.26</v>
      </c>
      <c r="FF115" s="202" t="s">
        <v>2064</v>
      </c>
      <c r="FG115" s="39" t="s">
        <v>2072</v>
      </c>
      <c r="FH115" s="202">
        <v>3</v>
      </c>
      <c r="FI115" s="202" t="s">
        <v>2073</v>
      </c>
      <c r="FJ115" s="202" t="s">
        <v>2064</v>
      </c>
      <c r="FK115" s="202" t="s">
        <v>775</v>
      </c>
      <c r="FM115" s="203" t="s">
        <v>1931</v>
      </c>
      <c r="FQ115" s="203" t="s">
        <v>1931</v>
      </c>
      <c r="FU115" s="203" t="s">
        <v>1931</v>
      </c>
      <c r="FY115" s="203" t="s">
        <v>1931</v>
      </c>
      <c r="GB115" s="39">
        <v>2</v>
      </c>
      <c r="GC115" s="39" t="str">
        <f>GG115</f>
        <v>房地产销售：94.51%  物业管理收入：5.25%</v>
      </c>
      <c r="GD115" s="39"/>
      <c r="GE115" s="39"/>
      <c r="GF115" s="39"/>
      <c r="GG115" s="39" t="s">
        <v>2074</v>
      </c>
      <c r="GH115" s="39" t="s">
        <v>2075</v>
      </c>
      <c r="GJ115" s="39">
        <f t="shared" ref="GJ115:GJ123" si="142">IF(GK115="数据缺失",0,IF(GK115&lt;0%,0,IF(GK115&lt;=5%,4,IF(GK115&lt;10%,3,IF(GK115&lt;20%,2,1)))))</f>
        <v>3</v>
      </c>
      <c r="GK115" s="43">
        <f t="shared" ref="GK115:GK123" si="143">GN115/GS115</f>
        <v>5.2007326382721035E-2</v>
      </c>
      <c r="GL115" s="39"/>
      <c r="GM115" s="39"/>
      <c r="GN115" s="39">
        <v>1.1499999999999999</v>
      </c>
      <c r="GO115" s="39" t="s">
        <v>2076</v>
      </c>
      <c r="GP115" s="39" t="s">
        <v>2075</v>
      </c>
      <c r="GQ115" s="39"/>
      <c r="GR115" s="39"/>
      <c r="GS115" s="69">
        <v>22.1122691741</v>
      </c>
      <c r="GT115" s="39" t="s">
        <v>2077</v>
      </c>
      <c r="GV115" s="219">
        <f t="shared" si="127"/>
        <v>1</v>
      </c>
      <c r="GW115" s="220">
        <f t="shared" si="135"/>
        <v>0.14998419486089828</v>
      </c>
      <c r="GX115" s="219"/>
      <c r="GY115" s="219"/>
      <c r="GZ115" s="219"/>
      <c r="HA115" s="221">
        <v>22.1</v>
      </c>
      <c r="HB115" s="219" t="s">
        <v>2064</v>
      </c>
      <c r="HC115" s="219" t="s">
        <v>2078</v>
      </c>
      <c r="HD115" s="219"/>
      <c r="HE115" s="222">
        <v>147.3488591281</v>
      </c>
      <c r="HF115" s="39" t="s">
        <v>1942</v>
      </c>
      <c r="HH115" s="202">
        <f t="shared" si="128"/>
        <v>1</v>
      </c>
      <c r="HI115" s="207">
        <f t="shared" si="129"/>
        <v>0</v>
      </c>
      <c r="HM115" s="205">
        <v>0</v>
      </c>
      <c r="HN115" s="202" t="s">
        <v>2079</v>
      </c>
      <c r="HP115" s="39"/>
      <c r="HQ115" s="78">
        <v>11.899066882</v>
      </c>
      <c r="HR115" s="39" t="s">
        <v>1942</v>
      </c>
      <c r="HT115" s="39">
        <f t="shared" si="122"/>
        <v>4</v>
      </c>
      <c r="HU115" s="39">
        <f t="shared" si="123"/>
        <v>0</v>
      </c>
      <c r="HV115" s="39"/>
      <c r="HW115" s="39"/>
      <c r="HX115" s="39"/>
      <c r="HY115" s="39">
        <v>0</v>
      </c>
      <c r="HZ115" s="39" t="s">
        <v>2075</v>
      </c>
      <c r="IA115" s="39"/>
      <c r="IB115" s="39"/>
      <c r="IC115" s="69">
        <v>25.679099999999998</v>
      </c>
      <c r="ID115" s="39" t="s">
        <v>1942</v>
      </c>
      <c r="IR115" s="202">
        <f t="shared" si="132"/>
        <v>3</v>
      </c>
      <c r="IS115" s="207">
        <f>IW115/JA115</f>
        <v>1.8823585486120371</v>
      </c>
      <c r="IW115" s="205">
        <v>87.53</v>
      </c>
      <c r="IX115" s="202" t="s">
        <v>2064</v>
      </c>
      <c r="IY115" s="202" t="s">
        <v>2080</v>
      </c>
      <c r="JA115" s="69">
        <v>46.500173978299998</v>
      </c>
      <c r="JB115" s="39" t="s">
        <v>1942</v>
      </c>
      <c r="JD115" s="39">
        <f t="shared" si="125"/>
        <v>3</v>
      </c>
      <c r="JE115" s="46">
        <f t="shared" si="126"/>
        <v>6.3997327750964603E-2</v>
      </c>
      <c r="JF115" s="39"/>
      <c r="JG115" s="39"/>
      <c r="JH115" s="39"/>
      <c r="JI115" s="39">
        <v>8.43</v>
      </c>
      <c r="JJ115" s="39" t="s">
        <v>2064</v>
      </c>
      <c r="JK115" s="39"/>
      <c r="JL115" s="39"/>
      <c r="JM115" s="39">
        <v>2.4500000000000002</v>
      </c>
      <c r="JN115" s="39" t="s">
        <v>2064</v>
      </c>
      <c r="JO115" s="39"/>
      <c r="JP115" s="39"/>
      <c r="JQ115" s="39">
        <v>55.09</v>
      </c>
      <c r="JR115" s="39" t="s">
        <v>2064</v>
      </c>
      <c r="JS115" s="39"/>
      <c r="JT115" s="39"/>
      <c r="JU115" s="39">
        <v>52.44</v>
      </c>
      <c r="JV115" s="39" t="s">
        <v>2064</v>
      </c>
      <c r="JX115" s="39">
        <v>2</v>
      </c>
      <c r="JY115" s="39" t="s">
        <v>2081</v>
      </c>
      <c r="JZ115" s="39"/>
      <c r="KA115" s="39"/>
      <c r="KB115" s="39">
        <v>30</v>
      </c>
      <c r="KC115" s="39" t="s">
        <v>2081</v>
      </c>
      <c r="KD115" s="39" t="s">
        <v>2075</v>
      </c>
      <c r="KF115" s="39">
        <f t="shared" si="130"/>
        <v>1</v>
      </c>
      <c r="KG115" s="43">
        <f t="shared" si="131"/>
        <v>0</v>
      </c>
      <c r="KH115" s="39"/>
      <c r="KI115" s="39"/>
      <c r="KJ115" s="39"/>
      <c r="KK115" s="39">
        <v>0</v>
      </c>
      <c r="KL115" s="39" t="s">
        <v>2075</v>
      </c>
      <c r="KM115" s="39"/>
      <c r="KN115" s="39"/>
      <c r="KO115" s="69">
        <v>46.500173978299998</v>
      </c>
      <c r="KP115" s="39" t="s">
        <v>1942</v>
      </c>
    </row>
    <row r="116" spans="2:302" s="39" customFormat="1" ht="13" hidden="1" x14ac:dyDescent="0.35">
      <c r="B116" s="39" t="s">
        <v>2082</v>
      </c>
      <c r="C116" s="39" t="s">
        <v>2083</v>
      </c>
      <c r="D116" s="39" t="s">
        <v>2084</v>
      </c>
      <c r="E116" s="202" t="s">
        <v>289</v>
      </c>
      <c r="F116" s="39" t="s">
        <v>2085</v>
      </c>
      <c r="G116" s="42" t="s">
        <v>199</v>
      </c>
      <c r="H116" s="40">
        <f>(19.2+0.19)/19.434778049</f>
        <v>0.99769598351537125</v>
      </c>
      <c r="L116" s="42">
        <v>4</v>
      </c>
      <c r="M116" s="39" t="s">
        <v>2086</v>
      </c>
      <c r="P116" s="39" t="s">
        <v>126</v>
      </c>
      <c r="Q116" s="39" t="s">
        <v>2087</v>
      </c>
      <c r="R116" s="39" t="s">
        <v>411</v>
      </c>
      <c r="T116" s="39" t="s">
        <v>129</v>
      </c>
      <c r="U116" s="40">
        <f>0.0145*0.22755*0.4332+0.8766*0.1267*0.22755*0.4332+0.8766*0.3807*0.22755*0.4332+0.8766*0.77245*0.4332+0.8766*0.0091</f>
        <v>0.34658367713947441</v>
      </c>
      <c r="X116" s="39">
        <f t="shared" si="136"/>
        <v>1</v>
      </c>
      <c r="Y116" s="43">
        <f t="shared" ref="Y116:Y123" si="144">((AC116-AG116)/AG116+(AG116-AK116)/AK116)/2*100%</f>
        <v>0.4582442067736186</v>
      </c>
      <c r="AC116" s="39">
        <v>14.46</v>
      </c>
      <c r="AD116" s="39" t="s">
        <v>2088</v>
      </c>
      <c r="AG116" s="39">
        <v>9.9</v>
      </c>
      <c r="AH116" s="39" t="s">
        <v>2089</v>
      </c>
      <c r="AK116" s="39">
        <v>6.8</v>
      </c>
      <c r="AL116" s="39" t="s">
        <v>2090</v>
      </c>
      <c r="AN116" s="39">
        <f t="shared" si="137"/>
        <v>1</v>
      </c>
      <c r="AO116" s="43">
        <f t="shared" si="138"/>
        <v>0.30781013498719623</v>
      </c>
      <c r="AS116" s="39">
        <v>19.91</v>
      </c>
      <c r="AT116" s="39" t="s">
        <v>2089</v>
      </c>
      <c r="AW116" s="39">
        <v>14.39</v>
      </c>
      <c r="AX116" s="39" t="s">
        <v>2088</v>
      </c>
      <c r="BA116" s="39">
        <v>11.68</v>
      </c>
      <c r="BB116" s="39" t="s">
        <v>2091</v>
      </c>
      <c r="BD116" s="2">
        <f t="shared" si="70"/>
        <v>5</v>
      </c>
      <c r="BE116" s="39">
        <v>14.46</v>
      </c>
      <c r="BI116" s="39">
        <f t="shared" si="139"/>
        <v>14.46</v>
      </c>
      <c r="BJ116" s="39" t="s">
        <v>2092</v>
      </c>
      <c r="BL116" s="2">
        <f t="shared" si="71"/>
        <v>5</v>
      </c>
      <c r="BM116" s="39">
        <v>19.91</v>
      </c>
      <c r="BQ116" s="39">
        <f t="shared" si="140"/>
        <v>19.91</v>
      </c>
      <c r="BR116" s="39" t="s">
        <v>2093</v>
      </c>
      <c r="BT116" s="8">
        <f t="shared" si="72"/>
        <v>3</v>
      </c>
      <c r="BU116" s="39">
        <f>BY116</f>
        <v>266</v>
      </c>
      <c r="BY116" s="39">
        <v>266</v>
      </c>
      <c r="BZ116" s="80" t="s">
        <v>2094</v>
      </c>
      <c r="CB116" s="39">
        <v>1</v>
      </c>
      <c r="CC116" s="39" t="s">
        <v>2095</v>
      </c>
      <c r="CF116" s="39" t="s">
        <v>132</v>
      </c>
      <c r="CG116" s="39" t="s">
        <v>2096</v>
      </c>
      <c r="CH116" s="80" t="s">
        <v>2097</v>
      </c>
      <c r="CJ116" s="202">
        <f>IF(CK116="数据缺失",0,IF(CK116&lt;0,0,IF(CK116&lt;2,2,IF(CK116&lt;=5,1,3))))</f>
        <v>2</v>
      </c>
      <c r="CK116" s="211">
        <f>CO116/CS116</f>
        <v>0</v>
      </c>
      <c r="CO116" s="39">
        <v>0</v>
      </c>
      <c r="CP116" s="39" t="s">
        <v>2092</v>
      </c>
      <c r="CS116" s="39">
        <v>14.46</v>
      </c>
      <c r="CT116" s="39" t="s">
        <v>2092</v>
      </c>
      <c r="CV116" s="39">
        <f t="shared" si="133"/>
        <v>4</v>
      </c>
      <c r="CW116" s="39">
        <v>132.52000000000001</v>
      </c>
      <c r="DA116" s="39">
        <v>132.52000000000001</v>
      </c>
      <c r="DB116" s="39" t="s">
        <v>2089</v>
      </c>
      <c r="DD116" s="39">
        <f>IF(DE116="数据缺失",0,IF(DE116&lt;0,0,IF(DE116&lt;2,3,IF(DE116&lt;=5,1,2))))</f>
        <v>2</v>
      </c>
      <c r="DE116" s="48">
        <f>DM116/DI116</f>
        <v>6.6559517830236068</v>
      </c>
      <c r="DI116" s="39">
        <f>AS116</f>
        <v>19.91</v>
      </c>
      <c r="DJ116" s="39" t="s">
        <v>2088</v>
      </c>
      <c r="DM116" s="39">
        <v>132.52000000000001</v>
      </c>
      <c r="DN116" s="39" t="s">
        <v>2092</v>
      </c>
      <c r="DP116" s="39">
        <v>5</v>
      </c>
      <c r="DQ116" s="39" t="s">
        <v>37</v>
      </c>
      <c r="DU116" s="40" t="s">
        <v>37</v>
      </c>
      <c r="DY116" s="40" t="s">
        <v>2098</v>
      </c>
      <c r="EC116" s="40" t="s">
        <v>2099</v>
      </c>
      <c r="EG116" s="40" t="s">
        <v>37</v>
      </c>
      <c r="EJ116" s="39">
        <f t="shared" si="134"/>
        <v>3</v>
      </c>
      <c r="EK116" s="39">
        <v>31.88</v>
      </c>
      <c r="EO116" s="39">
        <v>31.88</v>
      </c>
      <c r="EP116" s="39" t="s">
        <v>2100</v>
      </c>
      <c r="ER116" s="39">
        <f t="shared" si="141"/>
        <v>4</v>
      </c>
      <c r="ES116" s="39">
        <v>16.95</v>
      </c>
      <c r="EW116" s="39">
        <v>16.95</v>
      </c>
      <c r="EX116" s="39" t="s">
        <v>2088</v>
      </c>
      <c r="EZ116" s="42">
        <f t="shared" ref="EZ116:EZ122" si="145">IF(FA116="数据缺失",0,IF(FA116&lt;0%,0,IF(FA116&lt;=50,4,IF(FA116&lt;100,3,IF(FA116&lt;200,2,1)))))</f>
        <v>3</v>
      </c>
      <c r="FA116" s="39">
        <f t="shared" ref="FA116:FA122" si="146">FE116</f>
        <v>71.73</v>
      </c>
      <c r="FE116" s="39">
        <v>71.73</v>
      </c>
      <c r="FF116" s="39" t="s">
        <v>2088</v>
      </c>
      <c r="FH116" s="39">
        <v>4</v>
      </c>
      <c r="FI116" s="39" t="s">
        <v>2101</v>
      </c>
      <c r="FJ116" s="39" t="s">
        <v>2100</v>
      </c>
      <c r="FM116" s="142" t="s">
        <v>2099</v>
      </c>
      <c r="FQ116" s="142" t="s">
        <v>37</v>
      </c>
      <c r="FU116" s="142" t="s">
        <v>2099</v>
      </c>
      <c r="FY116" s="142" t="s">
        <v>2099</v>
      </c>
      <c r="GB116" s="39">
        <v>2</v>
      </c>
      <c r="GC116" s="39" t="s">
        <v>2102</v>
      </c>
      <c r="GG116" s="39" t="s">
        <v>2102</v>
      </c>
      <c r="GH116" s="39" t="s">
        <v>2103</v>
      </c>
      <c r="GJ116" s="39">
        <f t="shared" si="142"/>
        <v>4</v>
      </c>
      <c r="GK116" s="43">
        <f t="shared" si="143"/>
        <v>9.7762886471335995E-3</v>
      </c>
      <c r="GN116" s="39">
        <v>0.19</v>
      </c>
      <c r="GO116" s="39" t="s">
        <v>2104</v>
      </c>
      <c r="GP116" s="39" t="s">
        <v>2103</v>
      </c>
      <c r="GS116" s="69">
        <v>19.434778049000002</v>
      </c>
      <c r="GT116" s="39" t="s">
        <v>144</v>
      </c>
      <c r="GV116" s="39">
        <f t="shared" si="127"/>
        <v>1</v>
      </c>
      <c r="GW116" s="43">
        <f t="shared" si="135"/>
        <v>3.7294285569021611E-2</v>
      </c>
      <c r="HA116" s="39">
        <v>1.66</v>
      </c>
      <c r="HB116" s="39" t="s">
        <v>411</v>
      </c>
      <c r="HE116" s="69">
        <v>44.510840593199994</v>
      </c>
      <c r="HF116" s="39" t="s">
        <v>2105</v>
      </c>
      <c r="HH116" s="39">
        <f t="shared" si="128"/>
        <v>1</v>
      </c>
      <c r="HI116" s="43">
        <f t="shared" si="129"/>
        <v>8.0910889775878236E-4</v>
      </c>
      <c r="HM116" s="40">
        <v>7.3633600000000002E-3</v>
      </c>
      <c r="HN116" s="39" t="s">
        <v>2103</v>
      </c>
      <c r="HQ116" s="78">
        <v>9.1005796875999998</v>
      </c>
      <c r="HR116" s="39" t="s">
        <v>2105</v>
      </c>
      <c r="HT116" s="39">
        <f t="shared" si="122"/>
        <v>4</v>
      </c>
      <c r="HU116" s="39">
        <f t="shared" si="123"/>
        <v>0</v>
      </c>
      <c r="HY116" s="39">
        <v>0</v>
      </c>
      <c r="HZ116" s="39" t="s">
        <v>2106</v>
      </c>
      <c r="IC116" s="39">
        <v>5.26</v>
      </c>
      <c r="ID116" s="39" t="s">
        <v>2107</v>
      </c>
      <c r="IR116" s="42">
        <v>0</v>
      </c>
      <c r="IS116" s="39" t="s">
        <v>2108</v>
      </c>
      <c r="IW116" s="39" t="s">
        <v>2108</v>
      </c>
      <c r="JA116" s="69">
        <v>16.0684985641</v>
      </c>
      <c r="JB116" s="39" t="s">
        <v>2105</v>
      </c>
      <c r="JD116" s="39">
        <f t="shared" si="125"/>
        <v>4</v>
      </c>
      <c r="JE116" s="46">
        <f t="shared" si="126"/>
        <v>0.13197770236718506</v>
      </c>
      <c r="JI116" s="39">
        <v>4</v>
      </c>
      <c r="JJ116" s="39" t="s">
        <v>2088</v>
      </c>
      <c r="JM116" s="39">
        <v>2.29</v>
      </c>
      <c r="JN116" s="39" t="s">
        <v>2088</v>
      </c>
      <c r="JQ116" s="39">
        <v>15.37</v>
      </c>
      <c r="JR116" s="39" t="s">
        <v>2109</v>
      </c>
      <c r="JU116" s="39">
        <v>11.1</v>
      </c>
      <c r="JV116" s="39" t="s">
        <v>2109</v>
      </c>
      <c r="JX116" s="39">
        <v>2</v>
      </c>
      <c r="JY116" s="39" t="s">
        <v>2110</v>
      </c>
      <c r="KB116" s="39">
        <v>5</v>
      </c>
      <c r="KC116" s="39" t="s">
        <v>2111</v>
      </c>
      <c r="KD116" s="39" t="s">
        <v>2106</v>
      </c>
      <c r="KF116" s="39">
        <f t="shared" si="130"/>
        <v>4</v>
      </c>
      <c r="KG116" s="43">
        <f t="shared" si="131"/>
        <v>2.270280565074267</v>
      </c>
      <c r="KK116" s="36">
        <v>36.479999999999997</v>
      </c>
      <c r="KL116" s="39" t="s">
        <v>411</v>
      </c>
      <c r="KM116" s="39" t="s">
        <v>2112</v>
      </c>
      <c r="KO116" s="69">
        <v>16.0684985641</v>
      </c>
      <c r="KP116" s="39" t="s">
        <v>2105</v>
      </c>
    </row>
    <row r="117" spans="2:302" s="39" customFormat="1" ht="13" hidden="1" x14ac:dyDescent="0.35">
      <c r="B117" s="39" t="s">
        <v>2113</v>
      </c>
      <c r="C117" s="39" t="s">
        <v>2114</v>
      </c>
      <c r="D117" s="39" t="s">
        <v>2115</v>
      </c>
      <c r="E117" s="202" t="s">
        <v>2116</v>
      </c>
      <c r="F117" s="39" t="s">
        <v>2117</v>
      </c>
      <c r="G117" s="42" t="s">
        <v>174</v>
      </c>
      <c r="H117" s="142">
        <v>0.64200000000000002</v>
      </c>
      <c r="L117" s="42">
        <v>3</v>
      </c>
      <c r="M117" s="39" t="s">
        <v>2118</v>
      </c>
      <c r="P117" s="39" t="s">
        <v>1872</v>
      </c>
      <c r="Q117" s="39" t="s">
        <v>2119</v>
      </c>
      <c r="R117" s="39" t="s">
        <v>2120</v>
      </c>
      <c r="T117" s="39" t="s">
        <v>709</v>
      </c>
      <c r="U117" s="142">
        <v>1</v>
      </c>
      <c r="X117" s="39">
        <f t="shared" si="136"/>
        <v>3</v>
      </c>
      <c r="Y117" s="43">
        <f t="shared" si="144"/>
        <v>5.2575942423448985E-2</v>
      </c>
      <c r="AC117" s="39">
        <v>61.45</v>
      </c>
      <c r="AD117" s="39" t="s">
        <v>2121</v>
      </c>
      <c r="AG117" s="39">
        <v>67.77</v>
      </c>
      <c r="AH117" s="39" t="s">
        <v>2121</v>
      </c>
      <c r="AK117" s="39">
        <v>56.55</v>
      </c>
      <c r="AL117" s="39" t="s">
        <v>2121</v>
      </c>
      <c r="AN117" s="39">
        <f t="shared" si="137"/>
        <v>3</v>
      </c>
      <c r="AO117" s="43">
        <f t="shared" si="138"/>
        <v>7.6341598782238396E-2</v>
      </c>
      <c r="AS117" s="39">
        <v>72.540000000000006</v>
      </c>
      <c r="AT117" s="39" t="s">
        <v>2121</v>
      </c>
      <c r="AW117" s="39">
        <v>78.03</v>
      </c>
      <c r="AX117" s="39" t="s">
        <v>2121</v>
      </c>
      <c r="BA117" s="39">
        <v>63.8</v>
      </c>
      <c r="BB117" s="39" t="s">
        <v>2121</v>
      </c>
      <c r="BD117" s="2">
        <f t="shared" si="70"/>
        <v>4</v>
      </c>
      <c r="BE117" s="39">
        <v>61.45</v>
      </c>
      <c r="BI117" s="39">
        <f t="shared" si="139"/>
        <v>61.45</v>
      </c>
      <c r="BJ117" s="39" t="s">
        <v>2122</v>
      </c>
      <c r="BL117" s="2">
        <f t="shared" si="71"/>
        <v>4</v>
      </c>
      <c r="BM117" s="39">
        <v>72.540000000000006</v>
      </c>
      <c r="BQ117" s="39">
        <f t="shared" si="140"/>
        <v>72.540000000000006</v>
      </c>
      <c r="BR117" s="39" t="s">
        <v>2123</v>
      </c>
      <c r="BT117" s="8">
        <f t="shared" si="72"/>
        <v>2</v>
      </c>
      <c r="BU117" s="39">
        <f>BY117</f>
        <v>73</v>
      </c>
      <c r="BY117" s="39">
        <v>73</v>
      </c>
      <c r="BZ117" s="39" t="s">
        <v>529</v>
      </c>
      <c r="CA117" s="39" t="s">
        <v>2124</v>
      </c>
      <c r="CB117" s="39">
        <v>1</v>
      </c>
      <c r="CC117" s="39" t="s">
        <v>2125</v>
      </c>
      <c r="CF117" s="39" t="s">
        <v>132</v>
      </c>
      <c r="CG117" s="39" t="s">
        <v>2126</v>
      </c>
      <c r="CH117" s="170" t="s">
        <v>2127</v>
      </c>
      <c r="CI117" s="39" t="s">
        <v>2128</v>
      </c>
      <c r="CJ117" s="39">
        <v>0</v>
      </c>
      <c r="CK117" s="39" t="s">
        <v>2129</v>
      </c>
      <c r="CO117" s="39" t="s">
        <v>2129</v>
      </c>
      <c r="CS117" s="39">
        <f>AC117</f>
        <v>61.45</v>
      </c>
      <c r="CT117" s="39" t="s">
        <v>2123</v>
      </c>
      <c r="CV117" s="39">
        <f t="shared" si="133"/>
        <v>4</v>
      </c>
      <c r="CW117" s="39">
        <f>DA117</f>
        <v>155.88</v>
      </c>
      <c r="DA117" s="156">
        <v>155.88</v>
      </c>
      <c r="DB117" s="39" t="s">
        <v>2127</v>
      </c>
      <c r="DC117" s="39" t="s">
        <v>2130</v>
      </c>
      <c r="DD117" s="39">
        <f>IF(DE117="数据缺失",0,IF(DE117&lt;0,0,IF(DE117&lt;2,3,IF(DE117&lt;=5,1,2))))</f>
        <v>1</v>
      </c>
      <c r="DE117" s="48">
        <f>DM117/DI117</f>
        <v>2.1488833746898259</v>
      </c>
      <c r="DI117" s="39">
        <f>BQ117</f>
        <v>72.540000000000006</v>
      </c>
      <c r="DJ117" s="39" t="str">
        <f>BR117</f>
        <v>评级20160705</v>
      </c>
      <c r="DM117" s="156">
        <v>155.88</v>
      </c>
      <c r="DN117" s="39" t="s">
        <v>2127</v>
      </c>
      <c r="DO117" s="39" t="s">
        <v>2131</v>
      </c>
      <c r="DP117" s="39">
        <v>3</v>
      </c>
      <c r="DQ117" s="39" t="s">
        <v>2132</v>
      </c>
      <c r="DR117" s="39" t="s">
        <v>2127</v>
      </c>
      <c r="DS117" s="39" t="s">
        <v>2133</v>
      </c>
      <c r="DU117" s="40">
        <v>0</v>
      </c>
      <c r="DV117" s="39" t="s">
        <v>2127</v>
      </c>
      <c r="DY117" s="40">
        <v>1</v>
      </c>
      <c r="DZ117" s="39" t="s">
        <v>2127</v>
      </c>
      <c r="EC117" s="40">
        <v>0</v>
      </c>
      <c r="ED117" s="39" t="s">
        <v>2127</v>
      </c>
      <c r="EG117" s="40">
        <v>0</v>
      </c>
      <c r="EH117" s="39" t="s">
        <v>2127</v>
      </c>
      <c r="EJ117" s="39">
        <f t="shared" si="134"/>
        <v>1</v>
      </c>
      <c r="EK117" s="39">
        <v>184</v>
      </c>
      <c r="EO117" s="39">
        <v>184</v>
      </c>
      <c r="EP117" s="39" t="s">
        <v>2123</v>
      </c>
      <c r="ER117" s="39">
        <f t="shared" si="141"/>
        <v>1</v>
      </c>
      <c r="ES117" s="39">
        <v>421</v>
      </c>
      <c r="EW117" s="39">
        <v>421</v>
      </c>
      <c r="EX117" s="39" t="s">
        <v>2123</v>
      </c>
      <c r="EZ117" s="42">
        <f t="shared" si="145"/>
        <v>1</v>
      </c>
      <c r="FA117" s="39">
        <f t="shared" si="146"/>
        <v>777.66</v>
      </c>
      <c r="FE117" s="39">
        <v>777.66</v>
      </c>
      <c r="FF117" s="39" t="s">
        <v>2134</v>
      </c>
      <c r="FG117" s="39" t="s">
        <v>2135</v>
      </c>
      <c r="FH117" s="39">
        <v>3</v>
      </c>
      <c r="FI117" s="39" t="s">
        <v>2136</v>
      </c>
      <c r="FK117" s="39" t="s">
        <v>2137</v>
      </c>
      <c r="FM117" s="142">
        <v>0</v>
      </c>
      <c r="FN117" s="39" t="s">
        <v>2127</v>
      </c>
      <c r="FQ117" s="142">
        <v>0.92700000000000005</v>
      </c>
      <c r="FR117" s="39" t="s">
        <v>2127</v>
      </c>
      <c r="FU117" s="40">
        <v>7.2999999999999995E-2</v>
      </c>
      <c r="FV117" s="39" t="s">
        <v>2127</v>
      </c>
      <c r="FY117" s="142">
        <v>0</v>
      </c>
      <c r="FZ117" s="39" t="s">
        <v>2138</v>
      </c>
      <c r="GB117" s="39">
        <v>3</v>
      </c>
      <c r="GC117" s="39" t="s">
        <v>2139</v>
      </c>
      <c r="GG117" s="39" t="s">
        <v>2139</v>
      </c>
      <c r="GH117" s="39" t="s">
        <v>2140</v>
      </c>
      <c r="GJ117" s="39">
        <f t="shared" si="142"/>
        <v>4</v>
      </c>
      <c r="GK117" s="43">
        <f t="shared" si="143"/>
        <v>1.6332551829510665E-3</v>
      </c>
      <c r="GN117" s="39">
        <v>0.18</v>
      </c>
      <c r="GO117" s="39" t="s">
        <v>2141</v>
      </c>
      <c r="GP117" s="39" t="s">
        <v>2140</v>
      </c>
      <c r="GS117" s="69">
        <v>110.20935483870001</v>
      </c>
      <c r="GT117" s="39" t="s">
        <v>2142</v>
      </c>
      <c r="GV117" s="39">
        <f t="shared" si="127"/>
        <v>2</v>
      </c>
      <c r="GW117" s="43">
        <f t="shared" si="135"/>
        <v>0.24330454976399887</v>
      </c>
      <c r="HA117" s="39">
        <v>129.85</v>
      </c>
      <c r="HB117" s="39" t="s">
        <v>2140</v>
      </c>
      <c r="HE117" s="69">
        <v>533.69326683760005</v>
      </c>
      <c r="HF117" s="39" t="s">
        <v>2105</v>
      </c>
      <c r="HH117" s="39">
        <f t="shared" si="128"/>
        <v>1</v>
      </c>
      <c r="HI117" s="43">
        <f t="shared" si="129"/>
        <v>5.2322955974808162E-3</v>
      </c>
      <c r="HM117" s="39">
        <v>0.48</v>
      </c>
      <c r="HN117" s="39" t="s">
        <v>2140</v>
      </c>
      <c r="HQ117" s="78">
        <v>91.737936257099989</v>
      </c>
      <c r="HR117" s="39" t="s">
        <v>2105</v>
      </c>
      <c r="HT117" s="39">
        <f t="shared" si="122"/>
        <v>4</v>
      </c>
      <c r="HU117" s="40">
        <f t="shared" si="123"/>
        <v>1.4605731293036306E-2</v>
      </c>
      <c r="HY117" s="39">
        <v>2.21</v>
      </c>
      <c r="HZ117" s="39" t="s">
        <v>2140</v>
      </c>
      <c r="IC117" s="69">
        <v>151.31046543719998</v>
      </c>
      <c r="ID117" s="39" t="s">
        <v>2105</v>
      </c>
      <c r="IR117" s="42">
        <f>IF(IS117="数据缺失",0,IF(IS117&lt;0%,0,IF(IS117&lt;=100%,4,IF(IS117&lt;200%,3,IF(IS117&lt;300%,2,1)))))</f>
        <v>1</v>
      </c>
      <c r="IS117" s="43">
        <f>IW117/JA117</f>
        <v>6.290219735600326</v>
      </c>
      <c r="IW117" s="39">
        <v>409.28</v>
      </c>
      <c r="IX117" s="39" t="s">
        <v>2140</v>
      </c>
      <c r="JA117" s="69">
        <v>65.066089453700002</v>
      </c>
      <c r="JB117" s="39" t="s">
        <v>2105</v>
      </c>
      <c r="JD117" s="39">
        <f t="shared" si="125"/>
        <v>4</v>
      </c>
      <c r="JE117" s="46">
        <f t="shared" si="126"/>
        <v>8.7387805819620704E-2</v>
      </c>
      <c r="JI117" s="39">
        <v>11.59</v>
      </c>
      <c r="JJ117" s="39" t="s">
        <v>2123</v>
      </c>
      <c r="JM117" s="39">
        <v>0.53</v>
      </c>
      <c r="JN117" s="39" t="s">
        <v>2123</v>
      </c>
      <c r="JQ117" s="39">
        <v>290.25</v>
      </c>
      <c r="JR117" s="39" t="s">
        <v>2123</v>
      </c>
      <c r="JU117" s="39">
        <v>210.23</v>
      </c>
      <c r="JV117" s="39" t="s">
        <v>2121</v>
      </c>
      <c r="JX117" s="39">
        <v>2</v>
      </c>
      <c r="JY117" s="39" t="s">
        <v>2143</v>
      </c>
      <c r="KB117" s="39">
        <v>10</v>
      </c>
      <c r="KC117" s="39" t="s">
        <v>2143</v>
      </c>
      <c r="KD117" s="39" t="s">
        <v>2140</v>
      </c>
      <c r="KF117" s="39">
        <f t="shared" si="130"/>
        <v>1</v>
      </c>
      <c r="KG117" s="43">
        <f t="shared" si="131"/>
        <v>1.3524710143003047E-2</v>
      </c>
      <c r="KK117" s="39">
        <v>0.88</v>
      </c>
      <c r="KL117" s="39" t="s">
        <v>2140</v>
      </c>
      <c r="KO117" s="69">
        <v>65.066089453700002</v>
      </c>
      <c r="KP117" s="39" t="s">
        <v>2105</v>
      </c>
    </row>
    <row r="118" spans="2:302" s="39" customFormat="1" ht="13" hidden="1" x14ac:dyDescent="0.35">
      <c r="B118" s="39" t="s">
        <v>2113</v>
      </c>
      <c r="C118" s="39" t="s">
        <v>2114</v>
      </c>
      <c r="D118" s="39" t="s">
        <v>2115</v>
      </c>
      <c r="E118" s="202" t="s">
        <v>2116</v>
      </c>
      <c r="F118" s="39" t="s">
        <v>2117</v>
      </c>
      <c r="G118" s="42" t="s">
        <v>199</v>
      </c>
      <c r="H118" s="141">
        <v>0.70340000000000003</v>
      </c>
      <c r="L118" s="42">
        <v>3</v>
      </c>
      <c r="M118" s="39" t="s">
        <v>2118</v>
      </c>
      <c r="P118" s="39" t="s">
        <v>1872</v>
      </c>
      <c r="Q118" s="39" t="s">
        <v>2119</v>
      </c>
      <c r="R118" s="39" t="s">
        <v>2120</v>
      </c>
      <c r="T118" s="39" t="s">
        <v>709</v>
      </c>
      <c r="U118" s="142">
        <v>1</v>
      </c>
      <c r="X118" s="39">
        <f t="shared" si="136"/>
        <v>2</v>
      </c>
      <c r="Y118" s="43">
        <f t="shared" si="144"/>
        <v>0.13726323546855715</v>
      </c>
      <c r="AC118" s="39">
        <v>67.77</v>
      </c>
      <c r="AD118" s="39" t="s">
        <v>2121</v>
      </c>
      <c r="AG118" s="39">
        <v>56.55</v>
      </c>
      <c r="AH118" s="39" t="s">
        <v>2121</v>
      </c>
      <c r="AK118" s="39">
        <v>52.55</v>
      </c>
      <c r="AL118" s="39" t="s">
        <v>2144</v>
      </c>
      <c r="AN118" s="39">
        <f t="shared" si="137"/>
        <v>2</v>
      </c>
      <c r="AO118" s="43">
        <f t="shared" si="138"/>
        <v>0.1250425912431597</v>
      </c>
      <c r="AS118" s="39">
        <v>78.03</v>
      </c>
      <c r="AT118" s="39" t="s">
        <v>2121</v>
      </c>
      <c r="AW118" s="39">
        <v>63.8</v>
      </c>
      <c r="AX118" s="39" t="s">
        <v>2121</v>
      </c>
      <c r="BA118" s="39">
        <v>62.12</v>
      </c>
      <c r="BB118" s="39" t="s">
        <v>2144</v>
      </c>
      <c r="BD118" s="2">
        <f t="shared" si="70"/>
        <v>4</v>
      </c>
      <c r="BE118" s="39">
        <f t="shared" ref="BE118:BE123" si="147">BI118</f>
        <v>67.77</v>
      </c>
      <c r="BI118" s="39">
        <f t="shared" si="139"/>
        <v>67.77</v>
      </c>
      <c r="BJ118" s="39" t="str">
        <f>AD118</f>
        <v>评级20160705</v>
      </c>
      <c r="BL118" s="2">
        <f t="shared" si="71"/>
        <v>4</v>
      </c>
      <c r="BM118" s="39">
        <f t="shared" ref="BM118:BM123" si="148">BQ118</f>
        <v>78.03</v>
      </c>
      <c r="BQ118" s="39">
        <f t="shared" si="140"/>
        <v>78.03</v>
      </c>
      <c r="BR118" s="39" t="str">
        <f>AT118</f>
        <v>评级20160705</v>
      </c>
      <c r="BT118" s="8">
        <f t="shared" si="72"/>
        <v>2</v>
      </c>
      <c r="BU118" s="39">
        <f>BY118</f>
        <v>74</v>
      </c>
      <c r="BY118" s="39">
        <v>74</v>
      </c>
      <c r="BZ118" s="80" t="s">
        <v>2145</v>
      </c>
      <c r="CA118" s="39" t="s">
        <v>2146</v>
      </c>
      <c r="CB118" s="39">
        <v>1</v>
      </c>
      <c r="CC118" s="39" t="s">
        <v>2147</v>
      </c>
      <c r="CF118" s="39" t="s">
        <v>132</v>
      </c>
      <c r="CG118" s="39" t="s">
        <v>2148</v>
      </c>
      <c r="CH118" s="170" t="s">
        <v>2149</v>
      </c>
      <c r="CI118" s="39" t="s">
        <v>2150</v>
      </c>
      <c r="CJ118" s="39">
        <v>0</v>
      </c>
      <c r="CK118" s="39" t="s">
        <v>2151</v>
      </c>
      <c r="CO118" s="39" t="s">
        <v>2151</v>
      </c>
      <c r="CS118" s="39">
        <f>BI118</f>
        <v>67.77</v>
      </c>
      <c r="CT118" s="39" t="str">
        <f>BJ118</f>
        <v>评级20160705</v>
      </c>
      <c r="CV118" s="39">
        <v>0</v>
      </c>
      <c r="CW118" s="39" t="str">
        <f>DA118</f>
        <v>数据缺失</v>
      </c>
      <c r="DA118" s="39" t="s">
        <v>2151</v>
      </c>
      <c r="DD118" s="39">
        <f>IF(DE118="数据缺失",0,IF(DE118&lt;0,0,IF(DE118&lt;100,5,IF(DE118&lt;500,4,IF(DE118&lt;1000,3,IF(DE118&lt;2000,2,1))))))</f>
        <v>0</v>
      </c>
      <c r="DE118" s="39" t="s">
        <v>2151</v>
      </c>
      <c r="DI118" s="39">
        <f>BQ118</f>
        <v>78.03</v>
      </c>
      <c r="DJ118" s="39" t="str">
        <f>BR118</f>
        <v>评级20160705</v>
      </c>
      <c r="DM118" s="156" t="str">
        <f>DA118</f>
        <v>数据缺失</v>
      </c>
      <c r="DP118" s="39">
        <v>3</v>
      </c>
      <c r="DQ118" s="39" t="s">
        <v>2152</v>
      </c>
      <c r="DR118" s="39" t="s">
        <v>2153</v>
      </c>
      <c r="DU118" s="39" t="s">
        <v>2151</v>
      </c>
      <c r="DY118" s="39" t="s">
        <v>2151</v>
      </c>
      <c r="EC118" s="39" t="s">
        <v>2154</v>
      </c>
      <c r="EG118" s="39" t="s">
        <v>2151</v>
      </c>
      <c r="EJ118" s="39">
        <f t="shared" si="134"/>
        <v>1</v>
      </c>
      <c r="EK118" s="39">
        <f>EO118</f>
        <v>372.64</v>
      </c>
      <c r="EO118" s="39">
        <v>372.64</v>
      </c>
      <c r="EP118" s="39" t="s">
        <v>2121</v>
      </c>
      <c r="ER118" s="39">
        <f t="shared" si="141"/>
        <v>1</v>
      </c>
      <c r="ES118" s="39">
        <f>EW118</f>
        <v>159</v>
      </c>
      <c r="EW118" s="39">
        <v>159</v>
      </c>
      <c r="EX118" s="39" t="s">
        <v>2153</v>
      </c>
      <c r="EZ118" s="42">
        <f t="shared" si="145"/>
        <v>1</v>
      </c>
      <c r="FA118" s="39">
        <f t="shared" si="146"/>
        <v>546.20000000000005</v>
      </c>
      <c r="FE118" s="39">
        <v>546.20000000000005</v>
      </c>
      <c r="FF118" s="39" t="s">
        <v>2153</v>
      </c>
      <c r="FH118" s="39">
        <v>3</v>
      </c>
      <c r="FI118" s="39" t="s">
        <v>2155</v>
      </c>
      <c r="FJ118" s="39" t="s">
        <v>2153</v>
      </c>
      <c r="FM118" s="39" t="s">
        <v>2151</v>
      </c>
      <c r="FQ118" s="39" t="s">
        <v>2154</v>
      </c>
      <c r="FU118" s="39" t="s">
        <v>2151</v>
      </c>
      <c r="FY118" s="39" t="s">
        <v>2154</v>
      </c>
      <c r="GB118" s="39">
        <v>3</v>
      </c>
      <c r="GC118" s="39" t="s">
        <v>2156</v>
      </c>
      <c r="GG118" s="39" t="s">
        <v>2157</v>
      </c>
      <c r="GH118" s="39" t="s">
        <v>2158</v>
      </c>
      <c r="GJ118" s="39">
        <f t="shared" si="142"/>
        <v>4</v>
      </c>
      <c r="GK118" s="43">
        <f t="shared" si="143"/>
        <v>1.0548920546001091E-3</v>
      </c>
      <c r="GN118" s="39">
        <v>0.13</v>
      </c>
      <c r="GO118" s="39" t="s">
        <v>2159</v>
      </c>
      <c r="GP118" s="39" t="s">
        <v>2158</v>
      </c>
      <c r="GS118" s="69">
        <v>123.23535800000001</v>
      </c>
      <c r="GT118" s="39" t="s">
        <v>2160</v>
      </c>
      <c r="GV118" s="39">
        <v>0</v>
      </c>
      <c r="GW118" s="39" t="s">
        <v>2154</v>
      </c>
      <c r="HA118" s="39" t="s">
        <v>2151</v>
      </c>
      <c r="HE118" s="69">
        <v>445.81929200000002</v>
      </c>
      <c r="HF118" s="39" t="s">
        <v>2105</v>
      </c>
      <c r="HH118" s="39">
        <v>0</v>
      </c>
      <c r="HI118" s="39" t="s">
        <v>2151</v>
      </c>
      <c r="HM118" s="39" t="s">
        <v>2151</v>
      </c>
      <c r="HQ118" s="78">
        <v>76.021716999999995</v>
      </c>
      <c r="HR118" s="39" t="s">
        <v>2161</v>
      </c>
      <c r="HT118" s="39">
        <v>0</v>
      </c>
      <c r="HU118" s="39" t="s">
        <v>2151</v>
      </c>
      <c r="HY118" s="39" t="s">
        <v>2154</v>
      </c>
      <c r="IC118" s="39">
        <v>129.58000000000001</v>
      </c>
      <c r="ID118" s="39" t="s">
        <v>2160</v>
      </c>
      <c r="IR118" s="42">
        <v>0</v>
      </c>
      <c r="IS118" s="43" t="s">
        <v>37</v>
      </c>
      <c r="IW118" s="39" t="s">
        <v>2151</v>
      </c>
      <c r="JA118" s="69">
        <v>59.705078999999998</v>
      </c>
      <c r="JB118" s="39" t="s">
        <v>2161</v>
      </c>
      <c r="JD118" s="39">
        <f t="shared" si="125"/>
        <v>4</v>
      </c>
      <c r="JE118" s="46">
        <f t="shared" si="126"/>
        <v>9.5328711993788853E-2</v>
      </c>
      <c r="JI118" s="39">
        <v>15.79</v>
      </c>
      <c r="JJ118" s="39" t="s">
        <v>2153</v>
      </c>
      <c r="JM118" s="39">
        <v>0.94</v>
      </c>
      <c r="JN118" s="39" t="s">
        <v>2153</v>
      </c>
      <c r="JQ118" s="39">
        <v>210.23</v>
      </c>
      <c r="JR118" s="39" t="s">
        <v>2153</v>
      </c>
      <c r="JU118" s="39">
        <v>142.19</v>
      </c>
      <c r="JV118" s="39" t="s">
        <v>2122</v>
      </c>
      <c r="JX118" s="39">
        <v>2</v>
      </c>
      <c r="JY118" s="39" t="s">
        <v>2162</v>
      </c>
      <c r="KB118" s="39">
        <v>11</v>
      </c>
      <c r="KC118" s="39" t="s">
        <v>2162</v>
      </c>
      <c r="KD118" s="39" t="s">
        <v>2153</v>
      </c>
      <c r="KF118" s="39">
        <v>0</v>
      </c>
      <c r="KG118" s="43" t="s">
        <v>2154</v>
      </c>
      <c r="KK118" s="39" t="s">
        <v>2151</v>
      </c>
      <c r="KO118" s="69">
        <v>59.705078999999998</v>
      </c>
      <c r="KP118" s="39" t="s">
        <v>144</v>
      </c>
    </row>
    <row r="119" spans="2:302" s="39" customFormat="1" ht="13" hidden="1" x14ac:dyDescent="0.35">
      <c r="B119" s="39" t="s">
        <v>2163</v>
      </c>
      <c r="C119" s="39" t="s">
        <v>2164</v>
      </c>
      <c r="D119" s="39" t="s">
        <v>391</v>
      </c>
      <c r="E119" s="202" t="s">
        <v>289</v>
      </c>
      <c r="F119" s="39" t="s">
        <v>2165</v>
      </c>
      <c r="G119" s="42" t="s">
        <v>174</v>
      </c>
      <c r="H119" s="142">
        <v>0.98199999999999998</v>
      </c>
      <c r="L119" s="42">
        <v>4</v>
      </c>
      <c r="M119" s="39" t="s">
        <v>2166</v>
      </c>
      <c r="P119" s="39" t="s">
        <v>126</v>
      </c>
      <c r="Q119" s="39" t="s">
        <v>2167</v>
      </c>
      <c r="R119" s="39" t="s">
        <v>2168</v>
      </c>
      <c r="T119" s="39" t="s">
        <v>203</v>
      </c>
      <c r="U119" s="142">
        <v>0.72560000000000002</v>
      </c>
      <c r="X119" s="39">
        <f t="shared" si="136"/>
        <v>2</v>
      </c>
      <c r="Y119" s="43">
        <f t="shared" si="144"/>
        <v>0.24850195141343587</v>
      </c>
      <c r="AC119" s="39">
        <v>319.29000000000002</v>
      </c>
      <c r="AD119" s="39" t="s">
        <v>2169</v>
      </c>
      <c r="AG119" s="39">
        <v>243.9</v>
      </c>
      <c r="AH119" s="39" t="s">
        <v>2170</v>
      </c>
      <c r="AK119" s="39">
        <v>205.32</v>
      </c>
      <c r="AL119" s="39" t="s">
        <v>2171</v>
      </c>
      <c r="AN119" s="39">
        <f t="shared" si="137"/>
        <v>2</v>
      </c>
      <c r="AO119" s="43">
        <f t="shared" si="138"/>
        <v>0.25863969953146138</v>
      </c>
      <c r="AS119" s="39">
        <v>345.98</v>
      </c>
      <c r="AT119" s="39" t="s">
        <v>2172</v>
      </c>
      <c r="AW119" s="39">
        <v>272.83999999999997</v>
      </c>
      <c r="AX119" s="39" t="s">
        <v>2171</v>
      </c>
      <c r="BA119" s="39">
        <v>218.41</v>
      </c>
      <c r="BB119" s="39" t="s">
        <v>2171</v>
      </c>
      <c r="BD119" s="2">
        <f t="shared" si="70"/>
        <v>2</v>
      </c>
      <c r="BE119" s="39">
        <f t="shared" si="147"/>
        <v>319.29000000000002</v>
      </c>
      <c r="BI119" s="39">
        <v>319.29000000000002</v>
      </c>
      <c r="BJ119" s="39" t="s">
        <v>2172</v>
      </c>
      <c r="BL119" s="2">
        <f t="shared" si="71"/>
        <v>2</v>
      </c>
      <c r="BM119" s="39">
        <f t="shared" si="148"/>
        <v>345.98</v>
      </c>
      <c r="BQ119" s="39">
        <v>345.98</v>
      </c>
      <c r="BR119" s="39" t="s">
        <v>2169</v>
      </c>
      <c r="BT119" s="8">
        <f t="shared" si="72"/>
        <v>2</v>
      </c>
      <c r="BU119" s="39">
        <v>21</v>
      </c>
      <c r="BY119" s="39">
        <v>21</v>
      </c>
      <c r="BZ119" s="39" t="s">
        <v>234</v>
      </c>
      <c r="CB119" s="39">
        <v>1</v>
      </c>
      <c r="CC119" s="39" t="s">
        <v>2173</v>
      </c>
      <c r="CF119" s="39" t="s">
        <v>132</v>
      </c>
      <c r="CG119" s="39" t="s">
        <v>2174</v>
      </c>
      <c r="CH119" s="80" t="s">
        <v>895</v>
      </c>
      <c r="CJ119" s="39">
        <f>IF(CK119="数据缺失",0,IF(CK119&lt;0,0,IF(CK119&lt;2,2,IF(CK119&lt;=5,1,3))))</f>
        <v>2</v>
      </c>
      <c r="CK119" s="48">
        <f>CO119/CS119</f>
        <v>0.74390334805349367</v>
      </c>
      <c r="CO119" s="39">
        <v>237.52090000000001</v>
      </c>
      <c r="CP119" s="39" t="s">
        <v>146</v>
      </c>
      <c r="CS119" s="39">
        <v>319.29000000000002</v>
      </c>
      <c r="CT119" s="39" t="s">
        <v>2169</v>
      </c>
      <c r="CV119" s="39">
        <f>IF(CW119="数据缺失",0,IF(CW119&lt;0,0,IF(CW119&lt;100,5,IF(CW119&lt;500,4,IF(CW119&lt;1000,3,IF(CW119&lt;2000,2,1))))))</f>
        <v>2</v>
      </c>
      <c r="CW119" s="39">
        <f>DA119</f>
        <v>1125.8599999999999</v>
      </c>
      <c r="DA119" s="39">
        <v>1125.8599999999999</v>
      </c>
      <c r="DB119" s="39" t="s">
        <v>2169</v>
      </c>
      <c r="DD119" s="39">
        <f>IF(DE119="数据缺失",0,IF(DE119&lt;0,0,IF(DE119&lt;2,3,IF(DE119&lt;=5,1,2))))</f>
        <v>1</v>
      </c>
      <c r="DE119" s="48">
        <f>DM119/DI119</f>
        <v>3.2541187351870047</v>
      </c>
      <c r="DI119" s="39">
        <v>345.98</v>
      </c>
      <c r="DJ119" s="39" t="s">
        <v>2169</v>
      </c>
      <c r="DM119" s="39">
        <v>1125.8599999999999</v>
      </c>
      <c r="DN119" s="39" t="s">
        <v>2172</v>
      </c>
      <c r="DP119" s="39">
        <v>4</v>
      </c>
      <c r="DQ119" s="39" t="s">
        <v>2175</v>
      </c>
      <c r="DR119" s="39" t="s">
        <v>2169</v>
      </c>
      <c r="DU119" s="40" t="s">
        <v>2176</v>
      </c>
      <c r="DY119" s="40" t="s">
        <v>2176</v>
      </c>
      <c r="EC119" s="40" t="s">
        <v>37</v>
      </c>
      <c r="EG119" s="40" t="s">
        <v>2176</v>
      </c>
      <c r="EJ119" s="39">
        <f t="shared" si="134"/>
        <v>1</v>
      </c>
      <c r="EK119" s="39">
        <v>741.22</v>
      </c>
      <c r="EO119" s="39">
        <v>741.22</v>
      </c>
      <c r="EP119" s="39" t="s">
        <v>2169</v>
      </c>
      <c r="ER119" s="39">
        <f t="shared" si="141"/>
        <v>1</v>
      </c>
      <c r="ES119" s="39">
        <v>386.53</v>
      </c>
      <c r="EW119" s="39">
        <v>386.53</v>
      </c>
      <c r="EX119" s="39" t="s">
        <v>2172</v>
      </c>
      <c r="EZ119" s="42">
        <f t="shared" si="145"/>
        <v>1</v>
      </c>
      <c r="FA119" s="39">
        <f t="shared" si="146"/>
        <v>1204.2</v>
      </c>
      <c r="FE119" s="39">
        <v>1204.2</v>
      </c>
      <c r="FF119" s="39" t="s">
        <v>2177</v>
      </c>
      <c r="FH119" s="39">
        <v>4</v>
      </c>
      <c r="FI119" s="39" t="s">
        <v>2178</v>
      </c>
      <c r="FM119" s="142">
        <v>8.0000000000000002E-3</v>
      </c>
      <c r="FN119" s="39" t="s">
        <v>2179</v>
      </c>
      <c r="FQ119" s="142">
        <v>0.49680000000000002</v>
      </c>
      <c r="FR119" s="39" t="s">
        <v>2177</v>
      </c>
      <c r="FU119" s="142">
        <v>0.36270000000000002</v>
      </c>
      <c r="FV119" s="39" t="s">
        <v>2177</v>
      </c>
      <c r="FY119" s="142">
        <v>0.13250000000000001</v>
      </c>
      <c r="FZ119" s="39" t="s">
        <v>2177</v>
      </c>
      <c r="GB119" s="39">
        <v>2</v>
      </c>
      <c r="GC119" s="39" t="s">
        <v>2180</v>
      </c>
      <c r="GG119" s="39" t="s">
        <v>2180</v>
      </c>
      <c r="GH119" s="39" t="s">
        <v>2168</v>
      </c>
      <c r="GJ119" s="39">
        <f t="shared" si="142"/>
        <v>4</v>
      </c>
      <c r="GK119" s="43">
        <f t="shared" si="143"/>
        <v>7.1704986742544552E-3</v>
      </c>
      <c r="GN119" s="39">
        <v>1.69</v>
      </c>
      <c r="GO119" s="39" t="s">
        <v>2181</v>
      </c>
      <c r="GP119" s="39" t="s">
        <v>1179</v>
      </c>
      <c r="GS119" s="69">
        <v>235.68793145000001</v>
      </c>
      <c r="GT119" s="39" t="s">
        <v>2105</v>
      </c>
      <c r="GV119" s="39">
        <f>IF(GW119="数据缺失",0,IF(GW119&lt;20%,1,IF(GW119&lt;40%,2,IF(GW119&lt;60%,3,IF(GW119&lt;80%,4,IF(GW119&lt;=100%,5,0))))))</f>
        <v>0</v>
      </c>
      <c r="GW119" s="43" t="s">
        <v>2176</v>
      </c>
      <c r="HA119" s="39" t="s">
        <v>37</v>
      </c>
      <c r="HE119" s="69">
        <v>678.02115595999999</v>
      </c>
      <c r="HF119" s="39" t="s">
        <v>2182</v>
      </c>
      <c r="HH119" s="39">
        <f>IF(HI119="数据缺失",0,IF(HI119&lt;20%,1,IF(HI119&lt;40%,2,IF(HI119&lt;60%,3,IF(HI119&lt;80%,4,IF(HI119&lt;=100%,5,0))))))</f>
        <v>1</v>
      </c>
      <c r="HI119" s="43">
        <f>HM119/HQ119</f>
        <v>0.14669010180107422</v>
      </c>
      <c r="HM119" s="39">
        <v>9.49</v>
      </c>
      <c r="HN119" s="39" t="s">
        <v>2168</v>
      </c>
      <c r="HQ119" s="78">
        <v>64.694208290000006</v>
      </c>
      <c r="HR119" s="39" t="s">
        <v>2182</v>
      </c>
      <c r="HT119" s="39">
        <f>IF(HU119="数据缺失",0,IF(HU119&lt;5%,4,IF(HU119&lt;=10%,3,IF(HU119&lt;30%,2,IF(HU119&lt;=100%,1,0)))))</f>
        <v>4</v>
      </c>
      <c r="HU119" s="39">
        <f>HY119/IC119</f>
        <v>0</v>
      </c>
      <c r="HY119" s="39">
        <v>0</v>
      </c>
      <c r="HZ119" s="39" t="s">
        <v>146</v>
      </c>
      <c r="IC119" s="39">
        <v>42.37</v>
      </c>
      <c r="ID119" s="39" t="s">
        <v>2182</v>
      </c>
      <c r="IR119" s="42">
        <f>IF(IS119="数据缺失",0,IF(IS119&lt;0%,0,IF(IS119&lt;=100%,4,IF(IS119&lt;200%,3,IF(IS119&lt;300%,2,1)))))</f>
        <v>2</v>
      </c>
      <c r="IS119" s="43">
        <f>IW119/JA119</f>
        <v>2.7970960373040854</v>
      </c>
      <c r="IW119" s="39">
        <v>388</v>
      </c>
      <c r="IX119" s="39" t="s">
        <v>2168</v>
      </c>
      <c r="JA119" s="69">
        <v>138.71529430000001</v>
      </c>
      <c r="JB119" s="39" t="s">
        <v>2182</v>
      </c>
      <c r="JD119" s="39">
        <f>IF(JE119="数据缺失",0,IF(JE119&lt;0%,0,IF(JE119&lt;4%,1,IF(JE119&lt;6%,2,IF(JE119&lt;8%,3,4)))))</f>
        <v>4</v>
      </c>
      <c r="JE119" s="46">
        <f>JI119/JM119/(JQ119+JU119)*2</f>
        <v>8.5685600203106616E-2</v>
      </c>
      <c r="JI119" s="39">
        <v>35.64</v>
      </c>
      <c r="JJ119" s="39" t="s">
        <v>2172</v>
      </c>
      <c r="JM119" s="39">
        <v>2.96</v>
      </c>
      <c r="JN119" s="39" t="s">
        <v>2169</v>
      </c>
      <c r="JQ119" s="39">
        <v>160.91</v>
      </c>
      <c r="JR119" s="39" t="s">
        <v>2172</v>
      </c>
      <c r="JU119" s="39">
        <v>120.13</v>
      </c>
      <c r="JV119" s="39" t="s">
        <v>2169</v>
      </c>
      <c r="JX119" s="39">
        <v>1</v>
      </c>
      <c r="JY119" s="39" t="s">
        <v>2183</v>
      </c>
      <c r="KB119" s="39">
        <v>1</v>
      </c>
      <c r="KC119" s="39" t="s">
        <v>2183</v>
      </c>
      <c r="KD119" s="39" t="s">
        <v>2168</v>
      </c>
      <c r="KF119" s="39">
        <f>IF(KG119="数据缺失",0,IF(KG119&lt;0%,0,IF(KG119&lt;20%,1,IF(KG119&lt;50%,2,IF(KG119&lt;100%,3,4)))))</f>
        <v>3</v>
      </c>
      <c r="KG119" s="43">
        <f>KK119/KO119</f>
        <v>0.56057264912568472</v>
      </c>
      <c r="KK119" s="39">
        <v>77.760000000000005</v>
      </c>
      <c r="KL119" s="39" t="s">
        <v>2168</v>
      </c>
      <c r="KO119" s="69">
        <v>138.71529430000001</v>
      </c>
      <c r="KP119" s="39" t="s">
        <v>144</v>
      </c>
    </row>
    <row r="120" spans="2:302" s="39" customFormat="1" ht="13" hidden="1" x14ac:dyDescent="0.35">
      <c r="B120" s="39" t="s">
        <v>2184</v>
      </c>
      <c r="C120" s="39" t="s">
        <v>390</v>
      </c>
      <c r="D120" s="39" t="s">
        <v>391</v>
      </c>
      <c r="E120" s="202" t="s">
        <v>289</v>
      </c>
      <c r="F120" s="39" t="s">
        <v>2185</v>
      </c>
      <c r="G120" s="42" t="s">
        <v>199</v>
      </c>
      <c r="H120" s="141">
        <v>0.57509999999999994</v>
      </c>
      <c r="L120" s="42">
        <v>4</v>
      </c>
      <c r="M120" s="39" t="s">
        <v>2186</v>
      </c>
      <c r="P120" s="39" t="s">
        <v>126</v>
      </c>
      <c r="Q120" s="39" t="s">
        <v>2187</v>
      </c>
      <c r="R120" s="39" t="s">
        <v>2188</v>
      </c>
      <c r="T120" s="39" t="s">
        <v>129</v>
      </c>
      <c r="U120" s="40">
        <f>0.6722*(0.99*0.0576+0.4739+0.0261)</f>
        <v>0.37443153279999997</v>
      </c>
      <c r="X120" s="39">
        <f t="shared" si="136"/>
        <v>2</v>
      </c>
      <c r="Y120" s="43">
        <f t="shared" si="144"/>
        <v>0.27994149810940994</v>
      </c>
      <c r="AC120" s="39">
        <v>72.97</v>
      </c>
      <c r="AD120" s="39" t="s">
        <v>2189</v>
      </c>
      <c r="AG120" s="39">
        <v>94.34</v>
      </c>
      <c r="AH120" s="39" t="s">
        <v>2190</v>
      </c>
      <c r="AK120" s="39">
        <v>52.81</v>
      </c>
      <c r="AL120" s="39" t="s">
        <v>2190</v>
      </c>
      <c r="AN120" s="39">
        <f t="shared" si="137"/>
        <v>2</v>
      </c>
      <c r="AO120" s="43">
        <f t="shared" si="138"/>
        <v>0.13624805583733196</v>
      </c>
      <c r="AS120" s="39">
        <v>61.07</v>
      </c>
      <c r="AT120" s="39" t="s">
        <v>2189</v>
      </c>
      <c r="AW120" s="39">
        <v>88.37</v>
      </c>
      <c r="AX120" s="39" t="s">
        <v>2190</v>
      </c>
      <c r="BA120" s="39">
        <v>55.88</v>
      </c>
      <c r="BB120" s="39" t="s">
        <v>2191</v>
      </c>
      <c r="BD120" s="2">
        <f t="shared" si="70"/>
        <v>4</v>
      </c>
      <c r="BE120" s="39">
        <f t="shared" si="147"/>
        <v>72.97</v>
      </c>
      <c r="BI120" s="39">
        <v>72.97</v>
      </c>
      <c r="BJ120" s="39" t="s">
        <v>2189</v>
      </c>
      <c r="BL120" s="2">
        <f t="shared" si="71"/>
        <v>4</v>
      </c>
      <c r="BM120" s="39">
        <f t="shared" si="148"/>
        <v>61.07</v>
      </c>
      <c r="BQ120" s="39">
        <v>61.07</v>
      </c>
      <c r="BR120" s="39" t="s">
        <v>2192</v>
      </c>
      <c r="BT120" s="8">
        <f t="shared" si="72"/>
        <v>3</v>
      </c>
      <c r="BU120" s="39">
        <f>BY120</f>
        <v>119</v>
      </c>
      <c r="BY120" s="39">
        <v>119</v>
      </c>
      <c r="BZ120" s="80" t="s">
        <v>331</v>
      </c>
      <c r="CB120" s="39">
        <v>1</v>
      </c>
      <c r="CC120" s="39" t="str">
        <f>CF120</f>
        <v>一级</v>
      </c>
      <c r="CF120" s="39" t="s">
        <v>132</v>
      </c>
      <c r="CG120" s="39" t="s">
        <v>698</v>
      </c>
      <c r="CH120" s="39" t="s">
        <v>2191</v>
      </c>
      <c r="CI120" s="39" t="s">
        <v>2193</v>
      </c>
      <c r="CJ120" s="39">
        <f>IF(CK120="数据缺失",0,IF(CK120&lt;0,0,IF(CK120&lt;2,2,IF(CK120&lt;=5,1,3))))</f>
        <v>2</v>
      </c>
      <c r="CK120" s="48">
        <f>CO120/CS120</f>
        <v>0.11086747978621352</v>
      </c>
      <c r="CO120" s="39">
        <v>8.09</v>
      </c>
      <c r="CP120" s="39" t="s">
        <v>2191</v>
      </c>
      <c r="CQ120" s="39" t="s">
        <v>1152</v>
      </c>
      <c r="CS120" s="39">
        <v>72.97</v>
      </c>
      <c r="CT120" s="39" t="s">
        <v>2189</v>
      </c>
      <c r="CV120" s="39">
        <f>IF(CW120="数据缺失",0,IF(CW120&lt;0,0,IF(CW120&lt;100,5,IF(CW120&lt;500,4,IF(CW120&lt;1000,3,IF(CW120&lt;2000,2,1))))))</f>
        <v>2</v>
      </c>
      <c r="CW120" s="39">
        <f>DA120</f>
        <v>1314.23</v>
      </c>
      <c r="DA120" s="39">
        <v>1314.23</v>
      </c>
      <c r="DB120" s="39" t="s">
        <v>2191</v>
      </c>
      <c r="DC120" s="39" t="s">
        <v>1152</v>
      </c>
      <c r="DD120" s="39">
        <f>IF(DE120="数据缺失",0,IF(DE120&lt;0,0,IF(DE120&lt;2,3,IF(DE120&lt;=5,1,2))))</f>
        <v>2</v>
      </c>
      <c r="DE120" s="48">
        <f>DM120/DI120</f>
        <v>21.520058948747341</v>
      </c>
      <c r="DI120" s="39">
        <v>61.07</v>
      </c>
      <c r="DJ120" s="39" t="s">
        <v>2189</v>
      </c>
      <c r="DM120" s="39">
        <v>1314.23</v>
      </c>
      <c r="DN120" s="39" t="s">
        <v>2191</v>
      </c>
      <c r="DO120" s="39" t="s">
        <v>2194</v>
      </c>
      <c r="DP120" s="39">
        <v>4</v>
      </c>
      <c r="DQ120" s="39" t="s">
        <v>2195</v>
      </c>
      <c r="DR120" s="39" t="s">
        <v>2191</v>
      </c>
      <c r="DU120" s="40" t="s">
        <v>37</v>
      </c>
      <c r="DY120" s="40" t="s">
        <v>37</v>
      </c>
      <c r="EC120" s="40" t="s">
        <v>37</v>
      </c>
      <c r="EG120" s="40" t="s">
        <v>37</v>
      </c>
      <c r="EJ120" s="39">
        <f t="shared" si="134"/>
        <v>1</v>
      </c>
      <c r="EK120" s="39">
        <f>EO120</f>
        <v>123.57</v>
      </c>
      <c r="EO120" s="39">
        <v>123.57</v>
      </c>
      <c r="EP120" s="39" t="s">
        <v>2189</v>
      </c>
      <c r="ER120" s="39">
        <f t="shared" si="141"/>
        <v>2</v>
      </c>
      <c r="ES120" s="39">
        <f>EW120</f>
        <v>79.150000000000006</v>
      </c>
      <c r="EW120" s="39">
        <v>79.150000000000006</v>
      </c>
      <c r="EX120" s="39" t="s">
        <v>2196</v>
      </c>
      <c r="EZ120" s="42">
        <f t="shared" si="145"/>
        <v>1</v>
      </c>
      <c r="FA120" s="39">
        <f t="shared" si="146"/>
        <v>430.08049999999997</v>
      </c>
      <c r="FE120" s="69">
        <v>430.08049999999997</v>
      </c>
      <c r="FF120" s="39" t="s">
        <v>411</v>
      </c>
      <c r="FH120" s="39">
        <v>4</v>
      </c>
      <c r="FI120" s="39" t="s">
        <v>2197</v>
      </c>
      <c r="FM120" s="40">
        <v>4.87E-2</v>
      </c>
      <c r="FN120" s="39" t="s">
        <v>411</v>
      </c>
      <c r="FQ120" s="142">
        <v>0.41899999999999998</v>
      </c>
      <c r="FR120" s="39" t="s">
        <v>411</v>
      </c>
      <c r="FU120" s="142">
        <v>0.22</v>
      </c>
      <c r="FV120" s="39" t="s">
        <v>411</v>
      </c>
      <c r="FY120" s="142">
        <v>0.31219999999999998</v>
      </c>
      <c r="FZ120" s="39" t="s">
        <v>411</v>
      </c>
      <c r="GB120" s="39">
        <v>3</v>
      </c>
      <c r="GC120" s="39" t="str">
        <f>GG120</f>
        <v>房地产：57.89%；商业贸易：37.43%</v>
      </c>
      <c r="GG120" s="39" t="s">
        <v>2198</v>
      </c>
      <c r="GH120" s="39" t="s">
        <v>411</v>
      </c>
      <c r="GJ120" s="39">
        <f t="shared" si="142"/>
        <v>4</v>
      </c>
      <c r="GK120" s="43">
        <f t="shared" si="143"/>
        <v>0</v>
      </c>
      <c r="GN120" s="39">
        <v>0</v>
      </c>
      <c r="GO120" s="39" t="s">
        <v>921</v>
      </c>
      <c r="GP120" s="39" t="s">
        <v>411</v>
      </c>
      <c r="GS120" s="69">
        <v>110.3833907792</v>
      </c>
      <c r="GT120" s="39" t="s">
        <v>144</v>
      </c>
      <c r="GV120" s="39">
        <f>IF(GW120="数据缺失",0,IF(GW120&lt;20%,1,IF(GW120&lt;40%,2,IF(GW120&lt;60%,3,IF(GW120&lt;80%,4,IF(GW120&lt;=100%,5,0))))))</f>
        <v>3</v>
      </c>
      <c r="GW120" s="43">
        <f>HA120/HE120*100%</f>
        <v>0.43327215595577812</v>
      </c>
      <c r="HA120" s="39">
        <v>306.97000000000003</v>
      </c>
      <c r="HB120" s="39" t="s">
        <v>2199</v>
      </c>
      <c r="HE120" s="69">
        <v>708.49233162199994</v>
      </c>
      <c r="HF120" s="39" t="s">
        <v>144</v>
      </c>
      <c r="HH120" s="39">
        <f>IF(HI120="数据缺失",0,IF(HI120&lt;20%,1,IF(HI120&lt;40%,2,IF(HI120&lt;60%,3,IF(HI120&lt;80%,4,IF(HI120&lt;=100%,5,0))))))</f>
        <v>2</v>
      </c>
      <c r="HI120" s="43">
        <f>HM120/HQ120</f>
        <v>0.27179718609194492</v>
      </c>
      <c r="HM120" s="39">
        <v>34.659999999999997</v>
      </c>
      <c r="HN120" s="39" t="s">
        <v>411</v>
      </c>
      <c r="HQ120" s="78">
        <v>127.52155568040001</v>
      </c>
      <c r="HR120" s="39" t="s">
        <v>2105</v>
      </c>
      <c r="HT120" s="39">
        <f>IF(HU120="数据缺失",0,IF(HU120&lt;5%,4,IF(HU120&lt;=10%,3,IF(HU120&lt;30%,2,IF(HU120&lt;=100%,1,0)))))</f>
        <v>4</v>
      </c>
      <c r="HU120" s="39">
        <f>HY120/IC120</f>
        <v>0</v>
      </c>
      <c r="HY120" s="39">
        <v>0</v>
      </c>
      <c r="HZ120" s="39" t="s">
        <v>411</v>
      </c>
      <c r="IC120" s="39">
        <v>133.9</v>
      </c>
      <c r="ID120" s="39" t="s">
        <v>144</v>
      </c>
      <c r="IR120" s="42">
        <f>IF(IS120="数据缺失",0,IF(IS120&lt;0%,0,IF(IS120&lt;=100%,4,IF(IS120&lt;200%,3,IF(IS120&lt;300%,2,1)))))</f>
        <v>3</v>
      </c>
      <c r="IS120" s="43">
        <f>IW120/JA120</f>
        <v>1.2413685895531832</v>
      </c>
      <c r="IW120" s="39">
        <v>254.56</v>
      </c>
      <c r="IX120" s="39" t="s">
        <v>2200</v>
      </c>
      <c r="JA120" s="69">
        <v>205.0639931945</v>
      </c>
      <c r="JB120" s="39" t="s">
        <v>2201</v>
      </c>
      <c r="JD120" s="39">
        <f>IF(JE120="数据缺失",0,IF(JE120&lt;0%,0,IF(JE120&lt;4%,1,IF(JE120&lt;6%,2,IF(JE120&lt;8%,3,4)))))</f>
        <v>4</v>
      </c>
      <c r="JE120" s="46">
        <f>JI120/JM120/(JQ120+JU120)*2</f>
        <v>9.5646597719845225E-2</v>
      </c>
      <c r="JI120" s="39">
        <v>22.91</v>
      </c>
      <c r="JJ120" s="39" t="s">
        <v>2189</v>
      </c>
      <c r="JM120" s="39">
        <v>0.73</v>
      </c>
      <c r="JN120" s="39" t="s">
        <v>2189</v>
      </c>
      <c r="JQ120" s="39">
        <v>352.12</v>
      </c>
      <c r="JR120" s="39" t="s">
        <v>2189</v>
      </c>
      <c r="JU120" s="39">
        <v>304.12</v>
      </c>
      <c r="JV120" s="39" t="s">
        <v>2191</v>
      </c>
      <c r="JX120" s="39">
        <v>2</v>
      </c>
      <c r="JY120" s="39" t="s">
        <v>410</v>
      </c>
      <c r="KB120" s="39">
        <v>7</v>
      </c>
      <c r="KC120" s="39" t="s">
        <v>410</v>
      </c>
      <c r="KD120" s="39" t="s">
        <v>411</v>
      </c>
      <c r="KF120" s="39">
        <f>IF(KG120="数据缺失",0,IF(KG120&lt;0%,0,IF(KG120&lt;20%,1,IF(KG120&lt;50%,2,IF(KG120&lt;100%,3,4)))))</f>
        <v>2</v>
      </c>
      <c r="KG120" s="43">
        <f>KK120/KO120</f>
        <v>0.2550423367128829</v>
      </c>
      <c r="KK120" s="39">
        <v>52.3</v>
      </c>
      <c r="KL120" s="39" t="s">
        <v>411</v>
      </c>
      <c r="KM120" s="39" t="s">
        <v>2202</v>
      </c>
      <c r="KO120" s="69">
        <v>205.0639931945</v>
      </c>
      <c r="KP120" s="39" t="s">
        <v>144</v>
      </c>
    </row>
    <row r="121" spans="2:302" s="223" customFormat="1" ht="15.75" hidden="1" customHeight="1" x14ac:dyDescent="0.35">
      <c r="B121" s="39" t="s">
        <v>2203</v>
      </c>
      <c r="C121" s="36" t="s">
        <v>2204</v>
      </c>
      <c r="D121" s="39" t="s">
        <v>2205</v>
      </c>
      <c r="E121" s="202" t="s">
        <v>289</v>
      </c>
      <c r="F121" s="39" t="s">
        <v>2206</v>
      </c>
      <c r="G121" s="42" t="s">
        <v>174</v>
      </c>
      <c r="H121" s="40">
        <f>(195.82+2.25+0.53+0.19)/327.9808868195</f>
        <v>0.60610239190371329</v>
      </c>
      <c r="L121" s="42">
        <v>3</v>
      </c>
      <c r="M121" s="39" t="s">
        <v>2207</v>
      </c>
      <c r="N121" s="39"/>
      <c r="O121" s="39"/>
      <c r="P121" s="39" t="s">
        <v>603</v>
      </c>
      <c r="Q121" s="39" t="s">
        <v>2208</v>
      </c>
      <c r="R121" s="39" t="s">
        <v>2209</v>
      </c>
      <c r="S121" s="39"/>
      <c r="T121" s="39" t="s">
        <v>709</v>
      </c>
      <c r="U121" s="50">
        <v>1</v>
      </c>
      <c r="X121" s="36">
        <f t="shared" si="136"/>
        <v>1</v>
      </c>
      <c r="Y121" s="40">
        <f t="shared" si="144"/>
        <v>0.80060797235628367</v>
      </c>
      <c r="Z121" s="39"/>
      <c r="AA121" s="39"/>
      <c r="AB121" s="39"/>
      <c r="AC121" s="69">
        <v>194.99814900000001</v>
      </c>
      <c r="AD121" s="39" t="s">
        <v>2209</v>
      </c>
      <c r="AE121" s="39" t="s">
        <v>2210</v>
      </c>
      <c r="AF121" s="39"/>
      <c r="AG121" s="69">
        <v>107.2497</v>
      </c>
      <c r="AH121" s="39" t="s">
        <v>2211</v>
      </c>
      <c r="AI121" s="39" t="s">
        <v>2212</v>
      </c>
      <c r="AJ121" s="39"/>
      <c r="AK121" s="69">
        <v>60.149700000000003</v>
      </c>
      <c r="AL121" s="39" t="s">
        <v>2213</v>
      </c>
      <c r="AM121" s="39" t="s">
        <v>2212</v>
      </c>
      <c r="AN121" s="39">
        <f t="shared" si="137"/>
        <v>1</v>
      </c>
      <c r="AO121" s="43">
        <f t="shared" si="138"/>
        <v>0.34570648128302806</v>
      </c>
      <c r="AP121" s="39"/>
      <c r="AQ121" s="39"/>
      <c r="AR121" s="39"/>
      <c r="AS121" s="39">
        <v>93.88</v>
      </c>
      <c r="AT121" s="39" t="s">
        <v>2214</v>
      </c>
      <c r="AU121" s="39"/>
      <c r="AV121" s="39"/>
      <c r="AW121" s="39">
        <v>81.87</v>
      </c>
      <c r="AX121" s="39" t="s">
        <v>2211</v>
      </c>
      <c r="AY121" s="39"/>
      <c r="AZ121" s="39"/>
      <c r="BA121" s="39">
        <v>53</v>
      </c>
      <c r="BB121" s="39" t="s">
        <v>2213</v>
      </c>
      <c r="BD121" s="2">
        <f t="shared" si="70"/>
        <v>3</v>
      </c>
      <c r="BE121" s="69">
        <f t="shared" si="147"/>
        <v>194.99814900000001</v>
      </c>
      <c r="BF121" s="39"/>
      <c r="BG121" s="39"/>
      <c r="BH121" s="39"/>
      <c r="BI121" s="69">
        <v>194.99814900000001</v>
      </c>
      <c r="BJ121" s="39" t="s">
        <v>2209</v>
      </c>
      <c r="BK121" s="39" t="s">
        <v>2212</v>
      </c>
      <c r="BL121" s="2">
        <f t="shared" si="71"/>
        <v>4</v>
      </c>
      <c r="BM121" s="39">
        <f t="shared" si="148"/>
        <v>93.88</v>
      </c>
      <c r="BN121" s="39"/>
      <c r="BO121" s="39"/>
      <c r="BP121" s="39"/>
      <c r="BQ121" s="39">
        <v>93.88</v>
      </c>
      <c r="BR121" s="39" t="s">
        <v>2209</v>
      </c>
      <c r="BT121" s="8">
        <f t="shared" si="72"/>
        <v>3</v>
      </c>
      <c r="BU121" s="39">
        <v>155</v>
      </c>
      <c r="BV121" s="39"/>
      <c r="BW121" s="39"/>
      <c r="BX121" s="39"/>
      <c r="BY121" s="39">
        <v>155</v>
      </c>
      <c r="BZ121" s="39" t="s">
        <v>234</v>
      </c>
      <c r="CA121" s="39" t="s">
        <v>2215</v>
      </c>
      <c r="CB121" s="39">
        <v>1</v>
      </c>
      <c r="CC121" s="39" t="s">
        <v>2147</v>
      </c>
      <c r="CD121" s="39"/>
      <c r="CE121" s="39"/>
      <c r="CF121" s="39" t="s">
        <v>2147</v>
      </c>
      <c r="CG121" s="39" t="s">
        <v>2216</v>
      </c>
      <c r="CH121" s="39" t="s">
        <v>2217</v>
      </c>
      <c r="CI121" s="39" t="s">
        <v>2218</v>
      </c>
      <c r="CJ121" s="39">
        <f>IF(CK121="数据缺失",0,IF(CK121&lt;0,0,IF(CK121&lt;2,2,IF(CK121&lt;=5,1,3))))</f>
        <v>2</v>
      </c>
      <c r="CK121" s="48">
        <f>CO121/CS121</f>
        <v>1.2886788992032945</v>
      </c>
      <c r="CL121" s="39"/>
      <c r="CM121" s="39"/>
      <c r="CN121" s="39"/>
      <c r="CO121" s="39">
        <f>420.61-40.25-27.07-102</f>
        <v>251.29000000000002</v>
      </c>
      <c r="CP121" s="39" t="s">
        <v>2211</v>
      </c>
      <c r="CQ121" s="39"/>
      <c r="CR121" s="39"/>
      <c r="CS121" s="69">
        <v>194.99814900000001</v>
      </c>
      <c r="CT121" s="39" t="s">
        <v>2211</v>
      </c>
      <c r="CU121" s="39" t="s">
        <v>2210</v>
      </c>
      <c r="CV121" s="36">
        <v>0</v>
      </c>
      <c r="CW121" s="36" t="s">
        <v>2154</v>
      </c>
      <c r="CX121" s="36"/>
      <c r="CY121" s="36"/>
      <c r="CZ121" s="36"/>
      <c r="DA121" s="36" t="s">
        <v>2154</v>
      </c>
      <c r="DD121" s="36">
        <f>IF(DE121="数据缺失",0,IF(DE121&lt;0,0,IF(DE121&lt;2,3,IF(DE121&lt;=5,1,2))))</f>
        <v>0</v>
      </c>
      <c r="DE121" s="53" t="s">
        <v>37</v>
      </c>
      <c r="DF121" s="39"/>
      <c r="DG121" s="39"/>
      <c r="DH121" s="39"/>
      <c r="DI121" s="39">
        <v>93.88</v>
      </c>
      <c r="DJ121" s="39" t="s">
        <v>2214</v>
      </c>
      <c r="DK121" s="39"/>
      <c r="DL121" s="39"/>
      <c r="DM121" s="157" t="s">
        <v>2098</v>
      </c>
      <c r="DP121" s="39">
        <v>3</v>
      </c>
      <c r="DQ121" s="39" t="s">
        <v>2219</v>
      </c>
      <c r="DR121" s="39" t="s">
        <v>2214</v>
      </c>
      <c r="DS121" s="39"/>
      <c r="DT121" s="39"/>
      <c r="DU121" s="39" t="s">
        <v>37</v>
      </c>
      <c r="DV121" s="39"/>
      <c r="DW121" s="39"/>
      <c r="DX121" s="39"/>
      <c r="DY121" s="39" t="s">
        <v>2154</v>
      </c>
      <c r="DZ121" s="39"/>
      <c r="EA121" s="39"/>
      <c r="EB121" s="39"/>
      <c r="EC121" s="39" t="s">
        <v>37</v>
      </c>
      <c r="ED121" s="39"/>
      <c r="EE121" s="39"/>
      <c r="EF121" s="39"/>
      <c r="EG121" s="39" t="s">
        <v>2154</v>
      </c>
      <c r="EJ121" s="39">
        <f>IF(EK121="数据缺失",0,IF(EK121&lt;0%,0,IF(EK121&lt;=5%,5,IF(EK121&lt;=20%,4,IF(EK121&lt;=50%,3,IF(EK121&lt;=100,2,1))))))</f>
        <v>1</v>
      </c>
      <c r="EK121" s="39">
        <f>EO121</f>
        <v>175</v>
      </c>
      <c r="EL121" s="39"/>
      <c r="EM121" s="39"/>
      <c r="EN121" s="39"/>
      <c r="EO121" s="39">
        <v>175</v>
      </c>
      <c r="EP121" s="39" t="s">
        <v>2209</v>
      </c>
      <c r="EQ121" s="39"/>
      <c r="ER121" s="39">
        <f>IF(ES121="数据缺失",0,IF(ES121&lt;0%,0,IF(ES121&lt;=5%,5,IF(ES121&lt;=20%,4,IF(ES121&lt;=50%,3,IF(ES121&lt;=100,2,1))))))</f>
        <v>1</v>
      </c>
      <c r="ES121" s="39">
        <f>EW121</f>
        <v>229</v>
      </c>
      <c r="ET121" s="39"/>
      <c r="EU121" s="39"/>
      <c r="EV121" s="39"/>
      <c r="EW121" s="39">
        <v>229</v>
      </c>
      <c r="EX121" s="39" t="s">
        <v>2214</v>
      </c>
      <c r="EZ121" s="39">
        <f t="shared" si="145"/>
        <v>1</v>
      </c>
      <c r="FA121" s="39">
        <f t="shared" si="146"/>
        <v>985</v>
      </c>
      <c r="FB121" s="39"/>
      <c r="FC121" s="39"/>
      <c r="FD121" s="39"/>
      <c r="FE121" s="39">
        <v>985</v>
      </c>
      <c r="FF121" s="39" t="s">
        <v>2209</v>
      </c>
      <c r="FG121" s="39" t="s">
        <v>2220</v>
      </c>
      <c r="FH121" s="223">
        <v>3</v>
      </c>
      <c r="FI121" s="223" t="s">
        <v>2221</v>
      </c>
      <c r="FJ121" s="39" t="s">
        <v>2214</v>
      </c>
      <c r="FM121" s="39" t="s">
        <v>2154</v>
      </c>
      <c r="FN121" s="39"/>
      <c r="FO121" s="39"/>
      <c r="FP121" s="39"/>
      <c r="FQ121" s="39" t="s">
        <v>2154</v>
      </c>
      <c r="FR121" s="39"/>
      <c r="FS121" s="39"/>
      <c r="FT121" s="39"/>
      <c r="FU121" s="39" t="s">
        <v>2154</v>
      </c>
      <c r="FV121" s="39"/>
      <c r="FW121" s="39"/>
      <c r="FX121" s="39"/>
      <c r="FY121" s="39" t="s">
        <v>37</v>
      </c>
      <c r="GB121" s="39">
        <v>3</v>
      </c>
      <c r="GC121" s="39" t="s">
        <v>2222</v>
      </c>
      <c r="GG121" s="39" t="s">
        <v>2222</v>
      </c>
      <c r="GH121" s="223" t="s">
        <v>1179</v>
      </c>
      <c r="GJ121" s="39">
        <f t="shared" si="142"/>
        <v>4</v>
      </c>
      <c r="GK121" s="40">
        <f t="shared" si="143"/>
        <v>9.0554057244027798E-3</v>
      </c>
      <c r="GN121" s="223">
        <f>2.25+0.53+0.19</f>
        <v>2.97</v>
      </c>
      <c r="GO121" s="39" t="s">
        <v>2223</v>
      </c>
      <c r="GP121" s="223" t="s">
        <v>2224</v>
      </c>
      <c r="GS121" s="69">
        <v>327.98088681949997</v>
      </c>
      <c r="GT121" s="39" t="s">
        <v>2201</v>
      </c>
      <c r="GV121" s="36">
        <f>IF(GW121="数据缺失",0,IF(GW121&lt;20%,1,IF(GW121&lt;40%,2,IF(GW121&lt;60%,3,IF(GW121&lt;80%,4,IF(GW121&lt;=100%,5,0))))))</f>
        <v>2</v>
      </c>
      <c r="GW121" s="5">
        <f>HA121/HE121*100%</f>
        <v>0.36009800538665498</v>
      </c>
      <c r="GX121" s="36"/>
      <c r="GY121" s="36"/>
      <c r="GZ121" s="36"/>
      <c r="HA121" s="36">
        <v>645.5</v>
      </c>
      <c r="HB121" s="36" t="s">
        <v>2214</v>
      </c>
      <c r="HC121" s="36" t="s">
        <v>2225</v>
      </c>
      <c r="HD121" s="39"/>
      <c r="HE121" s="69">
        <v>1792.5675520110001</v>
      </c>
      <c r="HF121" s="39" t="s">
        <v>2161</v>
      </c>
      <c r="HH121" s="223">
        <v>2</v>
      </c>
      <c r="HI121" s="224">
        <f>HM121/HQ121</f>
        <v>0.25733650374955258</v>
      </c>
      <c r="HM121" s="223">
        <v>73.7</v>
      </c>
      <c r="HN121" s="223" t="s">
        <v>2224</v>
      </c>
      <c r="HQ121" s="225">
        <v>286.3954352614</v>
      </c>
      <c r="HR121" s="223" t="s">
        <v>2201</v>
      </c>
      <c r="HT121" s="226">
        <v>2</v>
      </c>
      <c r="HU121" s="224">
        <f>HY121/IC121</f>
        <v>0.21954054158757216</v>
      </c>
      <c r="HY121" s="223">
        <v>113.34</v>
      </c>
      <c r="HZ121" s="223" t="s">
        <v>2224</v>
      </c>
      <c r="IC121" s="223">
        <v>516.26</v>
      </c>
      <c r="ID121" s="223" t="s">
        <v>2201</v>
      </c>
      <c r="IR121" s="39">
        <f>IF(IS121="数据缺失",0,IF(IS121&lt;0%,0,IF(IS121&lt;=100%,4,IF(IS121&lt;200%,3,IF(IS121&lt;300%,2,1)))))</f>
        <v>0</v>
      </c>
      <c r="IS121" s="39" t="s">
        <v>2098</v>
      </c>
      <c r="IT121" s="39"/>
      <c r="IU121" s="39"/>
      <c r="IV121" s="39"/>
      <c r="IW121" s="39" t="s">
        <v>37</v>
      </c>
      <c r="IX121" s="39"/>
      <c r="IY121" s="39"/>
      <c r="IZ121" s="39"/>
      <c r="JA121" s="69">
        <v>283.56544179810004</v>
      </c>
      <c r="JB121" s="39" t="s">
        <v>2201</v>
      </c>
      <c r="JD121" s="223">
        <f>IF(JE121="数据缺失",0,IF(JE121&lt;0%,0,IF(JE121&lt;4%,1,IF(JE121&lt;6%,2,IF(JE121&lt;8%,3,4)))))</f>
        <v>4</v>
      </c>
      <c r="JE121" s="224">
        <f>JI121/JM121/(JQ121+JU121)*2</f>
        <v>9.2470718197527391E-2</v>
      </c>
      <c r="JI121" s="223">
        <v>52.1</v>
      </c>
      <c r="JJ121" s="223" t="s">
        <v>2214</v>
      </c>
      <c r="JM121" s="223">
        <v>0.56000000000000005</v>
      </c>
      <c r="JN121" s="223" t="s">
        <v>2209</v>
      </c>
      <c r="JQ121" s="223">
        <v>1196.31</v>
      </c>
      <c r="JR121" s="223" t="s">
        <v>2211</v>
      </c>
      <c r="JU121" s="223">
        <v>815.91</v>
      </c>
      <c r="JV121" s="223" t="s">
        <v>2209</v>
      </c>
      <c r="JX121" s="223">
        <v>2</v>
      </c>
      <c r="JY121" s="223" t="s">
        <v>2226</v>
      </c>
      <c r="KB121" s="223">
        <v>17</v>
      </c>
      <c r="KC121" s="223" t="s">
        <v>2226</v>
      </c>
      <c r="KD121" s="223" t="s">
        <v>2224</v>
      </c>
      <c r="KF121" s="223">
        <f>IF(KG121="数据缺失",0,IF(KG121&lt;0%,0,IF(KG121&lt;20%,1,IF(KG121&lt;50%,2,IF(KG121&lt;100%,3,4)))))</f>
        <v>1</v>
      </c>
      <c r="KG121" s="224">
        <f>KK121/KO121</f>
        <v>0</v>
      </c>
      <c r="KK121" s="223">
        <v>0</v>
      </c>
      <c r="KL121" s="223" t="s">
        <v>2224</v>
      </c>
      <c r="KO121" s="227">
        <v>283.56544179810004</v>
      </c>
      <c r="KP121" s="223" t="s">
        <v>2201</v>
      </c>
    </row>
    <row r="122" spans="2:302" s="36" customFormat="1" ht="15.75" hidden="1" customHeight="1" x14ac:dyDescent="0.35">
      <c r="B122" s="39" t="s">
        <v>2227</v>
      </c>
      <c r="C122" s="36" t="s">
        <v>983</v>
      </c>
      <c r="D122" s="39" t="s">
        <v>2205</v>
      </c>
      <c r="E122" s="202" t="s">
        <v>289</v>
      </c>
      <c r="F122" s="39" t="s">
        <v>2228</v>
      </c>
      <c r="G122" s="42" t="s">
        <v>199</v>
      </c>
      <c r="H122" s="40">
        <f>(30.44+0.65+0.25)/31.8103735619</f>
        <v>0.9852132021969281</v>
      </c>
      <c r="L122" s="42">
        <v>4</v>
      </c>
      <c r="M122" s="39" t="s">
        <v>2229</v>
      </c>
      <c r="N122" s="39"/>
      <c r="O122" s="39"/>
      <c r="P122" s="39" t="s">
        <v>603</v>
      </c>
      <c r="Q122" s="39" t="s">
        <v>2230</v>
      </c>
      <c r="R122" s="39" t="s">
        <v>2231</v>
      </c>
      <c r="S122" s="39"/>
      <c r="T122" s="39" t="s">
        <v>129</v>
      </c>
      <c r="U122" s="40">
        <v>0.25109999999999999</v>
      </c>
      <c r="X122" s="39">
        <f t="shared" si="136"/>
        <v>1</v>
      </c>
      <c r="Y122" s="40">
        <f t="shared" si="144"/>
        <v>0.49638818059097045</v>
      </c>
      <c r="Z122" s="39"/>
      <c r="AA122" s="39"/>
      <c r="AB122" s="39"/>
      <c r="AC122" s="36">
        <v>30.44</v>
      </c>
      <c r="AD122" s="36" t="s">
        <v>2232</v>
      </c>
      <c r="AE122" s="39"/>
      <c r="AF122" s="39"/>
      <c r="AG122" s="39">
        <v>28.25</v>
      </c>
      <c r="AH122" s="39" t="s">
        <v>2233</v>
      </c>
      <c r="AI122" s="39"/>
      <c r="AJ122" s="39"/>
      <c r="AK122" s="39">
        <v>14.75</v>
      </c>
      <c r="AL122" s="39" t="s">
        <v>2234</v>
      </c>
      <c r="AN122" s="39">
        <f t="shared" si="137"/>
        <v>1</v>
      </c>
      <c r="AO122" s="43">
        <f t="shared" si="138"/>
        <v>0.31034731784986996</v>
      </c>
      <c r="AP122" s="39"/>
      <c r="AQ122" s="39"/>
      <c r="AR122" s="39"/>
      <c r="AS122" s="36">
        <v>24.95</v>
      </c>
      <c r="AT122" s="36" t="s">
        <v>1262</v>
      </c>
      <c r="AU122" s="39"/>
      <c r="AV122" s="39"/>
      <c r="AW122" s="39">
        <v>24.63</v>
      </c>
      <c r="AX122" s="39" t="s">
        <v>2234</v>
      </c>
      <c r="AY122" s="39"/>
      <c r="AZ122" s="39"/>
      <c r="BA122" s="39">
        <v>15.32</v>
      </c>
      <c r="BB122" s="39" t="s">
        <v>2235</v>
      </c>
      <c r="BD122" s="2">
        <f t="shared" si="70"/>
        <v>5</v>
      </c>
      <c r="BE122" s="39">
        <f t="shared" si="147"/>
        <v>30.44</v>
      </c>
      <c r="BF122" s="39"/>
      <c r="BG122" s="39"/>
      <c r="BH122" s="39"/>
      <c r="BI122" s="36">
        <f>AC122</f>
        <v>30.44</v>
      </c>
      <c r="BJ122" s="36" t="str">
        <f>AD122</f>
        <v>评级20150828</v>
      </c>
      <c r="BK122" s="39"/>
      <c r="BL122" s="2">
        <f t="shared" si="71"/>
        <v>5</v>
      </c>
      <c r="BM122" s="39">
        <f t="shared" si="148"/>
        <v>24.95</v>
      </c>
      <c r="BN122" s="39"/>
      <c r="BO122" s="39"/>
      <c r="BP122" s="39"/>
      <c r="BQ122" s="36">
        <f>AS122</f>
        <v>24.95</v>
      </c>
      <c r="BR122" s="36" t="str">
        <f>AT122</f>
        <v>评级20150828</v>
      </c>
      <c r="BT122" s="8">
        <f t="shared" si="72"/>
        <v>3</v>
      </c>
      <c r="BU122" s="39">
        <v>171</v>
      </c>
      <c r="BV122" s="39"/>
      <c r="BW122" s="39"/>
      <c r="BX122" s="39"/>
      <c r="BY122" s="39">
        <v>171</v>
      </c>
      <c r="BZ122" s="39" t="s">
        <v>398</v>
      </c>
      <c r="CB122" s="39">
        <v>1</v>
      </c>
      <c r="CC122" s="39" t="s">
        <v>133</v>
      </c>
      <c r="CD122" s="39"/>
      <c r="CE122" s="39"/>
      <c r="CF122" s="39" t="s">
        <v>133</v>
      </c>
      <c r="CG122" s="58" t="s">
        <v>2236</v>
      </c>
      <c r="CH122" s="39" t="s">
        <v>2233</v>
      </c>
      <c r="CJ122" s="39">
        <f>IF(CK122="数据缺失",0,IF(CK122&lt;0,0,IF(CK122&lt;2,2,IF(CK122&lt;=5,1,3))))</f>
        <v>2</v>
      </c>
      <c r="CK122" s="48">
        <f>CO122/CS122</f>
        <v>1.0857424441524308</v>
      </c>
      <c r="CL122" s="39"/>
      <c r="CM122" s="39"/>
      <c r="CN122" s="39"/>
      <c r="CO122" s="39">
        <v>33.049999999999997</v>
      </c>
      <c r="CP122" s="39" t="s">
        <v>2237</v>
      </c>
      <c r="CQ122" s="39"/>
      <c r="CR122" s="39"/>
      <c r="CS122" s="36">
        <f>AC122</f>
        <v>30.44</v>
      </c>
      <c r="CT122" s="36" t="str">
        <f>AD122</f>
        <v>评级20150828</v>
      </c>
      <c r="CV122" s="36">
        <f>IF(CW122="数据缺失",0,IF(CW122&lt;0,0,IF(CW122&lt;100,5,IF(CW122&lt;500,4,IF(CW122&lt;1000,3,IF(CW122&lt;2000,2,1))))))</f>
        <v>5</v>
      </c>
      <c r="CW122" s="36">
        <f>DA122</f>
        <v>49.91</v>
      </c>
      <c r="DA122" s="36">
        <v>49.91</v>
      </c>
      <c r="DB122" s="36" t="s">
        <v>2237</v>
      </c>
      <c r="DD122" s="36">
        <f>IF(DE122="数据缺失",0,IF(DE122&lt;0,0,IF(DE122&lt;2,3,IF(DE122&lt;=5,1,2))))</f>
        <v>1</v>
      </c>
      <c r="DE122" s="53">
        <f>DM122/DI122</f>
        <v>2.0004008016032064</v>
      </c>
      <c r="DF122" s="39"/>
      <c r="DG122" s="39"/>
      <c r="DH122" s="39"/>
      <c r="DI122" s="37">
        <f>BQ122</f>
        <v>24.95</v>
      </c>
      <c r="DJ122" s="36" t="str">
        <f>BR122</f>
        <v>评级20150828</v>
      </c>
      <c r="DK122" s="39"/>
      <c r="DL122" s="39"/>
      <c r="DM122" s="36">
        <v>49.91</v>
      </c>
      <c r="DN122" s="36" t="s">
        <v>2235</v>
      </c>
      <c r="DP122" s="39">
        <v>3</v>
      </c>
      <c r="DQ122" s="39" t="s">
        <v>2238</v>
      </c>
      <c r="DR122" s="39"/>
      <c r="DT122" s="39"/>
      <c r="DU122" s="50">
        <v>0</v>
      </c>
      <c r="DV122" s="39" t="s">
        <v>2235</v>
      </c>
      <c r="DW122" s="39"/>
      <c r="DX122" s="39"/>
      <c r="DY122" s="50">
        <v>1</v>
      </c>
      <c r="DZ122" s="39" t="s">
        <v>2234</v>
      </c>
      <c r="EA122" s="39"/>
      <c r="EB122" s="39"/>
      <c r="EC122" s="50">
        <v>0</v>
      </c>
      <c r="ED122" s="39" t="s">
        <v>2234</v>
      </c>
      <c r="EE122" s="39"/>
      <c r="EF122" s="39"/>
      <c r="EG122" s="50">
        <v>0</v>
      </c>
      <c r="EH122" s="39" t="s">
        <v>2234</v>
      </c>
      <c r="EJ122" s="39">
        <f>IF(EK122="数据缺失",0,IF(EK122&lt;0%,0,IF(EK122&lt;=5%,5,IF(EK122&lt;=20%,4,IF(EK122&lt;=50%,3,IF(EK122&lt;=100,2,1))))))</f>
        <v>2</v>
      </c>
      <c r="EK122" s="39">
        <f>EO122</f>
        <v>63.36</v>
      </c>
      <c r="EL122" s="39"/>
      <c r="EM122" s="39"/>
      <c r="EN122" s="39"/>
      <c r="EO122" s="39">
        <v>63.36</v>
      </c>
      <c r="EP122" s="39" t="s">
        <v>2239</v>
      </c>
      <c r="EQ122" s="39"/>
      <c r="ER122" s="39">
        <f>IF(ES122="数据缺失",0,IF(ES122&lt;0,0,IF(ES122&lt;=5,5,IF(ES122&lt;=20,4,IF(ES122&lt;=50,3,IF(ES122&lt;=100,2,1))))))</f>
        <v>3</v>
      </c>
      <c r="ES122" s="39">
        <f>EW122</f>
        <v>39.17</v>
      </c>
      <c r="ET122" s="39"/>
      <c r="EU122" s="39"/>
      <c r="EV122" s="39"/>
      <c r="EW122" s="39">
        <v>39.17</v>
      </c>
      <c r="EX122" s="39" t="s">
        <v>2240</v>
      </c>
      <c r="EZ122" s="39">
        <f t="shared" si="145"/>
        <v>2</v>
      </c>
      <c r="FA122" s="39">
        <f t="shared" si="146"/>
        <v>198.43</v>
      </c>
      <c r="FB122" s="39"/>
      <c r="FC122" s="39"/>
      <c r="FD122" s="39"/>
      <c r="FE122" s="39">
        <v>198.43</v>
      </c>
      <c r="FF122" s="39" t="s">
        <v>2241</v>
      </c>
      <c r="FH122" s="39">
        <v>3</v>
      </c>
      <c r="FI122" s="39" t="s">
        <v>2242</v>
      </c>
      <c r="FJ122" s="39"/>
      <c r="FK122" s="39"/>
      <c r="FL122" s="39"/>
      <c r="FM122" s="50">
        <v>0</v>
      </c>
      <c r="FN122" s="39" t="s">
        <v>2237</v>
      </c>
      <c r="FO122" s="39"/>
      <c r="FP122" s="39"/>
      <c r="FQ122" s="50">
        <v>1</v>
      </c>
      <c r="FR122" s="39" t="s">
        <v>2234</v>
      </c>
      <c r="FS122" s="39"/>
      <c r="FT122" s="39"/>
      <c r="FU122" s="50">
        <v>0</v>
      </c>
      <c r="FV122" s="39" t="s">
        <v>2234</v>
      </c>
      <c r="FW122" s="39"/>
      <c r="FX122" s="39"/>
      <c r="FY122" s="50">
        <v>0</v>
      </c>
      <c r="FZ122" s="39" t="s">
        <v>2234</v>
      </c>
      <c r="GB122" s="39">
        <v>2</v>
      </c>
      <c r="GC122" s="36" t="s">
        <v>2243</v>
      </c>
      <c r="GE122" s="41"/>
      <c r="GG122" s="36" t="s">
        <v>2244</v>
      </c>
      <c r="GH122" s="36" t="s">
        <v>2231</v>
      </c>
      <c r="GJ122" s="39">
        <f t="shared" si="142"/>
        <v>4</v>
      </c>
      <c r="GK122" s="43">
        <f t="shared" si="143"/>
        <v>2.8292657370045798E-2</v>
      </c>
      <c r="GN122" s="36">
        <f>0.65+0.25</f>
        <v>0.9</v>
      </c>
      <c r="GO122" s="39" t="s">
        <v>2245</v>
      </c>
      <c r="GP122" s="36" t="s">
        <v>411</v>
      </c>
      <c r="GQ122" s="39"/>
      <c r="GR122" s="39"/>
      <c r="GS122" s="69">
        <v>31.810373561900001</v>
      </c>
      <c r="GT122" s="39" t="s">
        <v>2161</v>
      </c>
      <c r="GV122" s="223">
        <f>IF(GW122="数据缺失",0,IF(GW122&lt;20%,1,IF(GW122&lt;40%,2,IF(GW122&lt;60%,3,IF(GW122&lt;80%,4,IF(GW122&lt;=100%,5,0))))))</f>
        <v>2</v>
      </c>
      <c r="GW122" s="224">
        <f>HA122/HE122*100%</f>
        <v>0.26836760018300188</v>
      </c>
      <c r="GX122" s="223"/>
      <c r="GY122" s="223"/>
      <c r="GZ122" s="223"/>
      <c r="HA122" s="223">
        <v>50.4</v>
      </c>
      <c r="HB122" s="223" t="s">
        <v>2231</v>
      </c>
      <c r="HC122" s="223"/>
      <c r="HD122" s="223"/>
      <c r="HE122" s="227">
        <v>187.80210414979999</v>
      </c>
      <c r="HF122" s="223" t="s">
        <v>144</v>
      </c>
      <c r="HH122" s="39">
        <f>IF(HI122="数据缺失",0,IF(HI122&lt;20%,1,IF(HI122&lt;40%,2,IF(HI122&lt;60%,3,IF(HI122&lt;80%,4,IF(HI122&lt;=100%,5,0))))))</f>
        <v>1</v>
      </c>
      <c r="HI122" s="40">
        <f>HM122/HQ122</f>
        <v>0.14697919915419594</v>
      </c>
      <c r="HJ122" s="39"/>
      <c r="HK122" s="39"/>
      <c r="HL122" s="39"/>
      <c r="HM122" s="39">
        <v>1.1399999999999999</v>
      </c>
      <c r="HN122" s="39" t="s">
        <v>411</v>
      </c>
      <c r="HO122" s="39"/>
      <c r="HP122" s="39"/>
      <c r="HQ122" s="78">
        <v>7.7561995612999999</v>
      </c>
      <c r="HR122" s="39" t="s">
        <v>2246</v>
      </c>
      <c r="HT122" s="226">
        <f>IF(HU122="数据缺失",0,IF(HU122&lt;5%,4,IF(HU122&lt;=10%,3,IF(HU122&lt;30%,2,IF(HU122&lt;=100%,1,0)))))</f>
        <v>4</v>
      </c>
      <c r="HU122" s="224">
        <f>HY122/IC122</f>
        <v>0</v>
      </c>
      <c r="HV122" s="223"/>
      <c r="HW122" s="223"/>
      <c r="HX122" s="223"/>
      <c r="HY122" s="223">
        <v>0</v>
      </c>
      <c r="HZ122" s="223" t="s">
        <v>411</v>
      </c>
      <c r="IA122" s="223"/>
      <c r="IB122" s="223"/>
      <c r="IC122" s="223">
        <v>46.91</v>
      </c>
      <c r="ID122" s="223" t="s">
        <v>2161</v>
      </c>
      <c r="IR122" s="226">
        <f>IF(IS122="数据缺失",0,IF(IS122&lt;0%,0,IF(IS122&lt;=100%,4,IF(IS122&lt;200%,3,IF(IS122&lt;300%,2,1)))))</f>
        <v>4</v>
      </c>
      <c r="IS122" s="228">
        <f>IW122/JA122</f>
        <v>0.53598806408437905</v>
      </c>
      <c r="IT122" s="223"/>
      <c r="IU122" s="223"/>
      <c r="IV122" s="223"/>
      <c r="IW122" s="223">
        <v>31.85</v>
      </c>
      <c r="IX122" s="223" t="s">
        <v>501</v>
      </c>
      <c r="IY122" s="223" t="s">
        <v>2247</v>
      </c>
      <c r="IZ122" s="223"/>
      <c r="JA122" s="227">
        <v>59.422965051300004</v>
      </c>
      <c r="JB122" s="223" t="s">
        <v>144</v>
      </c>
      <c r="JD122" s="39">
        <f>IF(JE122="数据缺失",0,IF(JE122&lt;0%,0,IF(JE122&lt;4%,1,IF(JE122&lt;6%,2,IF(JE122&lt;8%,3,4)))))</f>
        <v>4</v>
      </c>
      <c r="JE122" s="40">
        <f>JI122/JM122/(JQ122+JU122)*2</f>
        <v>0.21822019473003332</v>
      </c>
      <c r="JI122" s="39">
        <v>6.41</v>
      </c>
      <c r="JJ122" s="39" t="s">
        <v>2235</v>
      </c>
      <c r="JK122" s="39"/>
      <c r="JL122" s="39"/>
      <c r="JM122" s="36">
        <v>0.38</v>
      </c>
      <c r="JN122" s="36" t="s">
        <v>1262</v>
      </c>
      <c r="JO122" s="39"/>
      <c r="JP122" s="39"/>
      <c r="JQ122" s="39">
        <v>85.04</v>
      </c>
      <c r="JR122" s="39" t="s">
        <v>2235</v>
      </c>
      <c r="JS122" s="39"/>
      <c r="JT122" s="39"/>
      <c r="JU122" s="39">
        <v>69.56</v>
      </c>
      <c r="JV122" s="39" t="s">
        <v>2237</v>
      </c>
      <c r="JX122" s="39">
        <v>3</v>
      </c>
      <c r="JY122" s="39" t="s">
        <v>2248</v>
      </c>
      <c r="JZ122" s="39"/>
      <c r="KA122" s="39"/>
      <c r="KB122" s="39">
        <v>41</v>
      </c>
      <c r="KC122" s="39" t="s">
        <v>2248</v>
      </c>
      <c r="KD122" s="39" t="s">
        <v>411</v>
      </c>
      <c r="KF122" s="39">
        <f>IF(KG122="数据缺失",0,IF(KG122&lt;0%,0,IF(KG122&lt;20%,1,IF(KG122&lt;50%,2,IF(KG122&lt;100%,3,4)))))</f>
        <v>1</v>
      </c>
      <c r="KG122" s="40">
        <f>KK122/KO122</f>
        <v>0</v>
      </c>
      <c r="KH122" s="39"/>
      <c r="KI122" s="39"/>
      <c r="KJ122" s="39"/>
      <c r="KK122" s="39">
        <v>0</v>
      </c>
      <c r="KL122" s="39" t="s">
        <v>2231</v>
      </c>
      <c r="KM122" s="39"/>
      <c r="KN122" s="39"/>
      <c r="KO122" s="69">
        <v>59.422965051300004</v>
      </c>
      <c r="KP122" s="39" t="s">
        <v>2161</v>
      </c>
    </row>
    <row r="123" spans="2:302" s="223" customFormat="1" ht="15.75" hidden="1" customHeight="1" x14ac:dyDescent="0.35">
      <c r="B123" s="39" t="s">
        <v>2227</v>
      </c>
      <c r="C123" s="36" t="s">
        <v>2249</v>
      </c>
      <c r="D123" s="39" t="s">
        <v>2205</v>
      </c>
      <c r="E123" s="202" t="s">
        <v>2250</v>
      </c>
      <c r="F123" s="39" t="s">
        <v>2251</v>
      </c>
      <c r="G123" s="42" t="s">
        <v>249</v>
      </c>
      <c r="H123" s="40">
        <v>0.91820000000000002</v>
      </c>
      <c r="L123" s="42">
        <v>4</v>
      </c>
      <c r="M123" s="39" t="s">
        <v>2229</v>
      </c>
      <c r="N123" s="39"/>
      <c r="O123" s="39"/>
      <c r="P123" s="39" t="s">
        <v>603</v>
      </c>
      <c r="Q123" s="39" t="s">
        <v>2252</v>
      </c>
      <c r="R123" s="39" t="s">
        <v>366</v>
      </c>
      <c r="S123" s="39"/>
      <c r="T123" s="39" t="s">
        <v>129</v>
      </c>
      <c r="U123" s="40">
        <v>0.25109999999999999</v>
      </c>
      <c r="X123" s="39">
        <f t="shared" si="136"/>
        <v>2</v>
      </c>
      <c r="Y123" s="40">
        <f t="shared" si="144"/>
        <v>0.28366602226917831</v>
      </c>
      <c r="Z123" s="39"/>
      <c r="AA123" s="39"/>
      <c r="AB123" s="39"/>
      <c r="AC123" s="39">
        <v>28.25</v>
      </c>
      <c r="AD123" s="39" t="s">
        <v>2234</v>
      </c>
      <c r="AE123" s="39"/>
      <c r="AF123" s="39"/>
      <c r="AG123" s="39">
        <v>14.75</v>
      </c>
      <c r="AH123" s="39" t="s">
        <v>2234</v>
      </c>
      <c r="AI123" s="39"/>
      <c r="AJ123" s="39"/>
      <c r="AK123" s="39">
        <v>22.62</v>
      </c>
      <c r="AL123" s="39" t="s">
        <v>2253</v>
      </c>
      <c r="AN123" s="39">
        <f t="shared" si="137"/>
        <v>2</v>
      </c>
      <c r="AO123" s="43">
        <f t="shared" si="138"/>
        <v>0.14812083785607411</v>
      </c>
      <c r="AP123" s="39"/>
      <c r="AQ123" s="39"/>
      <c r="AR123" s="39"/>
      <c r="AS123" s="39">
        <v>24.63</v>
      </c>
      <c r="AT123" s="39" t="s">
        <v>2234</v>
      </c>
      <c r="AU123" s="39"/>
      <c r="AV123" s="39"/>
      <c r="AW123" s="39">
        <v>15.32</v>
      </c>
      <c r="AX123" s="39" t="s">
        <v>2234</v>
      </c>
      <c r="AY123" s="39"/>
      <c r="AZ123" s="39"/>
      <c r="BA123" s="39">
        <v>22.25</v>
      </c>
      <c r="BB123" s="39" t="s">
        <v>2253</v>
      </c>
      <c r="BD123" s="2">
        <f t="shared" si="70"/>
        <v>5</v>
      </c>
      <c r="BE123" s="39">
        <f t="shared" si="147"/>
        <v>28.25</v>
      </c>
      <c r="BF123" s="39"/>
      <c r="BG123" s="39"/>
      <c r="BH123" s="39"/>
      <c r="BI123" s="39">
        <v>28.25</v>
      </c>
      <c r="BJ123" s="39" t="s">
        <v>2254</v>
      </c>
      <c r="BK123" s="39"/>
      <c r="BL123" s="2">
        <f t="shared" si="71"/>
        <v>5</v>
      </c>
      <c r="BM123" s="39">
        <f t="shared" si="148"/>
        <v>24.63</v>
      </c>
      <c r="BN123" s="39"/>
      <c r="BO123" s="39"/>
      <c r="BP123" s="39"/>
      <c r="BQ123" s="39">
        <v>24.63</v>
      </c>
      <c r="BR123" s="39" t="s">
        <v>2254</v>
      </c>
      <c r="BT123" s="8">
        <f t="shared" si="72"/>
        <v>3</v>
      </c>
      <c r="BU123" s="39">
        <v>150</v>
      </c>
      <c r="BV123" s="39"/>
      <c r="BW123" s="39"/>
      <c r="BX123" s="39"/>
      <c r="BY123" s="39">
        <v>150</v>
      </c>
      <c r="BZ123" s="76" t="s">
        <v>2255</v>
      </c>
      <c r="CB123" s="39">
        <v>1</v>
      </c>
      <c r="CC123" s="39" t="s">
        <v>2173</v>
      </c>
      <c r="CD123" s="39"/>
      <c r="CE123" s="39"/>
      <c r="CF123" s="39" t="s">
        <v>133</v>
      </c>
      <c r="CG123" s="39" t="s">
        <v>2256</v>
      </c>
      <c r="CH123" s="39" t="s">
        <v>2257</v>
      </c>
      <c r="CJ123" s="39">
        <f>IF(CK123="数据缺失",0,IF(CK123&lt;0,0,IF(CK123&lt;2,2,IF(CK123&lt;=5,1,3))))</f>
        <v>2</v>
      </c>
      <c r="CK123" s="48">
        <f>CO123/CS123</f>
        <v>0.61592920353982294</v>
      </c>
      <c r="CL123" s="39"/>
      <c r="CM123" s="39"/>
      <c r="CN123" s="39"/>
      <c r="CO123" s="39">
        <v>17.399999999999999</v>
      </c>
      <c r="CP123" s="39" t="s">
        <v>2258</v>
      </c>
      <c r="CQ123" s="39"/>
      <c r="CR123" s="39"/>
      <c r="CS123" s="39">
        <v>28.25</v>
      </c>
      <c r="CT123" s="39" t="s">
        <v>2234</v>
      </c>
      <c r="CV123" s="39">
        <f>IF(CW123="数据缺失",0,IF(CW123&lt;0,0,IF(CW123&lt;100,5,IF(CW123&lt;500,4,IF(CW123&lt;1000,3,IF(CW123&lt;2000,2,1))))))</f>
        <v>5</v>
      </c>
      <c r="CW123" s="39">
        <v>60.7</v>
      </c>
      <c r="CX123" s="39"/>
      <c r="CY123" s="39"/>
      <c r="CZ123" s="39"/>
      <c r="DA123" s="39">
        <v>60.7</v>
      </c>
      <c r="DB123" s="39" t="s">
        <v>2259</v>
      </c>
      <c r="DC123" s="39"/>
      <c r="DD123" s="39">
        <f>IF(DE123="数据缺失",0,IF(DE123&lt;0,0,IF(DE123&lt;2,3,IF(DE123&lt;=5,1,2))))</f>
        <v>1</v>
      </c>
      <c r="DE123" s="39">
        <f>DM123/DI123</f>
        <v>2.4644742184328057</v>
      </c>
      <c r="DF123" s="39"/>
      <c r="DG123" s="39"/>
      <c r="DH123" s="39"/>
      <c r="DI123" s="39">
        <v>24.63</v>
      </c>
      <c r="DJ123" s="39" t="s">
        <v>2234</v>
      </c>
      <c r="DK123" s="39"/>
      <c r="DL123" s="39"/>
      <c r="DM123" s="14">
        <v>60.7</v>
      </c>
      <c r="DN123" s="39" t="s">
        <v>366</v>
      </c>
      <c r="DP123" s="223">
        <v>3</v>
      </c>
      <c r="DQ123" s="223" t="s">
        <v>2242</v>
      </c>
      <c r="DU123" s="229">
        <v>0</v>
      </c>
      <c r="DV123" s="223" t="s">
        <v>2259</v>
      </c>
      <c r="DY123" s="229">
        <v>1</v>
      </c>
      <c r="DZ123" s="223" t="s">
        <v>366</v>
      </c>
      <c r="EC123" s="229">
        <v>0</v>
      </c>
      <c r="ED123" s="223" t="s">
        <v>2259</v>
      </c>
      <c r="EG123" s="229">
        <v>0</v>
      </c>
      <c r="EH123" s="223" t="s">
        <v>366</v>
      </c>
      <c r="EJ123" s="39">
        <f>IF(EK123="数据缺失",0,IF(EK123&lt;0%,0,IF(EK123&lt;=5%,5,IF(EK123&lt;=20%,4,IF(EK123&lt;=50%,3,IF(EK123&lt;=100,2,1))))))</f>
        <v>2</v>
      </c>
      <c r="EK123" s="39">
        <f>EO123</f>
        <v>24.7</v>
      </c>
      <c r="EL123" s="39"/>
      <c r="EM123" s="39"/>
      <c r="EN123" s="39"/>
      <c r="EO123" s="39">
        <v>24.7</v>
      </c>
      <c r="EP123" s="39" t="s">
        <v>2260</v>
      </c>
      <c r="ER123" s="223">
        <f>IF(ES123="数据缺失",0,IF(ES123&lt;0,0,IF(ES123&lt;=5,5,IF(ES123&lt;=20,4,IF(ES123&lt;=50,3,IF(ES123&lt;=100,2,1))))))</f>
        <v>2</v>
      </c>
      <c r="ES123" s="223">
        <v>62.85</v>
      </c>
      <c r="EW123" s="223">
        <v>62.85</v>
      </c>
      <c r="EX123" s="223" t="s">
        <v>366</v>
      </c>
      <c r="EZ123" s="39">
        <f>IF(FA123="数据缺失",0,IF(FA123&lt;0%,0,IF(FA123&lt;=50,4,IF(FA123&lt;100,3,IF(FA123&lt;200,2,1)))))</f>
        <v>1</v>
      </c>
      <c r="FA123" s="39">
        <v>236.83</v>
      </c>
      <c r="FB123" s="39"/>
      <c r="FC123" s="39"/>
      <c r="FD123" s="39"/>
      <c r="FE123" s="39">
        <v>236.83</v>
      </c>
      <c r="FF123" s="39" t="s">
        <v>366</v>
      </c>
      <c r="FG123" s="39"/>
      <c r="FH123" s="39">
        <v>3</v>
      </c>
      <c r="FI123" s="39" t="s">
        <v>2242</v>
      </c>
      <c r="FJ123" s="39"/>
      <c r="FK123" s="39"/>
      <c r="FL123" s="39"/>
      <c r="FM123" s="50">
        <v>0</v>
      </c>
      <c r="FN123" s="39" t="s">
        <v>366</v>
      </c>
      <c r="FO123" s="39"/>
      <c r="FP123" s="39"/>
      <c r="FQ123" s="50">
        <v>1</v>
      </c>
      <c r="FR123" s="39" t="s">
        <v>366</v>
      </c>
      <c r="FS123" s="39"/>
      <c r="FT123" s="39"/>
      <c r="FU123" s="50">
        <v>0</v>
      </c>
      <c r="FV123" s="39" t="s">
        <v>2259</v>
      </c>
      <c r="FW123" s="39"/>
      <c r="FX123" s="39"/>
      <c r="FY123" s="50">
        <v>0</v>
      </c>
      <c r="FZ123" s="39" t="s">
        <v>2259</v>
      </c>
      <c r="GB123" s="223">
        <v>2</v>
      </c>
      <c r="GC123" s="223" t="s">
        <v>2261</v>
      </c>
      <c r="GG123" s="223" t="s">
        <v>2262</v>
      </c>
      <c r="GH123" s="39" t="s">
        <v>366</v>
      </c>
      <c r="GJ123" s="39">
        <f t="shared" si="142"/>
        <v>3</v>
      </c>
      <c r="GK123" s="43">
        <f t="shared" si="143"/>
        <v>5.2588359141831166E-2</v>
      </c>
      <c r="GL123" s="39"/>
      <c r="GM123" s="39"/>
      <c r="GN123" s="39">
        <f>0.61+0.31</f>
        <v>0.91999999999999993</v>
      </c>
      <c r="GO123" s="39" t="s">
        <v>2263</v>
      </c>
      <c r="GP123" s="36" t="s">
        <v>2259</v>
      </c>
      <c r="GQ123" s="39"/>
      <c r="GR123" s="39"/>
      <c r="GS123" s="69">
        <v>17.4943659588</v>
      </c>
      <c r="GT123" s="39" t="s">
        <v>144</v>
      </c>
      <c r="GV123" s="39">
        <f>IF(GW123="数据缺失",0,IF(GW123&lt;20%,1,IF(GW123&lt;40%,2,IF(GW123&lt;60%,3,IF(GW123&lt;80%,4,IF(GW123&lt;=100%,5,0))))))</f>
        <v>0</v>
      </c>
      <c r="GW123" s="39" t="s">
        <v>2176</v>
      </c>
      <c r="GX123" s="39"/>
      <c r="GY123" s="39"/>
      <c r="GZ123" s="39"/>
      <c r="HA123" s="39" t="s">
        <v>2176</v>
      </c>
      <c r="HE123" s="34">
        <v>176.04480748380001</v>
      </c>
      <c r="HF123" s="29" t="s">
        <v>2876</v>
      </c>
      <c r="HH123" s="223">
        <f>IF(HI123="数据缺失",0,IF(HI123&lt;20%,1,IF(HI123&lt;40%,2,IF(HI123&lt;60%,3,IF(HI123&lt;80%,4,IF(HI123&lt;=100%,5,0))))))</f>
        <v>1</v>
      </c>
      <c r="HI123" s="224">
        <f>HM123/HQ123</f>
        <v>4.4308735956991221E-3</v>
      </c>
      <c r="HM123" s="223">
        <v>0.14000000000000001</v>
      </c>
      <c r="HN123" s="223" t="s">
        <v>2259</v>
      </c>
      <c r="HQ123" s="225">
        <v>31.596477980300001</v>
      </c>
      <c r="HR123" s="223" t="s">
        <v>2182</v>
      </c>
      <c r="HT123" s="226">
        <f>IF(HU123="数据缺失",0,IF(HU123&lt;5%,4,IF(HU123&lt;=10%,3,IF(HU123&lt;30%,2,IF(HU123&lt;=100%,1,0)))))</f>
        <v>4</v>
      </c>
      <c r="HU123" s="224">
        <f>HY123/IC123</f>
        <v>0</v>
      </c>
      <c r="HY123" s="223">
        <v>0</v>
      </c>
      <c r="HZ123" s="223" t="s">
        <v>366</v>
      </c>
      <c r="IC123" s="223">
        <v>36.479999999999997</v>
      </c>
      <c r="ID123" s="223" t="s">
        <v>144</v>
      </c>
      <c r="IR123" s="226" t="str">
        <f>IF(IS123&gt;=300%,"1",IF(IS123&gt;=200%,"2",IF(IS123&gt;=100%,"3",IF(IS123&gt;=0%,"4",IF(IS123=数据缺失,"0")))))</f>
        <v>4</v>
      </c>
      <c r="IS123" s="228">
        <f>IW123/JA123</f>
        <v>0.49750784785381758</v>
      </c>
      <c r="IW123" s="223">
        <v>27.78</v>
      </c>
      <c r="IX123" s="223" t="s">
        <v>2264</v>
      </c>
      <c r="IY123" s="223" t="s">
        <v>2265</v>
      </c>
      <c r="JA123" s="227">
        <v>55.838315153900005</v>
      </c>
      <c r="JB123" s="223" t="s">
        <v>144</v>
      </c>
      <c r="JD123" s="39">
        <f>IF(JE123="数据缺失",0,IF(JE123&lt;0%,0,IF(JE123&lt;4%,1,IF(JE123&lt;6%,2,IF(JE123&lt;8%,3,4)))))</f>
        <v>4</v>
      </c>
      <c r="JE123" s="40">
        <f>JI123/JM123/(JQ123+JU123)*2</f>
        <v>0.10691933582558276</v>
      </c>
      <c r="JF123" s="39"/>
      <c r="JG123" s="39"/>
      <c r="JH123" s="39"/>
      <c r="JI123" s="38">
        <v>4.077</v>
      </c>
      <c r="JJ123" s="39" t="s">
        <v>2266</v>
      </c>
      <c r="JK123" s="39"/>
      <c r="JL123" s="39"/>
      <c r="JM123" s="39">
        <v>0.73</v>
      </c>
      <c r="JN123" s="39" t="s">
        <v>2267</v>
      </c>
      <c r="JO123" s="39"/>
      <c r="JP123" s="39"/>
      <c r="JQ123" s="39">
        <v>69.56</v>
      </c>
      <c r="JR123" s="39" t="s">
        <v>2267</v>
      </c>
      <c r="JS123" s="39"/>
      <c r="JT123" s="39"/>
      <c r="JU123" s="39">
        <v>34.909999999999997</v>
      </c>
      <c r="JV123" s="39" t="s">
        <v>2267</v>
      </c>
      <c r="JX123" s="39">
        <v>3</v>
      </c>
      <c r="JY123" s="39" t="s">
        <v>2248</v>
      </c>
      <c r="JZ123" s="39"/>
      <c r="KA123" s="39"/>
      <c r="KB123" s="39">
        <v>36</v>
      </c>
      <c r="KC123" s="39" t="s">
        <v>340</v>
      </c>
      <c r="KD123" s="39" t="s">
        <v>2259</v>
      </c>
      <c r="KF123" s="39">
        <f>IF(KG123="数据缺失",0,IF(KG123&lt;0%,0,IF(KG123&lt;20%,1,IF(KG123&lt;50%,2,IF(KG123&lt;100%,3,4)))))</f>
        <v>1</v>
      </c>
      <c r="KG123" s="40">
        <f>KK123/KO123</f>
        <v>0</v>
      </c>
      <c r="KH123" s="39"/>
      <c r="KI123" s="39"/>
      <c r="KJ123" s="39"/>
      <c r="KK123" s="39">
        <v>0</v>
      </c>
      <c r="KL123" s="39" t="s">
        <v>366</v>
      </c>
      <c r="KM123" s="39"/>
      <c r="KN123" s="39"/>
      <c r="KO123" s="69">
        <v>55.838315153900005</v>
      </c>
      <c r="KP123" s="39" t="s">
        <v>2182</v>
      </c>
    </row>
    <row r="124" spans="2:302" s="36" customFormat="1" ht="15.75" hidden="1" customHeight="1" x14ac:dyDescent="0.35">
      <c r="B124" s="36" t="s">
        <v>2268</v>
      </c>
      <c r="C124" s="36" t="s">
        <v>2205</v>
      </c>
      <c r="D124" s="36" t="s">
        <v>2204</v>
      </c>
      <c r="E124" s="36" t="s">
        <v>2116</v>
      </c>
      <c r="F124" s="36" t="s">
        <v>2269</v>
      </c>
      <c r="G124" s="3" t="s">
        <v>174</v>
      </c>
      <c r="H124" s="41">
        <v>0.22140000000000001</v>
      </c>
      <c r="I124" s="36" t="s">
        <v>2270</v>
      </c>
      <c r="J124" s="119" t="s">
        <v>2271</v>
      </c>
      <c r="L124" s="3"/>
      <c r="U124" s="86"/>
      <c r="BD124" s="2">
        <f t="shared" si="70"/>
        <v>5</v>
      </c>
      <c r="BL124" s="2"/>
      <c r="BT124" s="8"/>
      <c r="EZ124" s="3"/>
      <c r="GK124" s="5"/>
      <c r="GS124" s="38"/>
      <c r="GW124" s="5"/>
      <c r="HE124" s="38"/>
      <c r="HI124" s="5"/>
      <c r="HQ124" s="83"/>
      <c r="HT124" s="3"/>
      <c r="HU124" s="171"/>
      <c r="IR124" s="3"/>
      <c r="JA124" s="38"/>
      <c r="KO124" s="38"/>
    </row>
    <row r="125" spans="2:302" s="36" customFormat="1" ht="15.75" hidden="1" customHeight="1" x14ac:dyDescent="0.35">
      <c r="B125" s="36" t="s">
        <v>2272</v>
      </c>
      <c r="C125" s="36" t="s">
        <v>2205</v>
      </c>
      <c r="D125" s="36" t="s">
        <v>983</v>
      </c>
      <c r="E125" s="36" t="s">
        <v>289</v>
      </c>
      <c r="F125" s="39" t="s">
        <v>2273</v>
      </c>
      <c r="G125" s="42" t="s">
        <v>249</v>
      </c>
      <c r="H125" s="40">
        <f>1342.59/1354.1879108035</f>
        <v>0.9914355233044293</v>
      </c>
      <c r="L125" s="42">
        <v>2</v>
      </c>
      <c r="M125" s="39" t="s">
        <v>2274</v>
      </c>
      <c r="N125" s="39"/>
      <c r="O125" s="39"/>
      <c r="P125" s="233" t="s">
        <v>2900</v>
      </c>
      <c r="Q125" s="39" t="s">
        <v>2275</v>
      </c>
      <c r="R125" s="39" t="s">
        <v>2276</v>
      </c>
      <c r="S125" s="39"/>
      <c r="T125" s="39" t="s">
        <v>1235</v>
      </c>
      <c r="U125" s="41">
        <f>99.9961%*14.7%+0.0039%*14.7%</f>
        <v>0.14699999999999999</v>
      </c>
      <c r="X125" s="36">
        <f>IF(Y125="数据缺失",0,IF(Y125&lt;-30%,6,IF(Y125&lt;-10%,5,IF(Y125&lt;0%,4,IF(Y125&lt;10%,3,IF(Y125&lt;30%,2,1))))))</f>
        <v>2</v>
      </c>
      <c r="Y125" s="5">
        <f>((AC125-AG125)/AG125+(AG125-AK125)/AK125)/2*100%</f>
        <v>0.18608958297263156</v>
      </c>
      <c r="Z125" s="39"/>
      <c r="AA125" s="39"/>
      <c r="AB125" s="39"/>
      <c r="AC125" s="36">
        <v>1709.4</v>
      </c>
      <c r="AD125" s="36" t="s">
        <v>2277</v>
      </c>
      <c r="AG125" s="36">
        <v>1412.3</v>
      </c>
      <c r="AH125" s="36" t="s">
        <v>2277</v>
      </c>
      <c r="AK125" s="36">
        <v>1215.5999999999999</v>
      </c>
      <c r="AL125" s="36" t="s">
        <v>2277</v>
      </c>
      <c r="AN125" s="36">
        <f>IF(AO125="数据缺失",0,IF(AO125&lt;-30%,6,IF(AO125&lt;-10%,5,IF(AO125&lt;0%,4,IF(AO125&lt;10%,3,IF(AO125&lt;30%,2,1))))))</f>
        <v>2</v>
      </c>
      <c r="AO125" s="5">
        <f>((AS125-AW125)/AW125+(AW125-BA125)/BA125)/2*100%</f>
        <v>0.17742109247741977</v>
      </c>
      <c r="AP125" s="39"/>
      <c r="AQ125" s="39"/>
      <c r="AR125" s="39"/>
      <c r="AS125" s="36">
        <v>1489.9</v>
      </c>
      <c r="AT125" s="36" t="s">
        <v>2278</v>
      </c>
      <c r="AW125" s="36">
        <v>1295.5999999999999</v>
      </c>
      <c r="AX125" s="36" t="s">
        <v>2278</v>
      </c>
      <c r="BA125" s="36">
        <v>1075.3</v>
      </c>
      <c r="BB125" s="36" t="s">
        <v>2277</v>
      </c>
      <c r="BD125" s="2">
        <f t="shared" si="70"/>
        <v>1</v>
      </c>
      <c r="BE125" s="36">
        <f>BI125</f>
        <v>1709.4</v>
      </c>
      <c r="BI125" s="36">
        <f>AC125</f>
        <v>1709.4</v>
      </c>
      <c r="BJ125" s="36" t="str">
        <f>AD125</f>
        <v>募集20141217</v>
      </c>
      <c r="BK125" s="39"/>
      <c r="BL125" s="2">
        <f t="shared" si="71"/>
        <v>1</v>
      </c>
      <c r="BM125" s="36">
        <f>BQ125</f>
        <v>1489.9</v>
      </c>
      <c r="BQ125" s="36">
        <f>AS125</f>
        <v>1489.9</v>
      </c>
      <c r="BR125" s="36" t="str">
        <f>AT125</f>
        <v>募集20141217</v>
      </c>
      <c r="BT125" s="8">
        <f t="shared" si="72"/>
        <v>1</v>
      </c>
      <c r="BU125" s="39">
        <v>1</v>
      </c>
      <c r="BV125" s="39"/>
      <c r="BW125" s="39"/>
      <c r="BX125" s="39"/>
      <c r="BY125" s="39">
        <v>1</v>
      </c>
      <c r="BZ125" s="39" t="s">
        <v>1161</v>
      </c>
      <c r="CB125" s="36">
        <v>1</v>
      </c>
      <c r="CC125" s="36" t="str">
        <f>CF125</f>
        <v>一级</v>
      </c>
      <c r="CF125" s="36" t="s">
        <v>132</v>
      </c>
      <c r="CG125" s="39" t="s">
        <v>2279</v>
      </c>
      <c r="CH125" s="39" t="s">
        <v>360</v>
      </c>
      <c r="CJ125" s="39">
        <f>IF(CK125="数据缺失",0,IF(CK125&lt;0,0,IF(CK125&lt;2,2,IF(CK125&lt;=5,1,3))))</f>
        <v>0</v>
      </c>
      <c r="CK125" s="48" t="s">
        <v>2098</v>
      </c>
      <c r="CL125" s="39"/>
      <c r="CM125" s="39"/>
      <c r="CN125" s="39"/>
      <c r="CO125" s="39" t="s">
        <v>2098</v>
      </c>
      <c r="CP125" s="39"/>
      <c r="CQ125" s="39"/>
      <c r="CR125" s="39"/>
      <c r="CS125" s="36">
        <f>AC125</f>
        <v>1709.4</v>
      </c>
      <c r="CT125" s="36" t="str">
        <f>AD125</f>
        <v>募集20141217</v>
      </c>
      <c r="CV125" s="223">
        <f>IF(CW125="数据缺失",0,IF(CW125&lt;0,0,IF(CW125&lt;100,5,IF(CW125&lt;500,4,IF(CW125&lt;1000,3,IF(CW125&lt;2000,2,1))))))</f>
        <v>4</v>
      </c>
      <c r="CW125" s="223">
        <f>DA125</f>
        <v>426.7</v>
      </c>
      <c r="CX125" s="223"/>
      <c r="CY125" s="223"/>
      <c r="CZ125" s="223"/>
      <c r="DA125" s="223">
        <v>426.7</v>
      </c>
      <c r="DB125" s="223" t="s">
        <v>2280</v>
      </c>
      <c r="DC125" s="223"/>
      <c r="DD125" s="223">
        <f>IF(DE125="数据缺失",0,IF(DE125&lt;0,0,IF(DE125&lt;2,3,IF(DE125&lt;=5,1,2))))</f>
        <v>3</v>
      </c>
      <c r="DE125" s="230">
        <f>DM125/DI125</f>
        <v>0.28639506007114568</v>
      </c>
      <c r="DF125" s="223"/>
      <c r="DG125" s="223"/>
      <c r="DH125" s="223"/>
      <c r="DI125" s="231">
        <f>BQ125</f>
        <v>1489.9</v>
      </c>
      <c r="DJ125" s="223" t="str">
        <f>BR125</f>
        <v>募集20141217</v>
      </c>
      <c r="DK125" s="223"/>
      <c r="DL125" s="223"/>
      <c r="DM125" s="232">
        <f>DA125</f>
        <v>426.7</v>
      </c>
      <c r="DN125" s="232" t="str">
        <f>DB125</f>
        <v>募集20141217</v>
      </c>
      <c r="DP125" s="39">
        <v>1</v>
      </c>
      <c r="DQ125" s="39" t="s">
        <v>2281</v>
      </c>
      <c r="DR125" s="39"/>
      <c r="DS125" s="39"/>
      <c r="DT125" s="39"/>
      <c r="DU125" s="40">
        <v>0.59719999999999995</v>
      </c>
      <c r="DV125" s="39" t="s">
        <v>2280</v>
      </c>
      <c r="DW125" s="39"/>
      <c r="DX125" s="39"/>
      <c r="DY125" s="40">
        <v>0.30209999999999998</v>
      </c>
      <c r="DZ125" s="39" t="s">
        <v>2280</v>
      </c>
      <c r="EA125" s="39"/>
      <c r="EB125" s="39"/>
      <c r="EC125" s="40">
        <v>0.1007</v>
      </c>
      <c r="ED125" s="39" t="s">
        <v>2280</v>
      </c>
      <c r="EE125" s="39"/>
      <c r="EF125" s="39"/>
      <c r="EG125" s="50">
        <v>0</v>
      </c>
      <c r="EH125" s="39" t="s">
        <v>2280</v>
      </c>
      <c r="EJ125" s="223">
        <f>IF(EK125="数据缺失",0,IF(EK125&lt;0,0,IF(EK125&lt;=5,5,IF(EK125&lt;=20,4,IF(EK125&lt;=50,3,IF(EK125&lt;=100,2,1))))))</f>
        <v>1</v>
      </c>
      <c r="EK125" s="223">
        <f>EO125</f>
        <v>2130.6999999999998</v>
      </c>
      <c r="EL125" s="223"/>
      <c r="EM125" s="223"/>
      <c r="EN125" s="223"/>
      <c r="EO125" s="223">
        <v>2130.6999999999998</v>
      </c>
      <c r="EP125" s="223" t="s">
        <v>2282</v>
      </c>
      <c r="EQ125" s="223"/>
      <c r="ER125" s="223">
        <f>IF(ES125="数据缺失",0,IF(ES125&lt;0,0,IF(ES125&lt;=5,5,IF(ES125&lt;=20,4,IF(ES125&lt;=50,3,IF(ES125&lt;=100,2,1))))))</f>
        <v>1</v>
      </c>
      <c r="ES125" s="223">
        <f>EW125</f>
        <v>1303.2</v>
      </c>
      <c r="ET125" s="223"/>
      <c r="EU125" s="223"/>
      <c r="EV125" s="223"/>
      <c r="EW125" s="223">
        <v>1303.2</v>
      </c>
      <c r="EX125" s="223" t="s">
        <v>2282</v>
      </c>
      <c r="EZ125" s="39">
        <f>IF(FA125="数据缺失",0,IF(FA125&lt;0%,0,IF(FA125&lt;=50,4,IF(FA125&lt;100,3,IF(FA125&lt;200,2,1)))))</f>
        <v>1</v>
      </c>
      <c r="FA125" s="39">
        <f>FE125</f>
        <v>10062.1662</v>
      </c>
      <c r="FB125" s="39"/>
      <c r="FC125" s="39"/>
      <c r="FD125" s="39"/>
      <c r="FE125" s="39">
        <v>10062.1662</v>
      </c>
      <c r="FF125" s="39" t="s">
        <v>2282</v>
      </c>
      <c r="FG125" s="39"/>
      <c r="FH125" s="39">
        <v>3</v>
      </c>
      <c r="FI125" s="39" t="s">
        <v>2283</v>
      </c>
      <c r="FJ125" s="39"/>
      <c r="FK125" s="39"/>
      <c r="FL125" s="39"/>
      <c r="FM125" s="40">
        <v>0.1283</v>
      </c>
      <c r="FN125" s="39" t="s">
        <v>2282</v>
      </c>
      <c r="FO125" s="39"/>
      <c r="FP125" s="39"/>
      <c r="FQ125" s="40">
        <v>0.61019999999999996</v>
      </c>
      <c r="FR125" s="39" t="s">
        <v>2282</v>
      </c>
      <c r="FS125" s="39"/>
      <c r="FT125" s="39"/>
      <c r="FU125" s="40">
        <v>0.2059</v>
      </c>
      <c r="FV125" s="39" t="s">
        <v>2282</v>
      </c>
      <c r="FW125" s="39"/>
      <c r="FX125" s="39"/>
      <c r="FY125" s="40">
        <v>5.5599999999999997E-2</v>
      </c>
      <c r="FZ125" s="39" t="s">
        <v>2282</v>
      </c>
      <c r="GB125" s="39">
        <v>2</v>
      </c>
      <c r="GC125" s="39" t="s">
        <v>2284</v>
      </c>
      <c r="GD125" s="39"/>
      <c r="GE125" s="39"/>
      <c r="GF125" s="39"/>
      <c r="GG125" s="39" t="s">
        <v>2284</v>
      </c>
      <c r="GH125" s="39" t="s">
        <v>2282</v>
      </c>
      <c r="GJ125" s="39">
        <f>IF(GK125="数据缺失",0,IF(GK125&lt;0%,0,IF(GK125&lt;=5%,4,IF(GK125&lt;10%,3,IF(GK125&lt;20%,2,1)))))</f>
        <v>4</v>
      </c>
      <c r="GK125" s="43">
        <f>GN125/GS125</f>
        <v>1.0862598818558278E-2</v>
      </c>
      <c r="GL125" s="39"/>
      <c r="GM125" s="39"/>
      <c r="GN125" s="39">
        <v>14.71</v>
      </c>
      <c r="GO125" s="39" t="s">
        <v>2285</v>
      </c>
      <c r="GP125" s="39" t="s">
        <v>2282</v>
      </c>
      <c r="GQ125" s="39"/>
      <c r="GR125" s="39"/>
      <c r="GS125" s="69">
        <v>1354.1879108035</v>
      </c>
      <c r="GT125" s="39" t="s">
        <v>2201</v>
      </c>
      <c r="GV125" s="39">
        <f>IF(GW125="数据缺失",0,IF(GW125&lt;20%,1,IF(GW125&lt;40%,2,IF(GW125&lt;60%,3,IF(GW125&lt;80%,4,IF(GW125&lt;=100%,5,0))))))</f>
        <v>0</v>
      </c>
      <c r="GW125" s="39" t="s">
        <v>37</v>
      </c>
      <c r="GX125" s="39"/>
      <c r="GY125" s="39"/>
      <c r="GZ125" s="39"/>
      <c r="HA125" s="39" t="s">
        <v>37</v>
      </c>
      <c r="HE125" s="34">
        <v>4792.0532349054001</v>
      </c>
      <c r="HF125" s="29" t="s">
        <v>2875</v>
      </c>
      <c r="HH125" s="223">
        <f>IF(HI125="数据缺失",0,IF(HI125&lt;20%,1,IF(HI125&lt;40%,2,IF(HI125&lt;60%,3,IF(HI125&lt;80%,4,IF(HI125&lt;=100%,5,0))))))</f>
        <v>1</v>
      </c>
      <c r="HI125" s="228">
        <f>HM125/HQ125</f>
        <v>3.0677052376654239E-2</v>
      </c>
      <c r="HJ125" s="223"/>
      <c r="HK125" s="223"/>
      <c r="HL125" s="223"/>
      <c r="HM125" s="223">
        <v>13.61</v>
      </c>
      <c r="HN125" s="223" t="s">
        <v>2286</v>
      </c>
      <c r="HO125" s="223"/>
      <c r="HP125" s="223"/>
      <c r="HQ125" s="225">
        <v>443.65409795230005</v>
      </c>
      <c r="HR125" s="223" t="s">
        <v>2201</v>
      </c>
      <c r="HT125" s="226">
        <f>IF(HU125="数据缺失",0,IF(HU125&lt;5%,4,IF(HU125&lt;=10%,3,IF(HU125&lt;30%,2,IF(HU125&lt;=100%,1,0)))))</f>
        <v>1</v>
      </c>
      <c r="HU125" s="224">
        <f>HY125/IC125</f>
        <v>0.9519395905460295</v>
      </c>
      <c r="HV125" s="223"/>
      <c r="HW125" s="223"/>
      <c r="HX125" s="223"/>
      <c r="HY125" s="223">
        <v>349.2</v>
      </c>
      <c r="HZ125" s="223" t="s">
        <v>2282</v>
      </c>
      <c r="IA125" s="223"/>
      <c r="IB125" s="223"/>
      <c r="IC125" s="223">
        <v>366.83</v>
      </c>
      <c r="ID125" s="223" t="s">
        <v>2201</v>
      </c>
      <c r="IR125" s="226">
        <f>IF(IS125="数据缺失",0,IF(IS125&lt;0%,0,IF(IS125&lt;=100%,4,IF(IS125&lt;200%,3,IF(IS125&lt;300%,2,1)))))</f>
        <v>0</v>
      </c>
      <c r="IS125" s="223" t="s">
        <v>2098</v>
      </c>
      <c r="IT125" s="223"/>
      <c r="IU125" s="223"/>
      <c r="IV125" s="223"/>
      <c r="IW125" s="223" t="s">
        <v>2098</v>
      </c>
      <c r="IX125" s="223"/>
      <c r="IY125" s="223"/>
      <c r="IZ125" s="223"/>
      <c r="JA125" s="227">
        <v>1054.3942339863002</v>
      </c>
      <c r="JB125" s="223" t="s">
        <v>2201</v>
      </c>
      <c r="JD125" s="39">
        <f>IF(JE125="数据缺失",0,IF(JE125&lt;0%,0,IF(JE125&lt;4%,1,IF(JE125&lt;6%,2,IF(JE125&lt;8%,3,4)))))</f>
        <v>4</v>
      </c>
      <c r="JE125" s="44">
        <f>JI125/JM125/(JQ125+JU125)*2</f>
        <v>8.8654284736592287E-2</v>
      </c>
      <c r="JF125" s="39"/>
      <c r="JG125" s="39"/>
      <c r="JH125" s="39"/>
      <c r="JI125" s="39">
        <v>259.66000000000003</v>
      </c>
      <c r="JJ125" s="39" t="s">
        <v>2287</v>
      </c>
      <c r="JK125" s="39"/>
      <c r="JL125" s="39"/>
      <c r="JM125" s="39">
        <v>3.95</v>
      </c>
      <c r="JN125" s="39" t="s">
        <v>2287</v>
      </c>
      <c r="JO125" s="39"/>
      <c r="JP125" s="39"/>
      <c r="JQ125" s="39">
        <v>767.06</v>
      </c>
      <c r="JR125" s="39" t="s">
        <v>2287</v>
      </c>
      <c r="JS125" s="39"/>
      <c r="JT125" s="39"/>
      <c r="JU125" s="39">
        <v>715.93</v>
      </c>
      <c r="JV125" s="39" t="s">
        <v>2288</v>
      </c>
      <c r="JX125" s="39">
        <v>1</v>
      </c>
      <c r="JY125" s="39" t="s">
        <v>2289</v>
      </c>
      <c r="JZ125" s="39"/>
      <c r="KA125" s="39"/>
      <c r="KB125" s="39">
        <v>6</v>
      </c>
      <c r="KC125" s="39" t="s">
        <v>2289</v>
      </c>
      <c r="KD125" s="39" t="s">
        <v>2282</v>
      </c>
      <c r="KF125" s="39">
        <f>IF(KG125="数据缺失",0,IF(KG125&lt;0%,0,IF(KG125&lt;20%,1,IF(KG125&lt;50%,2,IF(KG125&lt;100%,3,4)))))</f>
        <v>2</v>
      </c>
      <c r="KG125" s="43">
        <f>KK125/KO125</f>
        <v>0.3883651738608811</v>
      </c>
      <c r="KH125" s="39"/>
      <c r="KI125" s="39"/>
      <c r="KJ125" s="39"/>
      <c r="KK125" s="39">
        <v>409.49</v>
      </c>
      <c r="KL125" s="39" t="s">
        <v>2286</v>
      </c>
      <c r="KM125" s="39" t="s">
        <v>2290</v>
      </c>
      <c r="KN125" s="39"/>
      <c r="KO125" s="69">
        <v>1054.3942339863002</v>
      </c>
      <c r="KP125" s="39" t="s">
        <v>2201</v>
      </c>
    </row>
    <row r="126" spans="2:302" s="36" customFormat="1" ht="15.75" hidden="1" customHeight="1" x14ac:dyDescent="0.35">
      <c r="B126" s="36" t="s">
        <v>2291</v>
      </c>
      <c r="C126" s="36" t="s">
        <v>2205</v>
      </c>
      <c r="D126" s="36" t="s">
        <v>2292</v>
      </c>
      <c r="E126" s="36" t="s">
        <v>2293</v>
      </c>
      <c r="F126" s="36" t="s">
        <v>2294</v>
      </c>
      <c r="G126" s="3" t="s">
        <v>174</v>
      </c>
      <c r="H126" s="41">
        <v>0.1192</v>
      </c>
      <c r="I126" s="36" t="s">
        <v>2295</v>
      </c>
      <c r="J126" s="119" t="s">
        <v>2296</v>
      </c>
      <c r="L126" s="3"/>
      <c r="BD126" s="2">
        <f t="shared" ref="BD126:BD155" si="149">IF(BE126="数据缺失",0,IF(BE126&lt;50,5,IF(BE126&lt;100,4,IF(BE126&lt;300,3,IF(BE126&lt;500,2,1)))))</f>
        <v>5</v>
      </c>
      <c r="BL126" s="2"/>
      <c r="BT126" s="8"/>
      <c r="EZ126" s="3"/>
      <c r="GK126" s="5"/>
      <c r="GS126" s="38"/>
      <c r="GW126" s="5"/>
      <c r="HE126" s="38"/>
      <c r="HI126" s="5"/>
      <c r="HQ126" s="83"/>
      <c r="HT126" s="3"/>
      <c r="HU126" s="171"/>
      <c r="IR126" s="3"/>
      <c r="IS126" s="5"/>
      <c r="JA126" s="38"/>
      <c r="KG126" s="5"/>
      <c r="KO126" s="38"/>
    </row>
    <row r="127" spans="2:302" s="119" customFormat="1" ht="13" hidden="1" x14ac:dyDescent="0.35">
      <c r="B127" s="36" t="s">
        <v>2291</v>
      </c>
      <c r="C127" s="36" t="s">
        <v>2205</v>
      </c>
      <c r="D127" s="36" t="s">
        <v>983</v>
      </c>
      <c r="E127" s="36" t="s">
        <v>2297</v>
      </c>
      <c r="F127" s="36" t="s">
        <v>2294</v>
      </c>
      <c r="G127" s="3" t="s">
        <v>249</v>
      </c>
      <c r="H127" s="41">
        <f>1.54/57.62</f>
        <v>2.6726830961471711E-2</v>
      </c>
      <c r="I127" s="36" t="s">
        <v>2298</v>
      </c>
      <c r="J127" s="119" t="s">
        <v>2299</v>
      </c>
      <c r="L127" s="130"/>
      <c r="BD127" s="2">
        <f t="shared" si="149"/>
        <v>5</v>
      </c>
      <c r="BL127" s="2"/>
      <c r="BT127" s="8"/>
      <c r="EZ127" s="130"/>
      <c r="HT127" s="130"/>
      <c r="IR127" s="130"/>
    </row>
    <row r="128" spans="2:302" s="39" customFormat="1" ht="15.75" hidden="1" customHeight="1" x14ac:dyDescent="0.35">
      <c r="B128" s="39" t="s">
        <v>2305</v>
      </c>
      <c r="C128" s="36" t="s">
        <v>2306</v>
      </c>
      <c r="D128" s="39" t="s">
        <v>2205</v>
      </c>
      <c r="E128" s="39" t="s">
        <v>2307</v>
      </c>
      <c r="F128" s="39" t="s">
        <v>2308</v>
      </c>
      <c r="G128" s="42" t="s">
        <v>174</v>
      </c>
      <c r="H128" s="41">
        <v>0.89500000000000002</v>
      </c>
      <c r="J128" s="36"/>
      <c r="L128" s="42">
        <v>4</v>
      </c>
      <c r="M128" s="39" t="s">
        <v>2895</v>
      </c>
      <c r="P128" s="39" t="s">
        <v>126</v>
      </c>
      <c r="Q128" s="39" t="s">
        <v>2309</v>
      </c>
      <c r="R128" s="39" t="s">
        <v>147</v>
      </c>
      <c r="T128" s="39" t="s">
        <v>2310</v>
      </c>
      <c r="U128" s="40">
        <v>0.31135135000000003</v>
      </c>
      <c r="V128" s="36"/>
      <c r="X128" s="39">
        <f t="shared" ref="X128:X155" si="150">IF(Y128="数据缺失",0,IF(Y128&lt;-30%,6,IF(Y128&lt;-10%,5,IF(Y128&lt;0%,4,IF(Y128&lt;10%,3,IF(Y128&lt;30%,2,1))))))</f>
        <v>1</v>
      </c>
      <c r="Y128" s="43">
        <f t="shared" ref="Y128:Y147" si="151">((AC128-AG128)/AG128+(AG128-AK128)/AK128)/2*100%</f>
        <v>0.40878078000624452</v>
      </c>
      <c r="AC128" s="39">
        <v>48.21</v>
      </c>
      <c r="AD128" s="39" t="s">
        <v>2312</v>
      </c>
      <c r="AG128" s="39">
        <v>37.01</v>
      </c>
      <c r="AH128" s="39" t="s">
        <v>2312</v>
      </c>
      <c r="AK128" s="39">
        <v>24.43</v>
      </c>
      <c r="AL128" s="39" t="s">
        <v>2313</v>
      </c>
      <c r="AN128" s="39">
        <f t="shared" ref="AN128:AN155" si="152">IF(AO128="数据缺失",0,IF(AO128&lt;-30%,6,IF(AO128&lt;-10%,5,IF(AO128&lt;0%,4,IF(AO128&lt;10%,3,IF(AO128&lt;30%,2,1))))))</f>
        <v>1</v>
      </c>
      <c r="AO128" s="43">
        <f t="shared" ref="AO128:AO144" si="153">((AS128-AW128)/AW128+(AW128-BA128)/BA128)/2*100%</f>
        <v>0.70333235184966714</v>
      </c>
      <c r="AS128" s="39">
        <v>61.44</v>
      </c>
      <c r="AT128" s="39" t="s">
        <v>2312</v>
      </c>
      <c r="AW128" s="39">
        <v>51.86</v>
      </c>
      <c r="AX128" s="39" t="s">
        <v>2312</v>
      </c>
      <c r="BA128" s="39">
        <v>23.34</v>
      </c>
      <c r="BB128" s="39" t="s">
        <v>2312</v>
      </c>
      <c r="BD128" s="2">
        <f t="shared" si="149"/>
        <v>5</v>
      </c>
      <c r="BE128" s="39">
        <f t="shared" ref="BE128:BE155" si="154">BI128</f>
        <v>48.21</v>
      </c>
      <c r="BI128" s="39">
        <v>48.21</v>
      </c>
      <c r="BJ128" s="39" t="s">
        <v>2312</v>
      </c>
      <c r="BL128" s="2">
        <f t="shared" ref="BL128:BL155" si="155">IF(BM128="数据缺失",0,IF(BM128&lt;50,5,IF(BM128&lt;100,4,IF(BM128&lt;300,3,IF(BM128&lt;500,2,1)))))</f>
        <v>4</v>
      </c>
      <c r="BM128" s="39">
        <f t="shared" ref="BM128:BM155" si="156">BQ128</f>
        <v>61.44</v>
      </c>
      <c r="BQ128" s="39">
        <v>61.44</v>
      </c>
      <c r="BR128" s="39" t="s">
        <v>2313</v>
      </c>
      <c r="BT128" s="8">
        <f t="shared" ref="BT128:BT155" si="157">IF(BU128="未上榜",5,IF(BU128&lt;21,1,IF(BU128&lt;101,2,IF(BU128&lt;301,3,IF(BU128&lt;=500,4,5)))))</f>
        <v>3</v>
      </c>
      <c r="BU128" s="36">
        <v>274</v>
      </c>
      <c r="BY128" s="39">
        <v>274</v>
      </c>
      <c r="BZ128" s="39" t="s">
        <v>234</v>
      </c>
      <c r="CA128" s="39" t="s">
        <v>2314</v>
      </c>
      <c r="CB128" s="39">
        <v>1</v>
      </c>
      <c r="CC128" s="39" t="s">
        <v>2315</v>
      </c>
      <c r="CF128" s="39" t="s">
        <v>2315</v>
      </c>
      <c r="CG128" s="39" t="s">
        <v>259</v>
      </c>
      <c r="CH128" s="39" t="s">
        <v>2316</v>
      </c>
      <c r="CI128" s="39" t="s">
        <v>2317</v>
      </c>
      <c r="CJ128" s="39">
        <f t="shared" ref="CJ128:CJ145" si="158">IF(CK128="数据缺失",0,IF(CK128&lt;0,0,IF(CK128&lt;2,2,IF(CK128&lt;=5,1,3))))</f>
        <v>0</v>
      </c>
      <c r="CK128" s="48" t="s">
        <v>2318</v>
      </c>
      <c r="CO128" s="39" t="s">
        <v>222</v>
      </c>
      <c r="CS128" s="39">
        <v>48.21</v>
      </c>
      <c r="CT128" s="39" t="s">
        <v>2313</v>
      </c>
      <c r="CV128" s="36">
        <f t="shared" ref="CV128:CV154" si="159">IF(CW128="数据缺失",0,IF(CW128&lt;0,0,IF(CW128&lt;100,5,IF(CW128&lt;500,4,IF(CW128&lt;1000,3,IF(CW128&lt;2000,2,1))))))</f>
        <v>5</v>
      </c>
      <c r="CW128" s="36">
        <f t="shared" ref="CW128:CW140" si="160">DA128</f>
        <v>83.296800000000005</v>
      </c>
      <c r="CX128" s="36"/>
      <c r="CY128" s="36"/>
      <c r="CZ128" s="36"/>
      <c r="DA128" s="36">
        <v>83.296800000000005</v>
      </c>
      <c r="DB128" s="36" t="s">
        <v>147</v>
      </c>
      <c r="DC128" s="36" t="s">
        <v>2319</v>
      </c>
      <c r="DD128" s="36">
        <f t="shared" ref="DD128:DD134" si="161">IF(DE128="数据缺失",0,IF(DE128&lt;0,0,IF(DE128&lt;2,3,IF(DE128&lt;=5,1,2))))</f>
        <v>3</v>
      </c>
      <c r="DE128" s="53">
        <f t="shared" ref="DE128:DE134" si="162">DM128/DI128</f>
        <v>1.3557421875000002</v>
      </c>
      <c r="DF128" s="36"/>
      <c r="DG128" s="36"/>
      <c r="DH128" s="36"/>
      <c r="DI128" s="37">
        <f>BQ128</f>
        <v>61.44</v>
      </c>
      <c r="DJ128" s="36" t="str">
        <f>BR128</f>
        <v>评级20160618</v>
      </c>
      <c r="DK128" s="36"/>
      <c r="DL128" s="36"/>
      <c r="DM128" s="35">
        <f>DA128</f>
        <v>83.296800000000005</v>
      </c>
      <c r="DN128" s="35" t="str">
        <f>DB128</f>
        <v>年报2015</v>
      </c>
      <c r="DO128" s="36" t="s">
        <v>2320</v>
      </c>
      <c r="DP128" s="39">
        <v>2</v>
      </c>
      <c r="DQ128" s="36" t="s">
        <v>2321</v>
      </c>
      <c r="DS128" s="36" t="s">
        <v>2322</v>
      </c>
      <c r="DU128" s="40">
        <v>0.2339</v>
      </c>
      <c r="DV128" s="39" t="s">
        <v>147</v>
      </c>
      <c r="DY128" s="40">
        <v>0.29809999999999998</v>
      </c>
      <c r="DZ128" s="39" t="s">
        <v>147</v>
      </c>
      <c r="EC128" s="40">
        <v>0.19470000000000001</v>
      </c>
      <c r="ED128" s="39" t="s">
        <v>147</v>
      </c>
      <c r="EG128" s="40">
        <v>0.26019999999999999</v>
      </c>
      <c r="EH128" s="39" t="s">
        <v>147</v>
      </c>
      <c r="EJ128" s="39">
        <f t="shared" ref="EJ128:EJ155" si="163">IF(EK128="数据缺失",0,IF(EK128&lt;0,0,IF(EK128&lt;=5,5,IF(EK128&lt;=20,4,IF(EK128&lt;=50,3,IF(EK128&lt;=100,2,1))))))</f>
        <v>1</v>
      </c>
      <c r="EK128" s="39">
        <f t="shared" ref="EK128:EK134" si="164">EO128</f>
        <v>417.97</v>
      </c>
      <c r="EO128" s="39">
        <v>417.97</v>
      </c>
      <c r="EP128" s="39" t="s">
        <v>2323</v>
      </c>
      <c r="EQ128" s="39" t="s">
        <v>2324</v>
      </c>
      <c r="ER128" s="39">
        <f t="shared" ref="ER128:ER155" si="165">IF(ES128="数据缺失",0,IF(ES128&lt;0,0,IF(ES128&lt;=5,5,IF(ES128&lt;=20,4,IF(ES128&lt;=50,3,IF(ES128&lt;=100,2,1))))))</f>
        <v>1</v>
      </c>
      <c r="ES128" s="39">
        <f t="shared" ref="ES128:ES140" si="166">EW128</f>
        <v>130.25</v>
      </c>
      <c r="EW128" s="39">
        <v>130.25</v>
      </c>
      <c r="EX128" s="39" t="s">
        <v>2313</v>
      </c>
      <c r="EZ128" s="3">
        <f t="shared" ref="EZ128:EZ141" si="167">IF(FA128="数据缺失",0,IF(FA128&lt;0%,0,IF(FA128&lt;=50,4,IF(FA128&lt;100,3,IF(FA128&lt;200,2,1)))))</f>
        <v>1</v>
      </c>
      <c r="FA128" s="36">
        <f t="shared" ref="FA128:FA141" si="168">FE128</f>
        <v>1061.6106600000001</v>
      </c>
      <c r="FB128" s="36"/>
      <c r="FC128" s="36"/>
      <c r="FD128" s="36"/>
      <c r="FE128" s="36">
        <v>1061.6106600000001</v>
      </c>
      <c r="FF128" s="36" t="s">
        <v>2311</v>
      </c>
      <c r="FG128" s="36" t="s">
        <v>2325</v>
      </c>
      <c r="FH128" s="36">
        <v>4</v>
      </c>
      <c r="FI128" s="36" t="s">
        <v>2326</v>
      </c>
      <c r="FJ128" s="36"/>
      <c r="FK128" s="36" t="s">
        <v>2327</v>
      </c>
      <c r="FL128" s="36"/>
      <c r="FM128" s="41">
        <v>4.41E-2</v>
      </c>
      <c r="FN128" s="36" t="s">
        <v>2311</v>
      </c>
      <c r="FO128" s="36"/>
      <c r="FP128" s="36"/>
      <c r="FQ128" s="41">
        <v>0.29949999999999999</v>
      </c>
      <c r="FR128" s="36" t="s">
        <v>2311</v>
      </c>
      <c r="FS128" s="36"/>
      <c r="FT128" s="36"/>
      <c r="FU128" s="41">
        <v>0.45519999999999999</v>
      </c>
      <c r="FV128" s="36" t="s">
        <v>2311</v>
      </c>
      <c r="FW128" s="36"/>
      <c r="FX128" s="36"/>
      <c r="FY128" s="40">
        <v>0.184</v>
      </c>
      <c r="FZ128" s="36" t="s">
        <v>2311</v>
      </c>
      <c r="GB128" s="39">
        <v>2</v>
      </c>
      <c r="GC128" s="39" t="str">
        <f>GG128</f>
        <v>房地产销售：97.85%</v>
      </c>
      <c r="GG128" s="39" t="s">
        <v>2328</v>
      </c>
      <c r="GH128" s="39" t="s">
        <v>147</v>
      </c>
      <c r="GJ128" s="36">
        <f t="shared" ref="GJ128:GJ148" si="169">IF(GK128="数据缺失",0,IF(GK128&lt;0%,0,IF(GK128&lt;=5%,4,IF(GK128&lt;10%,3,IF(GK128&lt;20%,2,1)))))</f>
        <v>4</v>
      </c>
      <c r="GK128" s="5">
        <f t="shared" ref="GK128:GK148" si="170">GN128/GS128</f>
        <v>0</v>
      </c>
      <c r="GL128" s="36"/>
      <c r="GM128" s="36"/>
      <c r="GN128" s="36">
        <v>0</v>
      </c>
      <c r="GO128" s="36" t="s">
        <v>921</v>
      </c>
      <c r="GP128" s="36" t="s">
        <v>147</v>
      </c>
      <c r="GQ128" s="36"/>
      <c r="GR128" s="36"/>
      <c r="GS128" s="38">
        <v>46.466834516499993</v>
      </c>
      <c r="GT128" s="36" t="s">
        <v>2329</v>
      </c>
      <c r="GV128" s="39">
        <f t="shared" ref="GV128:GV134" si="171">IF(GW128="数据缺失",0,IF(GW128&lt;20%,1,IF(GW128&lt;40%,2,IF(GW128&lt;60%,3,IF(GW128&lt;80%,4,IF(GW128&lt;=100%,5,0))))))</f>
        <v>3</v>
      </c>
      <c r="GW128" s="43">
        <f t="shared" ref="GW128:GW134" si="172">HA128/HE128*100%</f>
        <v>0.45356271209005711</v>
      </c>
      <c r="HA128" s="69">
        <v>154.1848022392</v>
      </c>
      <c r="HB128" s="39" t="s">
        <v>2330</v>
      </c>
      <c r="HE128" s="69">
        <v>339.94152986849997</v>
      </c>
      <c r="HF128" s="39" t="s">
        <v>144</v>
      </c>
      <c r="HH128" s="39">
        <f t="shared" ref="HH128:HH134" si="173">IF(HI128="数据缺失",0,IF(HI128&lt;20%,1,IF(HI128&lt;40%,2,IF(HI128&lt;60%,3,IF(HI128&lt;80%,4,IF(HI128&lt;=100%,5,0))))))</f>
        <v>1</v>
      </c>
      <c r="HI128" s="43">
        <f t="shared" ref="HI128:HI134" si="174">HM128/HQ128</f>
        <v>0.13928161996256744</v>
      </c>
      <c r="HM128" s="69">
        <v>6.7706947375000004</v>
      </c>
      <c r="HN128" s="39" t="s">
        <v>147</v>
      </c>
      <c r="HQ128" s="78">
        <v>48.611545007299995</v>
      </c>
      <c r="HR128" s="39" t="s">
        <v>144</v>
      </c>
      <c r="HT128" s="39">
        <f t="shared" ref="HT128:HT138" si="175">IF(HU128="数据缺失",0,IF(HU128&lt;5%,4,IF(HU128&lt;=10%,3,IF(HU128&lt;30%,2,IF(HU128&lt;=100%,1,0)))))</f>
        <v>4</v>
      </c>
      <c r="HU128" s="39">
        <f t="shared" ref="HU128:HU137" si="176">HY128/IC128</f>
        <v>0</v>
      </c>
      <c r="HY128" s="39">
        <v>0</v>
      </c>
      <c r="HZ128" s="39" t="s">
        <v>147</v>
      </c>
      <c r="IC128" s="39">
        <v>69.137498842299991</v>
      </c>
      <c r="ID128" s="39" t="s">
        <v>144</v>
      </c>
      <c r="IR128" s="3">
        <f t="shared" ref="IR128:IR134" si="177">IF(IS128="数据缺失",0,IF(IS128&lt;0%,0,IF(IS128&lt;=100%,4,IF(IS128&lt;200%,3,IF(IS128&lt;300%,2,1)))))</f>
        <v>4</v>
      </c>
      <c r="IS128" s="5">
        <f>IW128/JA128</f>
        <v>0.66059978241825268</v>
      </c>
      <c r="IT128" s="36"/>
      <c r="IU128" s="36"/>
      <c r="IV128" s="36"/>
      <c r="IW128" s="36">
        <v>44.81</v>
      </c>
      <c r="IX128" s="36" t="s">
        <v>147</v>
      </c>
      <c r="IY128" s="36"/>
      <c r="IZ128" s="36"/>
      <c r="JA128" s="38">
        <v>67.832296032499997</v>
      </c>
      <c r="JB128" s="36" t="s">
        <v>144</v>
      </c>
      <c r="JD128" s="39">
        <f t="shared" ref="JD128:JD139" si="178">IF(JE128="数据缺失",0,IF(JE128&lt;0%,0,IF(JE128&lt;4%,1,IF(JE128&lt;6%,2,IF(JE128&lt;8%,3,4)))))</f>
        <v>4</v>
      </c>
      <c r="JE128" s="44">
        <f t="shared" ref="JE128:JE139" si="179">JI128/JM128/(JQ128+JU128)*2</f>
        <v>9.5309051548420648E-2</v>
      </c>
      <c r="JI128" s="39">
        <v>6.78</v>
      </c>
      <c r="JJ128" s="39" t="s">
        <v>2313</v>
      </c>
      <c r="JM128" s="39">
        <v>0.44</v>
      </c>
      <c r="JN128" s="39" t="s">
        <v>2313</v>
      </c>
      <c r="JQ128" s="39">
        <v>187.28</v>
      </c>
      <c r="JR128" s="39" t="s">
        <v>2313</v>
      </c>
      <c r="JU128" s="39">
        <v>136.07</v>
      </c>
      <c r="JV128" s="39" t="s">
        <v>2323</v>
      </c>
      <c r="JW128" s="36"/>
      <c r="JX128" s="39">
        <v>2</v>
      </c>
      <c r="JY128" s="39" t="s">
        <v>410</v>
      </c>
      <c r="KB128" s="39">
        <v>7</v>
      </c>
      <c r="KC128" s="39" t="s">
        <v>2331</v>
      </c>
      <c r="KD128" s="39" t="s">
        <v>147</v>
      </c>
      <c r="KF128" s="39">
        <f t="shared" ref="KF128:KF154" si="180">IF(KG128="数据缺失",0,IF(KG128&lt;0%,0,IF(KG128&lt;20%,1,IF(KG128&lt;50%,2,IF(KG128&lt;100%,3,4)))))</f>
        <v>1</v>
      </c>
      <c r="KG128" s="43">
        <f t="shared" ref="KG128:KG138" si="181">KK128/KO128</f>
        <v>0</v>
      </c>
      <c r="KK128" s="39">
        <v>0</v>
      </c>
      <c r="KL128" s="39" t="s">
        <v>2330</v>
      </c>
      <c r="KO128" s="69">
        <v>67.832296032499997</v>
      </c>
      <c r="KP128" s="39" t="s">
        <v>144</v>
      </c>
    </row>
    <row r="129" spans="2:302" s="39" customFormat="1" ht="15.75" hidden="1" customHeight="1" x14ac:dyDescent="0.35">
      <c r="B129" s="39" t="s">
        <v>2305</v>
      </c>
      <c r="C129" s="36" t="s">
        <v>170</v>
      </c>
      <c r="D129" s="39" t="s">
        <v>2205</v>
      </c>
      <c r="E129" s="39" t="s">
        <v>172</v>
      </c>
      <c r="F129" s="39" t="s">
        <v>2332</v>
      </c>
      <c r="G129" s="3" t="s">
        <v>199</v>
      </c>
      <c r="H129" s="41">
        <v>0.90429999999999999</v>
      </c>
      <c r="I129" s="36"/>
      <c r="J129" s="36"/>
      <c r="L129" s="42">
        <v>4</v>
      </c>
      <c r="M129" s="39" t="s">
        <v>2896</v>
      </c>
      <c r="P129" s="39" t="s">
        <v>126</v>
      </c>
      <c r="Q129" s="39" t="s">
        <v>2333</v>
      </c>
      <c r="R129" s="39" t="s">
        <v>395</v>
      </c>
      <c r="T129" s="39" t="s">
        <v>129</v>
      </c>
      <c r="U129" s="40">
        <v>0.34429585000000001</v>
      </c>
      <c r="V129" s="36"/>
      <c r="X129" s="39">
        <f t="shared" si="150"/>
        <v>2</v>
      </c>
      <c r="Y129" s="43">
        <f t="shared" si="151"/>
        <v>0.19575521752431943</v>
      </c>
      <c r="AC129" s="39">
        <v>37.01</v>
      </c>
      <c r="AD129" s="39" t="s">
        <v>2334</v>
      </c>
      <c r="AG129" s="39">
        <v>24.43</v>
      </c>
      <c r="AH129" s="39" t="s">
        <v>2334</v>
      </c>
      <c r="AK129" s="39">
        <v>27.87</v>
      </c>
      <c r="AL129" s="39" t="s">
        <v>2316</v>
      </c>
      <c r="AN129" s="39">
        <f t="shared" si="152"/>
        <v>1</v>
      </c>
      <c r="AO129" s="43">
        <f t="shared" si="153"/>
        <v>0.53953972334435063</v>
      </c>
      <c r="AS129" s="39">
        <v>51.86</v>
      </c>
      <c r="AT129" s="39" t="s">
        <v>2334</v>
      </c>
      <c r="AW129" s="39">
        <v>23.34</v>
      </c>
      <c r="AX129" s="39" t="s">
        <v>2334</v>
      </c>
      <c r="BA129" s="39">
        <v>27.23</v>
      </c>
      <c r="BB129" s="39" t="s">
        <v>2316</v>
      </c>
      <c r="BD129" s="2">
        <f t="shared" si="149"/>
        <v>5</v>
      </c>
      <c r="BE129" s="39">
        <f t="shared" si="154"/>
        <v>37.01</v>
      </c>
      <c r="BI129" s="39">
        <v>37.01</v>
      </c>
      <c r="BJ129" s="39" t="s">
        <v>2334</v>
      </c>
      <c r="BL129" s="2">
        <f t="shared" si="155"/>
        <v>4</v>
      </c>
      <c r="BM129" s="39">
        <f t="shared" si="156"/>
        <v>51.86</v>
      </c>
      <c r="BQ129" s="39">
        <v>51.86</v>
      </c>
      <c r="BR129" s="39" t="s">
        <v>2334</v>
      </c>
      <c r="BT129" s="8">
        <f t="shared" si="157"/>
        <v>3</v>
      </c>
      <c r="BU129" s="39">
        <f>BY129</f>
        <v>291</v>
      </c>
      <c r="BY129" s="39">
        <v>291</v>
      </c>
      <c r="BZ129" s="39" t="s">
        <v>398</v>
      </c>
      <c r="CA129" s="39" t="s">
        <v>2335</v>
      </c>
      <c r="CB129" s="39">
        <v>1</v>
      </c>
      <c r="CC129" s="39" t="s">
        <v>133</v>
      </c>
      <c r="CF129" s="39" t="s">
        <v>133</v>
      </c>
      <c r="CG129" s="39" t="s">
        <v>259</v>
      </c>
      <c r="CH129" s="39" t="s">
        <v>2316</v>
      </c>
      <c r="CI129" s="39" t="s">
        <v>2317</v>
      </c>
      <c r="CJ129" s="36">
        <f t="shared" si="158"/>
        <v>2</v>
      </c>
      <c r="CK129" s="53">
        <f>CO129/CS129</f>
        <v>0.58416644150229668</v>
      </c>
      <c r="CO129" s="39">
        <v>21.62</v>
      </c>
      <c r="CP129" s="39" t="s">
        <v>2336</v>
      </c>
      <c r="CS129" s="39">
        <v>37.01</v>
      </c>
      <c r="CT129" s="39" t="s">
        <v>2334</v>
      </c>
      <c r="CV129" s="36">
        <f t="shared" si="159"/>
        <v>4</v>
      </c>
      <c r="CW129" s="36">
        <f t="shared" si="160"/>
        <v>209.48</v>
      </c>
      <c r="CX129" s="36"/>
      <c r="CY129" s="36"/>
      <c r="CZ129" s="36"/>
      <c r="DA129" s="36">
        <v>209.48</v>
      </c>
      <c r="DB129" s="36" t="s">
        <v>2337</v>
      </c>
      <c r="DC129" s="36" t="s">
        <v>2338</v>
      </c>
      <c r="DD129" s="36">
        <f t="shared" si="161"/>
        <v>1</v>
      </c>
      <c r="DE129" s="53">
        <f t="shared" si="162"/>
        <v>4.0393366756652522</v>
      </c>
      <c r="DF129" s="36"/>
      <c r="DG129" s="36"/>
      <c r="DH129" s="36"/>
      <c r="DI129" s="37">
        <f>BQ129</f>
        <v>51.86</v>
      </c>
      <c r="DJ129" s="36" t="str">
        <f>BR129</f>
        <v>评级20160618</v>
      </c>
      <c r="DK129" s="36"/>
      <c r="DL129" s="36"/>
      <c r="DM129" s="35">
        <f>DA129</f>
        <v>209.48</v>
      </c>
      <c r="DN129" s="35" t="str">
        <f>DB129</f>
        <v>募集20150924</v>
      </c>
      <c r="DO129" s="36" t="s">
        <v>2338</v>
      </c>
      <c r="DP129" s="36">
        <v>4</v>
      </c>
      <c r="DQ129" s="36" t="s">
        <v>2339</v>
      </c>
      <c r="DR129" s="36" t="s">
        <v>2337</v>
      </c>
      <c r="DS129" s="36" t="s">
        <v>2340</v>
      </c>
      <c r="DT129" s="36"/>
      <c r="DU129" s="36">
        <v>0</v>
      </c>
      <c r="DV129" s="36" t="s">
        <v>2337</v>
      </c>
      <c r="DW129" s="36"/>
      <c r="DX129" s="36"/>
      <c r="DY129" s="41">
        <v>0.2271</v>
      </c>
      <c r="DZ129" s="36" t="s">
        <v>2337</v>
      </c>
      <c r="EA129" s="36"/>
      <c r="EB129" s="36"/>
      <c r="EC129" s="40">
        <v>0.35460000000000003</v>
      </c>
      <c r="ED129" s="36" t="s">
        <v>2337</v>
      </c>
      <c r="EE129" s="36"/>
      <c r="EF129" s="36"/>
      <c r="EG129" s="41">
        <v>0.32679999999999998</v>
      </c>
      <c r="EH129" s="36" t="s">
        <v>2337</v>
      </c>
      <c r="EJ129" s="39">
        <f t="shared" si="163"/>
        <v>1</v>
      </c>
      <c r="EK129" s="39">
        <f t="shared" si="164"/>
        <v>377</v>
      </c>
      <c r="EO129" s="39">
        <v>377</v>
      </c>
      <c r="EP129" s="39" t="s">
        <v>2334</v>
      </c>
      <c r="EQ129" s="39" t="s">
        <v>2324</v>
      </c>
      <c r="ER129" s="39">
        <f t="shared" si="165"/>
        <v>1</v>
      </c>
      <c r="ES129" s="39">
        <f t="shared" si="166"/>
        <v>100.67</v>
      </c>
      <c r="EW129" s="39">
        <v>100.67</v>
      </c>
      <c r="EX129" s="39" t="s">
        <v>2334</v>
      </c>
      <c r="EZ129" s="3">
        <f t="shared" si="167"/>
        <v>1</v>
      </c>
      <c r="FA129" s="36">
        <f t="shared" si="168"/>
        <v>937.49</v>
      </c>
      <c r="FB129" s="36"/>
      <c r="FC129" s="36"/>
      <c r="FD129" s="36"/>
      <c r="FE129" s="36">
        <v>937.49</v>
      </c>
      <c r="FF129" s="36" t="s">
        <v>2337</v>
      </c>
      <c r="FH129" s="39">
        <v>4</v>
      </c>
      <c r="FI129" s="39" t="s">
        <v>2341</v>
      </c>
      <c r="FM129" s="40">
        <v>4.5199999999999997E-2</v>
      </c>
      <c r="FN129" s="39" t="s">
        <v>2337</v>
      </c>
      <c r="FQ129" s="40">
        <v>0.14699999999999999</v>
      </c>
      <c r="FR129" s="39" t="s">
        <v>2337</v>
      </c>
      <c r="FU129" s="40">
        <v>0.65790000000000004</v>
      </c>
      <c r="FV129" s="39" t="s">
        <v>2337</v>
      </c>
      <c r="FY129" s="40">
        <v>0.14990000000000001</v>
      </c>
      <c r="FZ129" s="39" t="s">
        <v>2337</v>
      </c>
      <c r="GB129" s="36">
        <v>2</v>
      </c>
      <c r="GC129" s="36" t="str">
        <f>GG129</f>
        <v>商品房销售占比96.32%</v>
      </c>
      <c r="GD129" s="36"/>
      <c r="GE129" s="36"/>
      <c r="GF129" s="36"/>
      <c r="GG129" s="36" t="s">
        <v>2342</v>
      </c>
      <c r="GH129" s="36" t="s">
        <v>395</v>
      </c>
      <c r="GJ129" s="36">
        <f t="shared" si="169"/>
        <v>4</v>
      </c>
      <c r="GK129" s="5">
        <f t="shared" si="170"/>
        <v>0</v>
      </c>
      <c r="GL129" s="36"/>
      <c r="GM129" s="36"/>
      <c r="GN129" s="36">
        <v>0</v>
      </c>
      <c r="GO129" s="36" t="s">
        <v>921</v>
      </c>
      <c r="GP129" s="36" t="s">
        <v>395</v>
      </c>
      <c r="GQ129" s="36"/>
      <c r="GR129" s="36"/>
      <c r="GS129" s="38">
        <v>35.010242086600002</v>
      </c>
      <c r="GT129" s="36" t="s">
        <v>144</v>
      </c>
      <c r="GV129" s="39">
        <f t="shared" si="171"/>
        <v>3</v>
      </c>
      <c r="GW129" s="43">
        <f t="shared" si="172"/>
        <v>0.42797920748141016</v>
      </c>
      <c r="HA129" s="69">
        <v>105.6924721375</v>
      </c>
      <c r="HB129" s="39" t="s">
        <v>395</v>
      </c>
      <c r="HE129" s="69">
        <v>246.95702569169998</v>
      </c>
      <c r="HF129" s="39" t="s">
        <v>144</v>
      </c>
      <c r="HH129" s="39">
        <f t="shared" si="173"/>
        <v>1</v>
      </c>
      <c r="HI129" s="43">
        <f t="shared" si="174"/>
        <v>8.4348458547251065E-2</v>
      </c>
      <c r="HM129" s="69">
        <v>2.5111945709999999</v>
      </c>
      <c r="HN129" s="39" t="s">
        <v>395</v>
      </c>
      <c r="HQ129" s="78">
        <v>29.771671163299999</v>
      </c>
      <c r="HR129" s="39" t="s">
        <v>144</v>
      </c>
      <c r="HT129" s="39">
        <f t="shared" si="175"/>
        <v>4</v>
      </c>
      <c r="HU129" s="39">
        <f t="shared" si="176"/>
        <v>0</v>
      </c>
      <c r="HY129" s="39">
        <v>0</v>
      </c>
      <c r="HZ129" s="39" t="s">
        <v>395</v>
      </c>
      <c r="IC129" s="69">
        <v>83.082493999999997</v>
      </c>
      <c r="ID129" s="39" t="s">
        <v>144</v>
      </c>
      <c r="IR129" s="42">
        <f t="shared" si="177"/>
        <v>1</v>
      </c>
      <c r="IS129" s="43">
        <f>IW129/JA129</f>
        <v>3.8056753802077301</v>
      </c>
      <c r="IW129" s="39">
        <v>142.72999999999999</v>
      </c>
      <c r="IX129" s="39" t="s">
        <v>2337</v>
      </c>
      <c r="IY129" s="172"/>
      <c r="JA129" s="69">
        <v>37.504512534699998</v>
      </c>
      <c r="JB129" s="39" t="s">
        <v>144</v>
      </c>
      <c r="JD129" s="39">
        <f t="shared" si="178"/>
        <v>4</v>
      </c>
      <c r="JE129" s="44">
        <f t="shared" si="179"/>
        <v>0.11635206511386267</v>
      </c>
      <c r="JI129" s="39">
        <v>6.45</v>
      </c>
      <c r="JJ129" s="39" t="s">
        <v>2334</v>
      </c>
      <c r="JM129" s="39">
        <v>0.48</v>
      </c>
      <c r="JN129" s="39" t="s">
        <v>2334</v>
      </c>
      <c r="JQ129" s="39">
        <v>136.07</v>
      </c>
      <c r="JR129" s="39" t="s">
        <v>2334</v>
      </c>
      <c r="JU129" s="39">
        <v>94.91</v>
      </c>
      <c r="JV129" s="39" t="s">
        <v>2334</v>
      </c>
      <c r="JW129" s="36"/>
      <c r="JX129" s="39">
        <v>2</v>
      </c>
      <c r="JY129" s="39" t="s">
        <v>410</v>
      </c>
      <c r="KB129" s="39">
        <v>7</v>
      </c>
      <c r="KC129" s="39" t="s">
        <v>2331</v>
      </c>
      <c r="KD129" s="39" t="s">
        <v>395</v>
      </c>
      <c r="KF129" s="36">
        <f t="shared" si="180"/>
        <v>3</v>
      </c>
      <c r="KG129" s="5">
        <f t="shared" si="181"/>
        <v>0.73591144464186475</v>
      </c>
      <c r="KH129" s="36"/>
      <c r="KI129" s="36"/>
      <c r="KJ129" s="36"/>
      <c r="KK129" s="36">
        <v>27.6</v>
      </c>
      <c r="KL129" s="36" t="s">
        <v>395</v>
      </c>
      <c r="KM129" s="36"/>
      <c r="KN129" s="36"/>
      <c r="KO129" s="38">
        <v>37.504512534699998</v>
      </c>
      <c r="KP129" s="36" t="s">
        <v>144</v>
      </c>
    </row>
    <row r="130" spans="2:302" s="39" customFormat="1" ht="15.75" hidden="1" customHeight="1" x14ac:dyDescent="0.35">
      <c r="B130" s="39" t="s">
        <v>2343</v>
      </c>
      <c r="C130" s="36" t="s">
        <v>170</v>
      </c>
      <c r="D130" s="39" t="s">
        <v>2205</v>
      </c>
      <c r="E130" s="39" t="s">
        <v>2344</v>
      </c>
      <c r="F130" s="39" t="s">
        <v>2345</v>
      </c>
      <c r="G130" s="42" t="s">
        <v>174</v>
      </c>
      <c r="H130" s="86">
        <v>1</v>
      </c>
      <c r="J130" s="36"/>
      <c r="L130" s="42">
        <v>4</v>
      </c>
      <c r="M130" s="39" t="s">
        <v>2346</v>
      </c>
      <c r="P130" s="39" t="s">
        <v>126</v>
      </c>
      <c r="Q130" s="39" t="s">
        <v>2347</v>
      </c>
      <c r="R130" s="39" t="s">
        <v>2348</v>
      </c>
      <c r="T130" s="39" t="s">
        <v>129</v>
      </c>
      <c r="U130" s="40">
        <v>0.35759999999999997</v>
      </c>
      <c r="V130" s="36"/>
      <c r="X130" s="39">
        <f t="shared" si="150"/>
        <v>2</v>
      </c>
      <c r="Y130" s="43">
        <f t="shared" si="151"/>
        <v>0.28440523558359521</v>
      </c>
      <c r="AC130" s="39">
        <v>101.99</v>
      </c>
      <c r="AD130" s="39" t="s">
        <v>2349</v>
      </c>
      <c r="AG130" s="39">
        <v>82.3</v>
      </c>
      <c r="AH130" s="39" t="s">
        <v>2348</v>
      </c>
      <c r="AK130" s="39">
        <v>61.9</v>
      </c>
      <c r="AL130" s="39" t="s">
        <v>2350</v>
      </c>
      <c r="AN130" s="39">
        <f t="shared" si="152"/>
        <v>2</v>
      </c>
      <c r="AO130" s="43">
        <f t="shared" si="153"/>
        <v>0.23709179753348389</v>
      </c>
      <c r="AS130" s="39">
        <v>105.72</v>
      </c>
      <c r="AT130" s="39" t="s">
        <v>2349</v>
      </c>
      <c r="AW130" s="39">
        <v>76.3</v>
      </c>
      <c r="AX130" s="39" t="s">
        <v>2348</v>
      </c>
      <c r="BA130" s="39">
        <v>70.09</v>
      </c>
      <c r="BB130" s="39" t="s">
        <v>2351</v>
      </c>
      <c r="BD130" s="2">
        <f t="shared" si="149"/>
        <v>3</v>
      </c>
      <c r="BE130" s="39">
        <f t="shared" si="154"/>
        <v>101.99</v>
      </c>
      <c r="BI130" s="39">
        <v>101.99</v>
      </c>
      <c r="BJ130" s="39" t="s">
        <v>2349</v>
      </c>
      <c r="BL130" s="2">
        <f t="shared" si="155"/>
        <v>3</v>
      </c>
      <c r="BM130" s="39">
        <f t="shared" si="156"/>
        <v>105.72</v>
      </c>
      <c r="BQ130" s="39">
        <v>105.72</v>
      </c>
      <c r="BR130" s="39" t="s">
        <v>2348</v>
      </c>
      <c r="BT130" s="8">
        <f t="shared" si="157"/>
        <v>3</v>
      </c>
      <c r="BU130" s="39">
        <v>112</v>
      </c>
      <c r="BY130" s="39">
        <v>112</v>
      </c>
      <c r="BZ130" s="39" t="s">
        <v>234</v>
      </c>
      <c r="CB130" s="39">
        <v>2</v>
      </c>
      <c r="CC130" s="39" t="s">
        <v>134</v>
      </c>
      <c r="CF130" s="39" t="s">
        <v>2352</v>
      </c>
      <c r="CG130" s="58" t="s">
        <v>2353</v>
      </c>
      <c r="CH130" s="39" t="s">
        <v>2354</v>
      </c>
      <c r="CJ130" s="39">
        <f t="shared" si="158"/>
        <v>2</v>
      </c>
      <c r="CK130" s="48">
        <f>CO130/CS130</f>
        <v>6.8438082164918132E-2</v>
      </c>
      <c r="CO130" s="39">
        <v>6.98</v>
      </c>
      <c r="CP130" s="39" t="s">
        <v>2348</v>
      </c>
      <c r="CS130" s="39">
        <v>101.99</v>
      </c>
      <c r="CT130" s="39" t="s">
        <v>2348</v>
      </c>
      <c r="CV130" s="39">
        <f t="shared" si="159"/>
        <v>4</v>
      </c>
      <c r="CW130" s="39">
        <f t="shared" si="160"/>
        <v>125.39</v>
      </c>
      <c r="DA130" s="13">
        <v>125.39</v>
      </c>
      <c r="DB130" s="39" t="s">
        <v>2349</v>
      </c>
      <c r="DD130" s="39">
        <f t="shared" si="161"/>
        <v>3</v>
      </c>
      <c r="DE130" s="48">
        <f t="shared" si="162"/>
        <v>1.186057510404843</v>
      </c>
      <c r="DI130" s="39">
        <v>105.72</v>
      </c>
      <c r="DJ130" s="39" t="s">
        <v>2349</v>
      </c>
      <c r="DM130" s="13">
        <v>125.39</v>
      </c>
      <c r="DN130" s="39" t="s">
        <v>2348</v>
      </c>
      <c r="DP130" s="39">
        <v>3</v>
      </c>
      <c r="DQ130" s="39" t="s">
        <v>2238</v>
      </c>
      <c r="DU130" s="50">
        <v>0</v>
      </c>
      <c r="DV130" s="39" t="s">
        <v>2349</v>
      </c>
      <c r="DY130" s="50">
        <v>1</v>
      </c>
      <c r="DZ130" s="39" t="s">
        <v>2349</v>
      </c>
      <c r="EC130" s="50">
        <v>0</v>
      </c>
      <c r="ED130" s="39" t="s">
        <v>2348</v>
      </c>
      <c r="EG130" s="50">
        <v>0</v>
      </c>
      <c r="EH130" s="39" t="s">
        <v>2348</v>
      </c>
      <c r="EJ130" s="39">
        <f t="shared" si="163"/>
        <v>1</v>
      </c>
      <c r="EK130" s="39">
        <f t="shared" si="164"/>
        <v>115.33</v>
      </c>
      <c r="EO130" s="39">
        <v>115.33</v>
      </c>
      <c r="EP130" s="39" t="s">
        <v>2348</v>
      </c>
      <c r="ER130" s="39">
        <f t="shared" si="165"/>
        <v>1</v>
      </c>
      <c r="ES130" s="39">
        <f t="shared" si="166"/>
        <v>101.39</v>
      </c>
      <c r="EW130" s="39">
        <v>101.39</v>
      </c>
      <c r="EX130" s="39" t="s">
        <v>2349</v>
      </c>
      <c r="EZ130" s="42">
        <f t="shared" si="167"/>
        <v>1</v>
      </c>
      <c r="FA130" s="39">
        <f t="shared" si="168"/>
        <v>353.07</v>
      </c>
      <c r="FE130" s="39">
        <v>353.07</v>
      </c>
      <c r="FF130" s="39" t="s">
        <v>2349</v>
      </c>
      <c r="FH130" s="39">
        <v>5</v>
      </c>
      <c r="FI130" s="39" t="s">
        <v>2355</v>
      </c>
      <c r="FM130" s="39" t="s">
        <v>222</v>
      </c>
      <c r="FQ130" s="39" t="s">
        <v>222</v>
      </c>
      <c r="FU130" s="39" t="s">
        <v>222</v>
      </c>
      <c r="FY130" s="39" t="s">
        <v>222</v>
      </c>
      <c r="GB130" s="39">
        <v>2</v>
      </c>
      <c r="GC130" s="36" t="str">
        <f>GG130</f>
        <v>房地产开发94.89%</v>
      </c>
      <c r="GG130" s="36" t="s">
        <v>2356</v>
      </c>
      <c r="GH130" s="39" t="s">
        <v>147</v>
      </c>
      <c r="GJ130" s="39">
        <f t="shared" si="169"/>
        <v>3</v>
      </c>
      <c r="GK130" s="43">
        <f t="shared" si="170"/>
        <v>5.1038522604882411E-2</v>
      </c>
      <c r="GN130" s="39">
        <v>3.53</v>
      </c>
      <c r="GO130" s="39" t="s">
        <v>2357</v>
      </c>
      <c r="GP130" s="39" t="s">
        <v>147</v>
      </c>
      <c r="GS130" s="69">
        <v>69.163443999500004</v>
      </c>
      <c r="GT130" s="39" t="s">
        <v>2358</v>
      </c>
      <c r="GV130" s="36">
        <f t="shared" si="171"/>
        <v>2</v>
      </c>
      <c r="GW130" s="5">
        <f t="shared" si="172"/>
        <v>0.21528490824872482</v>
      </c>
      <c r="GX130" s="36"/>
      <c r="GY130" s="36"/>
      <c r="GZ130" s="36"/>
      <c r="HA130" s="36">
        <v>61.16</v>
      </c>
      <c r="HB130" s="36" t="s">
        <v>2359</v>
      </c>
      <c r="HC130" s="36"/>
      <c r="HD130" s="36"/>
      <c r="HE130" s="38">
        <v>284.08865487840001</v>
      </c>
      <c r="HF130" s="36" t="s">
        <v>2358</v>
      </c>
      <c r="HH130" s="39">
        <f t="shared" si="173"/>
        <v>1</v>
      </c>
      <c r="HI130" s="43">
        <f t="shared" si="174"/>
        <v>6.3088710763575737E-3</v>
      </c>
      <c r="HM130" s="39">
        <v>0.28999999999999998</v>
      </c>
      <c r="HN130" s="39" t="s">
        <v>2359</v>
      </c>
      <c r="HQ130" s="78">
        <v>45.967019533299997</v>
      </c>
      <c r="HR130" s="39" t="s">
        <v>144</v>
      </c>
      <c r="HT130" s="39">
        <f t="shared" si="175"/>
        <v>4</v>
      </c>
      <c r="HU130" s="39">
        <f t="shared" si="176"/>
        <v>0</v>
      </c>
      <c r="HY130" s="39">
        <v>0</v>
      </c>
      <c r="HZ130" s="39" t="s">
        <v>147</v>
      </c>
      <c r="IC130" s="39">
        <v>50.259300000000003</v>
      </c>
      <c r="ID130" s="39" t="s">
        <v>144</v>
      </c>
      <c r="IR130" s="3">
        <f t="shared" si="177"/>
        <v>3</v>
      </c>
      <c r="IS130" s="5">
        <f>IW130/JA130</f>
        <v>1.6337313110078433</v>
      </c>
      <c r="IT130" s="36"/>
      <c r="IU130" s="36"/>
      <c r="IV130" s="36"/>
      <c r="IW130" s="36">
        <v>105.89</v>
      </c>
      <c r="IX130" s="36" t="s">
        <v>147</v>
      </c>
      <c r="IY130" s="36"/>
      <c r="IZ130" s="36"/>
      <c r="JA130" s="38">
        <v>64.814819478900006</v>
      </c>
      <c r="JB130" s="36" t="s">
        <v>144</v>
      </c>
      <c r="JD130" s="36">
        <f t="shared" si="178"/>
        <v>1</v>
      </c>
      <c r="JE130" s="82">
        <f t="shared" si="179"/>
        <v>2.679781834231848E-2</v>
      </c>
      <c r="JF130" s="36"/>
      <c r="JG130" s="36"/>
      <c r="JH130" s="36"/>
      <c r="JI130" s="36">
        <v>10.54</v>
      </c>
      <c r="JJ130" s="36" t="s">
        <v>2348</v>
      </c>
      <c r="JK130" s="36"/>
      <c r="JL130" s="36"/>
      <c r="JM130" s="36">
        <v>5.82</v>
      </c>
      <c r="JN130" s="36" t="s">
        <v>2349</v>
      </c>
      <c r="JO130" s="36"/>
      <c r="JP130" s="36"/>
      <c r="JQ130" s="36">
        <v>75.11</v>
      </c>
      <c r="JR130" s="36" t="s">
        <v>2348</v>
      </c>
      <c r="JS130" s="36"/>
      <c r="JT130" s="36"/>
      <c r="JU130" s="36">
        <v>60.05</v>
      </c>
      <c r="JV130" s="36" t="s">
        <v>2349</v>
      </c>
      <c r="JX130" s="39">
        <v>2</v>
      </c>
      <c r="JY130" s="39" t="s">
        <v>2360</v>
      </c>
      <c r="KB130" s="39">
        <v>16</v>
      </c>
      <c r="KC130" s="39" t="s">
        <v>634</v>
      </c>
      <c r="KD130" s="39" t="s">
        <v>147</v>
      </c>
      <c r="KF130" s="36">
        <f t="shared" si="180"/>
        <v>1</v>
      </c>
      <c r="KG130" s="5">
        <f t="shared" si="181"/>
        <v>0.15166284622917273</v>
      </c>
      <c r="KH130" s="36"/>
      <c r="KI130" s="36"/>
      <c r="KJ130" s="36"/>
      <c r="KK130" s="36">
        <v>9.83</v>
      </c>
      <c r="KL130" s="36" t="s">
        <v>147</v>
      </c>
      <c r="KM130" s="36" t="s">
        <v>1002</v>
      </c>
      <c r="KN130" s="36"/>
      <c r="KO130" s="38">
        <v>64.814819478900006</v>
      </c>
      <c r="KP130" s="36" t="s">
        <v>144</v>
      </c>
    </row>
    <row r="131" spans="2:302" s="39" customFormat="1" ht="15.75" hidden="1" customHeight="1" x14ac:dyDescent="0.35">
      <c r="B131" s="39" t="s">
        <v>2361</v>
      </c>
      <c r="C131" s="36" t="s">
        <v>2362</v>
      </c>
      <c r="D131" s="39" t="s">
        <v>2205</v>
      </c>
      <c r="E131" s="39" t="s">
        <v>2344</v>
      </c>
      <c r="F131" s="39" t="s">
        <v>2363</v>
      </c>
      <c r="G131" s="42" t="s">
        <v>199</v>
      </c>
      <c r="H131" s="41">
        <v>0.69579999999999997</v>
      </c>
      <c r="J131" s="36"/>
      <c r="L131" s="42">
        <v>2</v>
      </c>
      <c r="M131" s="39" t="s">
        <v>2364</v>
      </c>
      <c r="P131" s="39" t="s">
        <v>1803</v>
      </c>
      <c r="Q131" s="39" t="s">
        <v>2365</v>
      </c>
      <c r="R131" s="39" t="s">
        <v>2366</v>
      </c>
      <c r="T131" s="39" t="s">
        <v>203</v>
      </c>
      <c r="U131" s="40">
        <v>0.6784</v>
      </c>
      <c r="V131" s="36"/>
      <c r="X131" s="39">
        <f t="shared" si="150"/>
        <v>1</v>
      </c>
      <c r="Y131" s="43">
        <f t="shared" si="151"/>
        <v>0.32518889329353851</v>
      </c>
      <c r="AC131" s="39">
        <v>66.040000000000006</v>
      </c>
      <c r="AD131" s="39" t="s">
        <v>2367</v>
      </c>
      <c r="AG131" s="39">
        <v>51.39</v>
      </c>
      <c r="AH131" s="39" t="s">
        <v>2366</v>
      </c>
      <c r="AK131" s="39">
        <v>37.64</v>
      </c>
      <c r="AL131" s="39" t="s">
        <v>2366</v>
      </c>
      <c r="AN131" s="39">
        <f t="shared" si="152"/>
        <v>2</v>
      </c>
      <c r="AO131" s="43">
        <f t="shared" si="153"/>
        <v>0.25235307749674818</v>
      </c>
      <c r="AS131" s="39">
        <v>66.91</v>
      </c>
      <c r="AT131" s="39" t="s">
        <v>2366</v>
      </c>
      <c r="AW131" s="39">
        <v>61.38</v>
      </c>
      <c r="AX131" s="39" t="s">
        <v>2366</v>
      </c>
      <c r="BA131" s="39">
        <v>43.39</v>
      </c>
      <c r="BB131" s="39" t="s">
        <v>2366</v>
      </c>
      <c r="BD131" s="2">
        <f t="shared" si="149"/>
        <v>4</v>
      </c>
      <c r="BE131" s="39">
        <f t="shared" si="154"/>
        <v>66.040000000000006</v>
      </c>
      <c r="BI131" s="39">
        <v>66.040000000000006</v>
      </c>
      <c r="BJ131" s="39" t="s">
        <v>2366</v>
      </c>
      <c r="BL131" s="2">
        <f t="shared" si="155"/>
        <v>4</v>
      </c>
      <c r="BM131" s="39">
        <f t="shared" si="156"/>
        <v>66.91</v>
      </c>
      <c r="BQ131" s="39">
        <v>66.91</v>
      </c>
      <c r="BR131" s="39" t="s">
        <v>2366</v>
      </c>
      <c r="BT131" s="8">
        <f t="shared" si="157"/>
        <v>3</v>
      </c>
      <c r="BU131" s="36">
        <f>BY131</f>
        <v>147</v>
      </c>
      <c r="BY131" s="36">
        <v>147</v>
      </c>
      <c r="BZ131" s="39" t="s">
        <v>398</v>
      </c>
      <c r="CA131" s="39" t="s">
        <v>2368</v>
      </c>
      <c r="CB131" s="39">
        <v>1</v>
      </c>
      <c r="CC131" s="39" t="s">
        <v>2369</v>
      </c>
      <c r="CF131" s="39" t="s">
        <v>132</v>
      </c>
      <c r="CG131" s="39" t="s">
        <v>2370</v>
      </c>
      <c r="CH131" s="39" t="s">
        <v>2371</v>
      </c>
      <c r="CI131" s="39" t="s">
        <v>2372</v>
      </c>
      <c r="CJ131" s="36">
        <f t="shared" si="158"/>
        <v>2</v>
      </c>
      <c r="CK131" s="53">
        <f>CO131/CS131</f>
        <v>1.5030284675953967</v>
      </c>
      <c r="CL131" s="36"/>
      <c r="CM131" s="36"/>
      <c r="CN131" s="36"/>
      <c r="CO131" s="36">
        <v>99.26</v>
      </c>
      <c r="CP131" s="36" t="s">
        <v>2366</v>
      </c>
      <c r="CQ131" s="36"/>
      <c r="CR131" s="36"/>
      <c r="CS131" s="36">
        <f>AC131</f>
        <v>66.040000000000006</v>
      </c>
      <c r="CT131" s="36" t="str">
        <f>AD131</f>
        <v>评级20151217</v>
      </c>
      <c r="CV131" s="39">
        <f t="shared" si="159"/>
        <v>3</v>
      </c>
      <c r="CW131" s="39">
        <f t="shared" si="160"/>
        <v>544.6</v>
      </c>
      <c r="DA131" s="39">
        <v>544.6</v>
      </c>
      <c r="DB131" s="39" t="s">
        <v>2366</v>
      </c>
      <c r="DD131" s="39">
        <f t="shared" si="161"/>
        <v>2</v>
      </c>
      <c r="DE131" s="48">
        <f t="shared" si="162"/>
        <v>8.1392915857121508</v>
      </c>
      <c r="DI131" s="39">
        <v>66.91</v>
      </c>
      <c r="DJ131" s="39" t="s">
        <v>2367</v>
      </c>
      <c r="DM131" s="13">
        <f>DA131</f>
        <v>544.6</v>
      </c>
      <c r="DN131" s="39" t="s">
        <v>2367</v>
      </c>
      <c r="DP131" s="39">
        <v>5</v>
      </c>
      <c r="DQ131" s="39" t="s">
        <v>222</v>
      </c>
      <c r="DU131" s="39" t="s">
        <v>2318</v>
      </c>
      <c r="DY131" s="39" t="s">
        <v>222</v>
      </c>
      <c r="EC131" s="39" t="s">
        <v>2355</v>
      </c>
      <c r="EG131" s="39" t="s">
        <v>222</v>
      </c>
      <c r="EJ131" s="39">
        <f t="shared" si="163"/>
        <v>1</v>
      </c>
      <c r="EK131" s="39">
        <f t="shared" si="164"/>
        <v>155</v>
      </c>
      <c r="EO131" s="39">
        <v>155</v>
      </c>
      <c r="EP131" s="39" t="s">
        <v>2366</v>
      </c>
      <c r="ER131" s="39">
        <f t="shared" si="165"/>
        <v>2</v>
      </c>
      <c r="ES131" s="39">
        <f t="shared" si="166"/>
        <v>89.88</v>
      </c>
      <c r="EW131" s="39">
        <v>89.88</v>
      </c>
      <c r="EX131" s="39" t="s">
        <v>2373</v>
      </c>
      <c r="EZ131" s="42">
        <f t="shared" si="167"/>
        <v>1</v>
      </c>
      <c r="FA131" s="39">
        <f t="shared" si="168"/>
        <v>336.49</v>
      </c>
      <c r="FE131" s="39">
        <v>336.49</v>
      </c>
      <c r="FF131" s="39" t="s">
        <v>2373</v>
      </c>
      <c r="FH131" s="39">
        <v>5</v>
      </c>
      <c r="FI131" s="39" t="s">
        <v>222</v>
      </c>
      <c r="FM131" s="39" t="s">
        <v>222</v>
      </c>
      <c r="FQ131" s="39" t="s">
        <v>2318</v>
      </c>
      <c r="FU131" s="39" t="s">
        <v>222</v>
      </c>
      <c r="FY131" s="39" t="s">
        <v>2355</v>
      </c>
      <c r="GB131" s="36">
        <v>3</v>
      </c>
      <c r="GC131" s="36" t="str">
        <f>GG131</f>
        <v>房地产销售收入占比61.12%；利息收入占比9.83%；酒店经营收入占比6.99%；租赁收入占比6.12%；处置投资性房地产收入占比7.19%</v>
      </c>
      <c r="GD131" s="36"/>
      <c r="GE131" s="36"/>
      <c r="GF131" s="36"/>
      <c r="GG131" s="36" t="s">
        <v>2374</v>
      </c>
      <c r="GH131" s="36" t="s">
        <v>147</v>
      </c>
      <c r="GJ131" s="39">
        <f t="shared" si="169"/>
        <v>3</v>
      </c>
      <c r="GK131" s="43">
        <f t="shared" si="170"/>
        <v>8.4591307959204859E-2</v>
      </c>
      <c r="GN131" s="36">
        <v>5.84</v>
      </c>
      <c r="GO131" s="39" t="s">
        <v>2375</v>
      </c>
      <c r="GP131" s="39" t="s">
        <v>147</v>
      </c>
      <c r="GS131" s="69">
        <v>69.037825999999995</v>
      </c>
      <c r="GT131" s="39" t="s">
        <v>2376</v>
      </c>
      <c r="GV131" s="36">
        <f t="shared" si="171"/>
        <v>2</v>
      </c>
      <c r="GW131" s="5">
        <f t="shared" si="172"/>
        <v>0.27715249994714836</v>
      </c>
      <c r="GX131" s="36"/>
      <c r="GY131" s="36"/>
      <c r="GZ131" s="36"/>
      <c r="HA131" s="36">
        <v>163.13999999999999</v>
      </c>
      <c r="HB131" s="36" t="s">
        <v>2367</v>
      </c>
      <c r="HC131" s="36"/>
      <c r="HD131" s="36"/>
      <c r="HE131" s="38">
        <v>588.62900400000001</v>
      </c>
      <c r="HF131" s="36" t="s">
        <v>144</v>
      </c>
      <c r="HH131" s="31">
        <f t="shared" si="173"/>
        <v>1</v>
      </c>
      <c r="HI131" s="189">
        <f t="shared" si="174"/>
        <v>7.5299190036732452E-2</v>
      </c>
      <c r="HJ131" s="31"/>
      <c r="HK131" s="31"/>
      <c r="HL131" s="31"/>
      <c r="HM131" s="31">
        <v>3</v>
      </c>
      <c r="HN131" s="31" t="s">
        <v>2865</v>
      </c>
      <c r="HQ131" s="78">
        <v>39.841065999999998</v>
      </c>
      <c r="HR131" s="39" t="s">
        <v>2358</v>
      </c>
      <c r="HT131" s="39">
        <f t="shared" si="175"/>
        <v>2</v>
      </c>
      <c r="HU131" s="40">
        <f t="shared" si="176"/>
        <v>0.2904884880986297</v>
      </c>
      <c r="HY131" s="36">
        <f>59.03-6.99</f>
        <v>52.04</v>
      </c>
      <c r="HZ131" s="39" t="s">
        <v>2311</v>
      </c>
      <c r="IC131" s="69">
        <v>179.146514</v>
      </c>
      <c r="ID131" s="39" t="s">
        <v>2376</v>
      </c>
      <c r="IR131" s="42">
        <f t="shared" si="177"/>
        <v>0</v>
      </c>
      <c r="IS131" s="39" t="s">
        <v>222</v>
      </c>
      <c r="IW131" s="39" t="s">
        <v>2318</v>
      </c>
      <c r="JA131" s="69">
        <v>153.002287</v>
      </c>
      <c r="JB131" s="39" t="s">
        <v>2358</v>
      </c>
      <c r="JD131" s="36">
        <f t="shared" si="178"/>
        <v>4</v>
      </c>
      <c r="JE131" s="82">
        <f t="shared" si="179"/>
        <v>9.4618474711783668E-2</v>
      </c>
      <c r="JI131" s="38">
        <v>34.995600000000003</v>
      </c>
      <c r="JJ131" s="36" t="s">
        <v>2366</v>
      </c>
      <c r="JM131" s="36">
        <v>1.57</v>
      </c>
      <c r="JN131" s="36" t="s">
        <v>2366</v>
      </c>
      <c r="JQ131" s="38">
        <v>307.676605</v>
      </c>
      <c r="JR131" s="36" t="s">
        <v>2367</v>
      </c>
      <c r="JS131" s="36"/>
      <c r="JT131" s="36"/>
      <c r="JU131" s="38">
        <v>163.482778</v>
      </c>
      <c r="JV131" s="36" t="s">
        <v>2373</v>
      </c>
      <c r="JX131" s="36">
        <v>1</v>
      </c>
      <c r="JY131" s="36" t="s">
        <v>2007</v>
      </c>
      <c r="JZ131" s="36"/>
      <c r="KA131" s="36"/>
      <c r="KB131" s="36">
        <v>2</v>
      </c>
      <c r="KC131" s="36" t="str">
        <f>JY131</f>
        <v>德勤华永会计师事务所（特殊普通合伙）</v>
      </c>
      <c r="KD131" s="36" t="s">
        <v>2367</v>
      </c>
      <c r="KF131" s="36">
        <f t="shared" si="180"/>
        <v>1</v>
      </c>
      <c r="KG131" s="5">
        <f t="shared" si="181"/>
        <v>0.10568469476537956</v>
      </c>
      <c r="KH131" s="36"/>
      <c r="KI131" s="36"/>
      <c r="KJ131" s="36"/>
      <c r="KK131" s="36">
        <v>16.170000000000002</v>
      </c>
      <c r="KL131" s="36" t="s">
        <v>2367</v>
      </c>
      <c r="KM131" s="36" t="s">
        <v>2377</v>
      </c>
      <c r="KN131" s="36"/>
      <c r="KO131" s="38">
        <v>153.002287</v>
      </c>
      <c r="KP131" s="36" t="s">
        <v>2378</v>
      </c>
    </row>
    <row r="132" spans="2:302" s="39" customFormat="1" ht="15.75" hidden="1" customHeight="1" x14ac:dyDescent="0.35">
      <c r="B132" s="39" t="s">
        <v>2379</v>
      </c>
      <c r="C132" s="36" t="s">
        <v>2380</v>
      </c>
      <c r="D132" s="39" t="s">
        <v>2205</v>
      </c>
      <c r="E132" s="39" t="s">
        <v>2381</v>
      </c>
      <c r="F132" s="39" t="s">
        <v>2382</v>
      </c>
      <c r="G132" s="42" t="s">
        <v>174</v>
      </c>
      <c r="H132" s="50">
        <v>1</v>
      </c>
      <c r="J132" s="36"/>
      <c r="L132" s="42">
        <v>4</v>
      </c>
      <c r="M132" s="36" t="s">
        <v>2383</v>
      </c>
      <c r="P132" s="39" t="s">
        <v>126</v>
      </c>
      <c r="Q132" s="39" t="s">
        <v>2384</v>
      </c>
      <c r="R132" s="39" t="s">
        <v>912</v>
      </c>
      <c r="T132" s="39" t="s">
        <v>1235</v>
      </c>
      <c r="U132" s="40">
        <v>9.1700000000000004E-2</v>
      </c>
      <c r="V132" s="36"/>
      <c r="X132" s="39">
        <f t="shared" si="150"/>
        <v>2</v>
      </c>
      <c r="Y132" s="43">
        <f t="shared" si="151"/>
        <v>0.23005981478082066</v>
      </c>
      <c r="AC132" s="39">
        <v>210.62</v>
      </c>
      <c r="AD132" s="39" t="s">
        <v>2385</v>
      </c>
      <c r="AG132" s="39">
        <v>162.35</v>
      </c>
      <c r="AH132" s="39" t="s">
        <v>2386</v>
      </c>
      <c r="AK132" s="39">
        <v>139.62</v>
      </c>
      <c r="AL132" s="39" t="s">
        <v>2387</v>
      </c>
      <c r="AN132" s="39">
        <f t="shared" si="152"/>
        <v>2</v>
      </c>
      <c r="AO132" s="43">
        <f t="shared" si="153"/>
        <v>0.11536416083703058</v>
      </c>
      <c r="AS132" s="39">
        <v>157.59</v>
      </c>
      <c r="AT132" s="39" t="s">
        <v>2388</v>
      </c>
      <c r="AW132" s="39">
        <v>136.38999999999999</v>
      </c>
      <c r="AX132" s="39" t="s">
        <v>2389</v>
      </c>
      <c r="BA132" s="39">
        <v>126.84</v>
      </c>
      <c r="BB132" s="39" t="s">
        <v>2390</v>
      </c>
      <c r="BD132" s="2">
        <f t="shared" si="149"/>
        <v>3</v>
      </c>
      <c r="BE132" s="39">
        <f t="shared" si="154"/>
        <v>210.62</v>
      </c>
      <c r="BI132" s="39">
        <v>210.62</v>
      </c>
      <c r="BJ132" s="39" t="s">
        <v>2391</v>
      </c>
      <c r="BL132" s="2">
        <f t="shared" si="155"/>
        <v>3</v>
      </c>
      <c r="BM132" s="39">
        <f t="shared" si="156"/>
        <v>157.59</v>
      </c>
      <c r="BQ132" s="39">
        <v>157.59</v>
      </c>
      <c r="BR132" s="39" t="s">
        <v>2392</v>
      </c>
      <c r="BT132" s="8">
        <f t="shared" si="157"/>
        <v>2</v>
      </c>
      <c r="BU132" s="36">
        <f>BY132</f>
        <v>23</v>
      </c>
      <c r="BY132" s="36">
        <v>23</v>
      </c>
      <c r="BZ132" s="39" t="s">
        <v>234</v>
      </c>
      <c r="CA132" s="39" t="s">
        <v>2393</v>
      </c>
      <c r="CB132" s="36">
        <v>1</v>
      </c>
      <c r="CC132" s="36" t="str">
        <f>CF132</f>
        <v>一级</v>
      </c>
      <c r="CD132" s="36"/>
      <c r="CE132" s="36"/>
      <c r="CF132" s="36" t="s">
        <v>132</v>
      </c>
      <c r="CG132" s="36" t="s">
        <v>2394</v>
      </c>
      <c r="CH132" s="36" t="s">
        <v>2390</v>
      </c>
      <c r="CJ132" s="39">
        <f t="shared" si="158"/>
        <v>2</v>
      </c>
      <c r="CK132" s="48">
        <f>CO132/CS132</f>
        <v>0.96871142341657956</v>
      </c>
      <c r="CO132" s="39">
        <v>204.03</v>
      </c>
      <c r="CP132" s="39" t="s">
        <v>912</v>
      </c>
      <c r="CS132" s="39">
        <v>210.62</v>
      </c>
      <c r="CT132" s="39" t="s">
        <v>2388</v>
      </c>
      <c r="CV132" s="39">
        <f t="shared" si="159"/>
        <v>3</v>
      </c>
      <c r="CW132" s="39">
        <f t="shared" si="160"/>
        <v>624.19000000000005</v>
      </c>
      <c r="DA132" s="39">
        <v>624.19000000000005</v>
      </c>
      <c r="DB132" s="39" t="s">
        <v>912</v>
      </c>
      <c r="DC132" s="36"/>
      <c r="DD132" s="36">
        <f t="shared" si="161"/>
        <v>1</v>
      </c>
      <c r="DE132" s="53">
        <f t="shared" si="162"/>
        <v>3.9608477695285238</v>
      </c>
      <c r="DF132" s="36"/>
      <c r="DG132" s="36"/>
      <c r="DH132" s="36"/>
      <c r="DI132" s="37">
        <f>BQ132</f>
        <v>157.59</v>
      </c>
      <c r="DJ132" s="36" t="str">
        <f>BR132</f>
        <v>年报2015</v>
      </c>
      <c r="DK132" s="36"/>
      <c r="DL132" s="36"/>
      <c r="DM132" s="13">
        <f>DA132</f>
        <v>624.19000000000005</v>
      </c>
      <c r="DN132" s="39" t="s">
        <v>2395</v>
      </c>
      <c r="DP132" s="39">
        <v>2</v>
      </c>
      <c r="DQ132" s="39" t="s">
        <v>2396</v>
      </c>
      <c r="DU132" s="40">
        <v>0.33539999999999998</v>
      </c>
      <c r="DV132" s="39" t="s">
        <v>2397</v>
      </c>
      <c r="DY132" s="40">
        <v>0.66459999999999997</v>
      </c>
      <c r="DZ132" s="39" t="s">
        <v>2398</v>
      </c>
      <c r="EC132" s="50">
        <v>0</v>
      </c>
      <c r="ED132" s="39" t="s">
        <v>2399</v>
      </c>
      <c r="EG132" s="50">
        <v>0</v>
      </c>
      <c r="EH132" s="39" t="s">
        <v>2399</v>
      </c>
      <c r="EJ132" s="39">
        <f t="shared" si="163"/>
        <v>1</v>
      </c>
      <c r="EK132" s="39">
        <f t="shared" si="164"/>
        <v>248</v>
      </c>
      <c r="EO132" s="39">
        <v>248</v>
      </c>
      <c r="EP132" s="39" t="s">
        <v>2391</v>
      </c>
      <c r="ER132" s="39">
        <f t="shared" si="165"/>
        <v>1</v>
      </c>
      <c r="ES132" s="39">
        <f t="shared" si="166"/>
        <v>192</v>
      </c>
      <c r="EW132" s="39">
        <v>192</v>
      </c>
      <c r="EX132" s="39" t="s">
        <v>2385</v>
      </c>
      <c r="EZ132" s="3">
        <f t="shared" si="167"/>
        <v>1</v>
      </c>
      <c r="FA132" s="36">
        <f t="shared" si="168"/>
        <v>345.36</v>
      </c>
      <c r="FE132" s="36">
        <f>121.71+223.65</f>
        <v>345.36</v>
      </c>
      <c r="FF132" s="36" t="s">
        <v>2400</v>
      </c>
      <c r="FG132" s="36"/>
      <c r="FH132" s="39">
        <v>2</v>
      </c>
      <c r="FI132" s="39" t="s">
        <v>2401</v>
      </c>
      <c r="FM132" s="40">
        <v>0.30099999999999999</v>
      </c>
      <c r="FN132" s="39" t="s">
        <v>2397</v>
      </c>
      <c r="FQ132" s="40">
        <v>0.69899999999999995</v>
      </c>
      <c r="FR132" s="39" t="s">
        <v>2397</v>
      </c>
      <c r="FU132" s="36">
        <v>0</v>
      </c>
      <c r="FV132" s="39" t="s">
        <v>2395</v>
      </c>
      <c r="FY132" s="36">
        <v>0</v>
      </c>
      <c r="FZ132" s="39" t="s">
        <v>2397</v>
      </c>
      <c r="GB132" s="39">
        <v>2</v>
      </c>
      <c r="GC132" s="36" t="str">
        <f>GG132</f>
        <v>房地产销售占比93.19%；物业出租占比0.28%；物业管理及物业相关服务占比6.53%</v>
      </c>
      <c r="GG132" s="36" t="s">
        <v>2402</v>
      </c>
      <c r="GH132" s="39" t="s">
        <v>2385</v>
      </c>
      <c r="GJ132" s="39">
        <f t="shared" si="169"/>
        <v>3</v>
      </c>
      <c r="GK132" s="43">
        <f t="shared" si="170"/>
        <v>6.8094044790981939E-2</v>
      </c>
      <c r="GN132" s="69">
        <v>9.7997128989999993</v>
      </c>
      <c r="GO132" s="39" t="s">
        <v>2403</v>
      </c>
      <c r="GP132" s="39" t="s">
        <v>2392</v>
      </c>
      <c r="GS132" s="69">
        <v>143.91438971030001</v>
      </c>
      <c r="GT132" s="39" t="s">
        <v>2404</v>
      </c>
      <c r="GV132" s="39">
        <f t="shared" si="171"/>
        <v>2</v>
      </c>
      <c r="GW132" s="43">
        <f t="shared" si="172"/>
        <v>0.33177752637953772</v>
      </c>
      <c r="HA132" s="69">
        <v>150.09742382589999</v>
      </c>
      <c r="HB132" s="39" t="s">
        <v>2385</v>
      </c>
      <c r="HE132" s="69">
        <v>452.4038305542</v>
      </c>
      <c r="HF132" s="39" t="s">
        <v>144</v>
      </c>
      <c r="HH132" s="39">
        <f t="shared" si="173"/>
        <v>1</v>
      </c>
      <c r="HI132" s="43">
        <f t="shared" si="174"/>
        <v>3.822343728428376E-3</v>
      </c>
      <c r="HM132" s="69">
        <v>0.315</v>
      </c>
      <c r="HN132" s="39" t="s">
        <v>2392</v>
      </c>
      <c r="HQ132" s="78">
        <v>82.410170926600003</v>
      </c>
      <c r="HR132" s="39" t="s">
        <v>2405</v>
      </c>
      <c r="HT132" s="39">
        <f t="shared" si="175"/>
        <v>0</v>
      </c>
      <c r="HU132" s="39" t="s">
        <v>2509</v>
      </c>
      <c r="HY132" s="39" t="s">
        <v>2509</v>
      </c>
      <c r="IC132" s="39">
        <v>44.040543482799997</v>
      </c>
      <c r="ID132" s="39" t="s">
        <v>2406</v>
      </c>
      <c r="IR132" s="42">
        <f t="shared" si="177"/>
        <v>1</v>
      </c>
      <c r="IS132" s="43">
        <f>IW132/JA132</f>
        <v>3.8775647886874349</v>
      </c>
      <c r="IW132" s="39">
        <v>491.93</v>
      </c>
      <c r="IX132" s="39" t="s">
        <v>147</v>
      </c>
      <c r="JA132" s="69">
        <v>126.8657074242</v>
      </c>
      <c r="JB132" s="39" t="s">
        <v>2406</v>
      </c>
      <c r="JD132" s="39">
        <f t="shared" si="178"/>
        <v>4</v>
      </c>
      <c r="JE132" s="44">
        <f t="shared" si="179"/>
        <v>0.15584057673043189</v>
      </c>
      <c r="JI132" s="39">
        <v>42.75</v>
      </c>
      <c r="JJ132" s="39" t="s">
        <v>912</v>
      </c>
      <c r="JM132" s="39">
        <v>2.89</v>
      </c>
      <c r="JN132" s="39" t="s">
        <v>2407</v>
      </c>
      <c r="JQ132" s="39">
        <v>107.03</v>
      </c>
      <c r="JR132" s="39" t="s">
        <v>2397</v>
      </c>
      <c r="JU132" s="39">
        <v>82.81</v>
      </c>
      <c r="JV132" s="39" t="s">
        <v>2407</v>
      </c>
      <c r="JX132" s="39">
        <v>1</v>
      </c>
      <c r="JY132" s="39" t="s">
        <v>1552</v>
      </c>
      <c r="KB132" s="39">
        <v>3</v>
      </c>
      <c r="KC132" s="39" t="s">
        <v>2007</v>
      </c>
      <c r="KD132" s="39" t="s">
        <v>2388</v>
      </c>
      <c r="KF132" s="39">
        <f t="shared" si="180"/>
        <v>2</v>
      </c>
      <c r="KG132" s="43">
        <f t="shared" si="181"/>
        <v>0.26258234035942096</v>
      </c>
      <c r="KK132" s="69">
        <v>33.312694366800002</v>
      </c>
      <c r="KL132" s="39" t="s">
        <v>2385</v>
      </c>
      <c r="KM132" s="39" t="s">
        <v>1002</v>
      </c>
      <c r="KO132" s="69">
        <v>126.8657074242</v>
      </c>
      <c r="KP132" s="39" t="s">
        <v>144</v>
      </c>
    </row>
    <row r="133" spans="2:302" s="36" customFormat="1" ht="15.75" hidden="1" customHeight="1" x14ac:dyDescent="0.35">
      <c r="B133" s="36" t="s">
        <v>2408</v>
      </c>
      <c r="C133" s="36" t="s">
        <v>170</v>
      </c>
      <c r="D133" s="39" t="s">
        <v>2205</v>
      </c>
      <c r="E133" s="39" t="s">
        <v>2307</v>
      </c>
      <c r="F133" s="36" t="s">
        <v>2409</v>
      </c>
      <c r="G133" s="3" t="s">
        <v>174</v>
      </c>
      <c r="H133" s="41">
        <f>211.12/223.799691593</f>
        <v>0.94334356985594436</v>
      </c>
      <c r="L133" s="42">
        <v>4</v>
      </c>
      <c r="M133" s="39" t="s">
        <v>2897</v>
      </c>
      <c r="N133" s="39"/>
      <c r="O133" s="39"/>
      <c r="P133" s="39" t="s">
        <v>126</v>
      </c>
      <c r="Q133" s="39" t="s">
        <v>2410</v>
      </c>
      <c r="R133" s="39" t="s">
        <v>2311</v>
      </c>
      <c r="S133" s="39"/>
      <c r="T133" s="39" t="s">
        <v>1235</v>
      </c>
      <c r="U133" s="40">
        <v>0.14547599999999999</v>
      </c>
      <c r="X133" s="39">
        <f t="shared" si="150"/>
        <v>1</v>
      </c>
      <c r="Y133" s="43">
        <f t="shared" si="151"/>
        <v>0.33281538500895613</v>
      </c>
      <c r="Z133" s="39"/>
      <c r="AA133" s="39"/>
      <c r="AB133" s="39"/>
      <c r="AC133" s="39">
        <v>310.31</v>
      </c>
      <c r="AD133" s="39" t="s">
        <v>2411</v>
      </c>
      <c r="AE133" s="39"/>
      <c r="AF133" s="39"/>
      <c r="AG133" s="39">
        <v>230.69</v>
      </c>
      <c r="AH133" s="39" t="s">
        <v>2411</v>
      </c>
      <c r="AK133" s="36">
        <v>174.7</v>
      </c>
      <c r="AL133" s="36" t="s">
        <v>2412</v>
      </c>
      <c r="AN133" s="39">
        <f t="shared" si="152"/>
        <v>1</v>
      </c>
      <c r="AO133" s="43">
        <f t="shared" si="153"/>
        <v>0.30281860863847837</v>
      </c>
      <c r="AS133" s="39">
        <v>246.49</v>
      </c>
      <c r="AT133" s="39" t="s">
        <v>2411</v>
      </c>
      <c r="AU133" s="39"/>
      <c r="AV133" s="39"/>
      <c r="AW133" s="39">
        <v>175.8</v>
      </c>
      <c r="AX133" s="39" t="s">
        <v>2411</v>
      </c>
      <c r="BA133" s="36">
        <v>146.07</v>
      </c>
      <c r="BB133" s="39" t="s">
        <v>2411</v>
      </c>
      <c r="BD133" s="2">
        <f t="shared" si="149"/>
        <v>2</v>
      </c>
      <c r="BE133" s="36">
        <f t="shared" si="154"/>
        <v>310.31</v>
      </c>
      <c r="BI133" s="39">
        <v>310.31</v>
      </c>
      <c r="BJ133" s="39" t="s">
        <v>2411</v>
      </c>
      <c r="BL133" s="2">
        <f t="shared" si="155"/>
        <v>3</v>
      </c>
      <c r="BM133" s="39">
        <f t="shared" si="156"/>
        <v>246.49</v>
      </c>
      <c r="BQ133" s="39">
        <v>246.49</v>
      </c>
      <c r="BR133" s="39" t="s">
        <v>2412</v>
      </c>
      <c r="BT133" s="8">
        <f t="shared" si="157"/>
        <v>1</v>
      </c>
      <c r="BU133" s="39">
        <f>BY133</f>
        <v>19</v>
      </c>
      <c r="BY133" s="39">
        <v>19</v>
      </c>
      <c r="BZ133" s="39" t="s">
        <v>234</v>
      </c>
      <c r="CA133" s="39"/>
      <c r="CB133" s="36">
        <v>1</v>
      </c>
      <c r="CC133" s="36" t="str">
        <f>CF133</f>
        <v>一级</v>
      </c>
      <c r="CF133" s="39" t="s">
        <v>132</v>
      </c>
      <c r="CG133" s="36" t="s">
        <v>2413</v>
      </c>
      <c r="CH133" s="39" t="s">
        <v>2414</v>
      </c>
      <c r="CI133" s="39" t="s">
        <v>2415</v>
      </c>
      <c r="CJ133" s="39">
        <f t="shared" si="158"/>
        <v>2</v>
      </c>
      <c r="CK133" s="48">
        <f>CO133/CS133</f>
        <v>0.43369533692114343</v>
      </c>
      <c r="CO133" s="39">
        <f>92.76+41.82</f>
        <v>134.58000000000001</v>
      </c>
      <c r="CP133" s="36" t="s">
        <v>2412</v>
      </c>
      <c r="CS133" s="36">
        <f>AC133</f>
        <v>310.31</v>
      </c>
      <c r="CT133" s="36" t="str">
        <f>AD133</f>
        <v>评级20160923</v>
      </c>
      <c r="CV133" s="39">
        <f t="shared" si="159"/>
        <v>2</v>
      </c>
      <c r="CW133" s="39">
        <f t="shared" si="160"/>
        <v>1313.54</v>
      </c>
      <c r="DA133" s="39">
        <v>1313.54</v>
      </c>
      <c r="DB133" s="36" t="s">
        <v>2416</v>
      </c>
      <c r="DC133" s="39" t="s">
        <v>2417</v>
      </c>
      <c r="DD133" s="39">
        <f t="shared" si="161"/>
        <v>2</v>
      </c>
      <c r="DE133" s="48">
        <f t="shared" si="162"/>
        <v>5.3289788632398878</v>
      </c>
      <c r="DF133" s="39"/>
      <c r="DG133" s="39"/>
      <c r="DH133" s="39"/>
      <c r="DI133" s="39">
        <v>246.49</v>
      </c>
      <c r="DJ133" s="39" t="s">
        <v>2411</v>
      </c>
      <c r="DM133" s="39">
        <v>1313.54</v>
      </c>
      <c r="DN133" s="36" t="s">
        <v>2414</v>
      </c>
      <c r="DO133" s="39" t="s">
        <v>2418</v>
      </c>
      <c r="DP133" s="36">
        <v>3</v>
      </c>
      <c r="DQ133" s="36" t="s">
        <v>2419</v>
      </c>
      <c r="DR133" s="36" t="s">
        <v>2416</v>
      </c>
      <c r="DS133" s="39" t="s">
        <v>2417</v>
      </c>
      <c r="DT133" s="39"/>
      <c r="DU133" s="41">
        <v>5.3800000000000001E-2</v>
      </c>
      <c r="DV133" s="36" t="s">
        <v>2416</v>
      </c>
      <c r="DY133" s="41">
        <v>0.94620000000000004</v>
      </c>
      <c r="DZ133" s="36" t="s">
        <v>2414</v>
      </c>
      <c r="EC133" s="41">
        <v>0</v>
      </c>
      <c r="ED133" s="36" t="s">
        <v>2414</v>
      </c>
      <c r="EG133" s="40">
        <v>0</v>
      </c>
      <c r="EH133" s="39" t="s">
        <v>2414</v>
      </c>
      <c r="EJ133" s="39">
        <f t="shared" si="163"/>
        <v>1</v>
      </c>
      <c r="EK133" s="39">
        <f t="shared" si="164"/>
        <v>145.25</v>
      </c>
      <c r="EL133" s="39"/>
      <c r="EM133" s="39"/>
      <c r="EN133" s="39"/>
      <c r="EO133" s="39">
        <v>145.25</v>
      </c>
      <c r="EP133" s="39" t="s">
        <v>2411</v>
      </c>
      <c r="ER133" s="39">
        <f t="shared" si="165"/>
        <v>1</v>
      </c>
      <c r="ES133" s="39">
        <f t="shared" si="166"/>
        <v>252.26</v>
      </c>
      <c r="ET133" s="39"/>
      <c r="EU133" s="39"/>
      <c r="EV133" s="39"/>
      <c r="EW133" s="39">
        <v>252.26</v>
      </c>
      <c r="EX133" s="39" t="s">
        <v>2411</v>
      </c>
      <c r="EZ133" s="36">
        <f t="shared" si="167"/>
        <v>1</v>
      </c>
      <c r="FA133" s="36">
        <f t="shared" si="168"/>
        <v>959.59</v>
      </c>
      <c r="FE133" s="36">
        <v>959.59</v>
      </c>
      <c r="FF133" s="36" t="s">
        <v>2414</v>
      </c>
      <c r="FG133" s="36" t="s">
        <v>2420</v>
      </c>
      <c r="FH133" s="36">
        <v>3</v>
      </c>
      <c r="FI133" s="36" t="s">
        <v>2421</v>
      </c>
      <c r="FM133" s="41">
        <v>4.2999999999999997E-2</v>
      </c>
      <c r="FN133" s="36" t="s">
        <v>2414</v>
      </c>
      <c r="FQ133" s="41">
        <v>0.80500000000000005</v>
      </c>
      <c r="FR133" s="36" t="s">
        <v>2414</v>
      </c>
      <c r="FU133" s="41">
        <v>4.5900000000000003E-2</v>
      </c>
      <c r="FV133" s="36" t="s">
        <v>2414</v>
      </c>
      <c r="FY133" s="41">
        <v>0.1061</v>
      </c>
      <c r="FZ133" s="36" t="s">
        <v>2414</v>
      </c>
      <c r="GB133" s="36">
        <v>2</v>
      </c>
      <c r="GC133" s="36" t="s">
        <v>2422</v>
      </c>
      <c r="GD133" s="41"/>
      <c r="GG133" s="36" t="s">
        <v>2423</v>
      </c>
      <c r="GH133" s="36" t="s">
        <v>147</v>
      </c>
      <c r="GJ133" s="36">
        <f t="shared" si="169"/>
        <v>4</v>
      </c>
      <c r="GK133" s="5">
        <f t="shared" si="170"/>
        <v>0</v>
      </c>
      <c r="GN133" s="36">
        <v>0</v>
      </c>
      <c r="GO133" s="36" t="s">
        <v>921</v>
      </c>
      <c r="GP133" s="36" t="s">
        <v>147</v>
      </c>
      <c r="GS133" s="38">
        <v>223.79969159300001</v>
      </c>
      <c r="GT133" s="36" t="s">
        <v>2358</v>
      </c>
      <c r="GV133" s="39">
        <f t="shared" si="171"/>
        <v>2</v>
      </c>
      <c r="GW133" s="43">
        <f t="shared" si="172"/>
        <v>0.33251964973532139</v>
      </c>
      <c r="GX133" s="39"/>
      <c r="GY133" s="39"/>
      <c r="GZ133" s="39"/>
      <c r="HA133" s="39">
        <v>233.34</v>
      </c>
      <c r="HB133" s="39" t="s">
        <v>147</v>
      </c>
      <c r="HC133" s="39"/>
      <c r="HD133" s="39"/>
      <c r="HE133" s="69">
        <v>701.73296581339991</v>
      </c>
      <c r="HF133" s="39" t="s">
        <v>144</v>
      </c>
      <c r="HH133" s="39">
        <f t="shared" si="173"/>
        <v>1</v>
      </c>
      <c r="HI133" s="43">
        <f t="shared" si="174"/>
        <v>2.1179320409961389E-2</v>
      </c>
      <c r="HJ133" s="39"/>
      <c r="HK133" s="39"/>
      <c r="HL133" s="39"/>
      <c r="HM133" s="69">
        <v>2.9216823398999998</v>
      </c>
      <c r="HN133" s="39" t="s">
        <v>147</v>
      </c>
      <c r="HO133" s="39"/>
      <c r="HP133" s="39"/>
      <c r="HQ133" s="78">
        <v>137.94976813919999</v>
      </c>
      <c r="HR133" s="39" t="s">
        <v>2358</v>
      </c>
      <c r="HT133" s="39">
        <f t="shared" si="175"/>
        <v>4</v>
      </c>
      <c r="HU133" s="40">
        <f t="shared" si="176"/>
        <v>0</v>
      </c>
      <c r="HV133" s="39"/>
      <c r="HW133" s="39"/>
      <c r="HX133" s="39"/>
      <c r="HY133" s="39">
        <v>0</v>
      </c>
      <c r="HZ133" s="39" t="s">
        <v>147</v>
      </c>
      <c r="IA133" s="39"/>
      <c r="IB133" s="39"/>
      <c r="IC133" s="39">
        <v>93.995990000000006</v>
      </c>
      <c r="ID133" s="39" t="s">
        <v>144</v>
      </c>
      <c r="IR133" s="42">
        <f t="shared" si="177"/>
        <v>4</v>
      </c>
      <c r="IS133" s="43">
        <f>IW133/JA133</f>
        <v>0.80628130774254647</v>
      </c>
      <c r="IT133" s="39"/>
      <c r="IU133" s="39"/>
      <c r="IV133" s="39"/>
      <c r="IW133" s="39">
        <v>110.8</v>
      </c>
      <c r="IX133" s="39" t="s">
        <v>2359</v>
      </c>
      <c r="IY133" s="39"/>
      <c r="IZ133" s="39"/>
      <c r="JA133" s="69">
        <v>137.4210203511</v>
      </c>
      <c r="JB133" s="39" t="s">
        <v>144</v>
      </c>
      <c r="JD133" s="36">
        <f t="shared" si="178"/>
        <v>4</v>
      </c>
      <c r="JE133" s="82">
        <f t="shared" si="179"/>
        <v>8.8508521150522559E-2</v>
      </c>
      <c r="JI133" s="36">
        <v>24.08</v>
      </c>
      <c r="JJ133" s="36" t="s">
        <v>2424</v>
      </c>
      <c r="JM133" s="36">
        <v>0.94</v>
      </c>
      <c r="JN133" s="36" t="s">
        <v>2424</v>
      </c>
      <c r="JQ133" s="39">
        <v>376.25</v>
      </c>
      <c r="JR133" s="36" t="s">
        <v>2424</v>
      </c>
      <c r="JU133" s="39">
        <v>202.61</v>
      </c>
      <c r="JV133" s="36" t="s">
        <v>2424</v>
      </c>
      <c r="JW133" s="39"/>
      <c r="JX133" s="39">
        <v>3</v>
      </c>
      <c r="JY133" s="36" t="s">
        <v>2425</v>
      </c>
      <c r="JZ133" s="39"/>
      <c r="KA133" s="39"/>
      <c r="KB133" s="36">
        <v>33</v>
      </c>
      <c r="KC133" s="36" t="s">
        <v>2425</v>
      </c>
      <c r="KD133" s="39" t="s">
        <v>147</v>
      </c>
      <c r="KF133" s="39">
        <f t="shared" si="180"/>
        <v>4</v>
      </c>
      <c r="KG133" s="43">
        <f t="shared" si="181"/>
        <v>1.2898338081549632</v>
      </c>
      <c r="KH133" s="39"/>
      <c r="KI133" s="39"/>
      <c r="KJ133" s="39"/>
      <c r="KK133" s="69">
        <v>177.25027800000001</v>
      </c>
      <c r="KL133" s="39" t="s">
        <v>2359</v>
      </c>
      <c r="KM133" s="39" t="s">
        <v>2426</v>
      </c>
      <c r="KN133" s="39"/>
      <c r="KO133" s="69">
        <v>137.4210203511</v>
      </c>
      <c r="KP133" s="39" t="s">
        <v>144</v>
      </c>
    </row>
    <row r="134" spans="2:302" s="39" customFormat="1" ht="14.25" hidden="1" customHeight="1" x14ac:dyDescent="0.35">
      <c r="B134" s="39" t="s">
        <v>2427</v>
      </c>
      <c r="C134" s="39" t="s">
        <v>324</v>
      </c>
      <c r="D134" s="39" t="s">
        <v>325</v>
      </c>
      <c r="E134" s="39" t="s">
        <v>172</v>
      </c>
      <c r="F134" s="39" t="s">
        <v>2428</v>
      </c>
      <c r="G134" s="3" t="s">
        <v>174</v>
      </c>
      <c r="H134" s="40">
        <f>(13.89+0.09+4.38)/24.09</f>
        <v>0.76214196762141961</v>
      </c>
      <c r="L134" s="42">
        <v>3</v>
      </c>
      <c r="M134" s="39" t="s">
        <v>2429</v>
      </c>
      <c r="P134" s="39" t="s">
        <v>603</v>
      </c>
      <c r="Q134" s="39" t="s">
        <v>2430</v>
      </c>
      <c r="R134" s="39" t="s">
        <v>147</v>
      </c>
      <c r="T134" s="39" t="s">
        <v>203</v>
      </c>
      <c r="U134" s="40">
        <f>0.3058+0.2043</f>
        <v>0.5101</v>
      </c>
      <c r="X134" s="39">
        <f t="shared" si="150"/>
        <v>1</v>
      </c>
      <c r="Y134" s="43">
        <f t="shared" si="151"/>
        <v>1.1212744504940513</v>
      </c>
      <c r="AC134" s="39">
        <v>21.05</v>
      </c>
      <c r="AD134" s="39" t="s">
        <v>1435</v>
      </c>
      <c r="AG134" s="39">
        <v>5.51</v>
      </c>
      <c r="AH134" s="39" t="s">
        <v>1435</v>
      </c>
      <c r="AK134" s="39">
        <v>13.05</v>
      </c>
      <c r="AL134" s="39" t="s">
        <v>1435</v>
      </c>
      <c r="AN134" s="39">
        <f t="shared" si="152"/>
        <v>1</v>
      </c>
      <c r="AO134" s="43">
        <f t="shared" si="153"/>
        <v>0.62382590036445928</v>
      </c>
      <c r="AS134" s="39">
        <v>21.08</v>
      </c>
      <c r="AT134" s="39" t="s">
        <v>1435</v>
      </c>
      <c r="AW134" s="39">
        <v>7.51</v>
      </c>
      <c r="AX134" s="39" t="s">
        <v>1435</v>
      </c>
      <c r="BA134" s="39">
        <v>17.04</v>
      </c>
      <c r="BB134" s="39" t="s">
        <v>1435</v>
      </c>
      <c r="BD134" s="2">
        <f t="shared" si="149"/>
        <v>5</v>
      </c>
      <c r="BE134" s="39">
        <f t="shared" si="154"/>
        <v>21.05</v>
      </c>
      <c r="BI134" s="39">
        <v>21.05</v>
      </c>
      <c r="BJ134" s="39" t="s">
        <v>1435</v>
      </c>
      <c r="BL134" s="2">
        <f t="shared" si="155"/>
        <v>5</v>
      </c>
      <c r="BM134" s="39">
        <f t="shared" si="156"/>
        <v>21.08</v>
      </c>
      <c r="BQ134" s="39">
        <v>21.08</v>
      </c>
      <c r="BR134" s="39" t="s">
        <v>1435</v>
      </c>
      <c r="BT134" s="8">
        <f t="shared" si="157"/>
        <v>3</v>
      </c>
      <c r="BU134" s="39">
        <f>BY134</f>
        <v>202</v>
      </c>
      <c r="BY134" s="39">
        <v>202</v>
      </c>
      <c r="BZ134" s="39" t="s">
        <v>234</v>
      </c>
      <c r="CB134" s="39">
        <v>1</v>
      </c>
      <c r="CC134" s="39" t="s">
        <v>133</v>
      </c>
      <c r="CF134" s="39" t="s">
        <v>132</v>
      </c>
      <c r="CG134" s="202" t="s">
        <v>2096</v>
      </c>
      <c r="CH134" s="39" t="s">
        <v>147</v>
      </c>
      <c r="CJ134" s="39">
        <f t="shared" si="158"/>
        <v>0</v>
      </c>
      <c r="CK134" s="39" t="s">
        <v>222</v>
      </c>
      <c r="CO134" s="39" t="s">
        <v>222</v>
      </c>
      <c r="CS134" s="39">
        <f>AC134</f>
        <v>21.05</v>
      </c>
      <c r="CT134" s="39" t="s">
        <v>1435</v>
      </c>
      <c r="CV134" s="39">
        <f t="shared" si="159"/>
        <v>5</v>
      </c>
      <c r="CW134" s="39">
        <f t="shared" si="160"/>
        <v>93.38</v>
      </c>
      <c r="DA134" s="39">
        <v>93.38</v>
      </c>
      <c r="DB134" s="13" t="s">
        <v>139</v>
      </c>
      <c r="DC134" s="39" t="s">
        <v>2431</v>
      </c>
      <c r="DD134" s="39">
        <f t="shared" si="161"/>
        <v>1</v>
      </c>
      <c r="DE134" s="48">
        <f t="shared" si="162"/>
        <v>4.4297912713472485</v>
      </c>
      <c r="DI134" s="39">
        <f>AS134</f>
        <v>21.08</v>
      </c>
      <c r="DJ134" s="39" t="s">
        <v>1435</v>
      </c>
      <c r="DM134" s="14">
        <v>93.38</v>
      </c>
      <c r="DN134" s="13" t="s">
        <v>139</v>
      </c>
      <c r="DO134" s="39" t="s">
        <v>2431</v>
      </c>
      <c r="DP134" s="39">
        <v>1</v>
      </c>
      <c r="DQ134" s="39" t="s">
        <v>2432</v>
      </c>
      <c r="DR134" s="13" t="s">
        <v>139</v>
      </c>
      <c r="DS134" s="39" t="s">
        <v>2431</v>
      </c>
      <c r="DU134" s="40">
        <v>0.64064339428247674</v>
      </c>
      <c r="DV134" s="118" t="s">
        <v>2815</v>
      </c>
      <c r="DY134" s="39">
        <v>0</v>
      </c>
      <c r="DZ134" s="118" t="s">
        <v>2815</v>
      </c>
      <c r="EC134" s="40">
        <v>0.1319176611016474</v>
      </c>
      <c r="ED134" s="118" t="s">
        <v>146</v>
      </c>
      <c r="EG134" s="40">
        <v>6.1773107003029078E-2</v>
      </c>
      <c r="EH134" s="118" t="s">
        <v>2815</v>
      </c>
      <c r="EJ134" s="14">
        <f t="shared" si="163"/>
        <v>3</v>
      </c>
      <c r="EK134" s="14">
        <f t="shared" si="164"/>
        <v>49.71</v>
      </c>
      <c r="EL134" s="14"/>
      <c r="EM134" s="14"/>
      <c r="EN134" s="14"/>
      <c r="EO134" s="14">
        <v>49.71</v>
      </c>
      <c r="EP134" s="13" t="s">
        <v>147</v>
      </c>
      <c r="EQ134" s="14"/>
      <c r="ER134" s="14">
        <f t="shared" si="165"/>
        <v>4</v>
      </c>
      <c r="ES134" s="14">
        <f t="shared" si="166"/>
        <v>15.61</v>
      </c>
      <c r="ET134" s="14"/>
      <c r="EU134" s="14"/>
      <c r="EV134" s="14"/>
      <c r="EW134" s="14">
        <v>15.61</v>
      </c>
      <c r="EX134" s="13" t="s">
        <v>2433</v>
      </c>
      <c r="EZ134" s="42">
        <f t="shared" si="167"/>
        <v>1</v>
      </c>
      <c r="FA134" s="39">
        <f t="shared" si="168"/>
        <v>285.8</v>
      </c>
      <c r="FE134" s="39">
        <v>285.8</v>
      </c>
      <c r="FF134" s="39" t="s">
        <v>147</v>
      </c>
      <c r="FG134" s="39" t="s">
        <v>2434</v>
      </c>
      <c r="FH134" s="39">
        <v>2</v>
      </c>
      <c r="FI134" s="39" t="s">
        <v>2435</v>
      </c>
      <c r="FJ134" s="39" t="s">
        <v>2433</v>
      </c>
      <c r="FK134" s="39" t="s">
        <v>2436</v>
      </c>
      <c r="FM134" s="40">
        <v>0.25459321652730832</v>
      </c>
      <c r="FN134" s="39" t="s">
        <v>147</v>
      </c>
      <c r="FQ134" s="40">
        <v>0.423620045881684</v>
      </c>
      <c r="FR134" s="39" t="s">
        <v>147</v>
      </c>
      <c r="FU134" s="40">
        <v>1.658508176863438E-2</v>
      </c>
      <c r="FV134" s="39" t="s">
        <v>147</v>
      </c>
      <c r="FY134" s="40">
        <v>0.30234604064220477</v>
      </c>
      <c r="FZ134" s="39" t="s">
        <v>147</v>
      </c>
      <c r="GB134" s="39">
        <v>1</v>
      </c>
      <c r="GC134" s="39" t="str">
        <f>GG134</f>
        <v>房地产开发：58.73%；工程承包业务：39.11%</v>
      </c>
      <c r="GG134" s="39" t="s">
        <v>2437</v>
      </c>
      <c r="GH134" s="39" t="s">
        <v>2433</v>
      </c>
      <c r="GJ134" s="39">
        <f t="shared" si="169"/>
        <v>4</v>
      </c>
      <c r="GK134" s="43">
        <f t="shared" si="170"/>
        <v>2.200082748693747E-2</v>
      </c>
      <c r="GN134" s="39">
        <v>0.53</v>
      </c>
      <c r="GO134" s="39" t="s">
        <v>2438</v>
      </c>
      <c r="GP134" s="39" t="s">
        <v>2433</v>
      </c>
      <c r="GS134" s="69">
        <v>24.090002992600002</v>
      </c>
      <c r="GT134" s="39" t="s">
        <v>2439</v>
      </c>
      <c r="GV134" s="14">
        <f t="shared" si="171"/>
        <v>2</v>
      </c>
      <c r="GW134" s="43">
        <f t="shared" si="172"/>
        <v>0.26308558807373489</v>
      </c>
      <c r="GX134" s="14"/>
      <c r="GY134" s="14"/>
      <c r="GZ134" s="14"/>
      <c r="HA134" s="14">
        <v>26.28</v>
      </c>
      <c r="HB134" s="14" t="s">
        <v>147</v>
      </c>
      <c r="HC134" s="14"/>
      <c r="HD134" s="14"/>
      <c r="HE134" s="154">
        <v>99.891446705300012</v>
      </c>
      <c r="HF134" s="14" t="s">
        <v>144</v>
      </c>
      <c r="HH134" s="14">
        <f t="shared" si="173"/>
        <v>1</v>
      </c>
      <c r="HI134" s="43">
        <f t="shared" si="174"/>
        <v>0.11435465406162001</v>
      </c>
      <c r="HJ134" s="14"/>
      <c r="HK134" s="14"/>
      <c r="HL134" s="14"/>
      <c r="HM134" s="14">
        <v>2.14</v>
      </c>
      <c r="HN134" s="14" t="s">
        <v>2392</v>
      </c>
      <c r="HO134" s="14"/>
      <c r="HP134" s="14"/>
      <c r="HQ134" s="173">
        <v>18.713711458100001</v>
      </c>
      <c r="HR134" s="14" t="s">
        <v>144</v>
      </c>
      <c r="HT134" s="39">
        <f t="shared" si="175"/>
        <v>4</v>
      </c>
      <c r="HU134" s="39">
        <f t="shared" si="176"/>
        <v>0</v>
      </c>
      <c r="HY134" s="39">
        <v>0</v>
      </c>
      <c r="HZ134" s="39" t="s">
        <v>147</v>
      </c>
      <c r="IC134" s="39">
        <v>21.36</v>
      </c>
      <c r="ID134" s="39" t="s">
        <v>144</v>
      </c>
      <c r="IR134" s="42">
        <f t="shared" si="177"/>
        <v>1</v>
      </c>
      <c r="IS134" s="43">
        <f>IW134/JA134</f>
        <v>5.787214072955897</v>
      </c>
      <c r="IT134" s="14"/>
      <c r="IU134" s="14"/>
      <c r="IV134" s="14"/>
      <c r="IW134" s="14">
        <v>80</v>
      </c>
      <c r="IX134" s="14" t="s">
        <v>147</v>
      </c>
      <c r="IY134" s="14"/>
      <c r="IZ134" s="14"/>
      <c r="JA134" s="154">
        <v>13.823577111800001</v>
      </c>
      <c r="JB134" s="14" t="s">
        <v>144</v>
      </c>
      <c r="JD134" s="39">
        <f t="shared" si="178"/>
        <v>4</v>
      </c>
      <c r="JE134" s="43">
        <f t="shared" si="179"/>
        <v>8.1426755640292336E-2</v>
      </c>
      <c r="JI134" s="39">
        <v>4.0999999999999996</v>
      </c>
      <c r="JJ134" s="39" t="s">
        <v>2440</v>
      </c>
      <c r="JM134" s="39">
        <v>0.96</v>
      </c>
      <c r="JN134" s="39" t="s">
        <v>2441</v>
      </c>
      <c r="JQ134" s="39">
        <v>64.03</v>
      </c>
      <c r="JR134" s="39" t="s">
        <v>1435</v>
      </c>
      <c r="JU134" s="39">
        <v>40.869999999999997</v>
      </c>
      <c r="JV134" s="39" t="s">
        <v>1435</v>
      </c>
      <c r="JW134" s="14"/>
      <c r="JX134" s="39">
        <v>3</v>
      </c>
      <c r="JY134" s="39" t="s">
        <v>2442</v>
      </c>
      <c r="KB134" s="39">
        <v>41</v>
      </c>
      <c r="KC134" s="39" t="s">
        <v>2442</v>
      </c>
      <c r="KD134" s="39" t="s">
        <v>2433</v>
      </c>
      <c r="KF134" s="39">
        <f>IF(KG134="数据缺失",0,IF(KG134&lt;0%,0,IF(KG134&lt;20%,1,IF(KG134&lt;50%,2,IF(KG134&lt;100%,3,4)))))</f>
        <v>3</v>
      </c>
      <c r="KG134" s="43">
        <f t="shared" si="181"/>
        <v>0.53242369471194262</v>
      </c>
      <c r="KK134" s="39">
        <v>7.36</v>
      </c>
      <c r="KL134" s="39" t="s">
        <v>2433</v>
      </c>
      <c r="KM134" s="39" t="s">
        <v>1002</v>
      </c>
      <c r="KO134" s="69">
        <v>13.823577111800001</v>
      </c>
      <c r="KP134" s="39" t="s">
        <v>144</v>
      </c>
    </row>
    <row r="135" spans="2:302" s="39" customFormat="1" ht="14.25" hidden="1" customHeight="1" x14ac:dyDescent="0.35">
      <c r="B135" s="39" t="s">
        <v>2443</v>
      </c>
      <c r="C135" s="39" t="s">
        <v>324</v>
      </c>
      <c r="D135" s="39" t="s">
        <v>325</v>
      </c>
      <c r="E135" s="39" t="s">
        <v>2444</v>
      </c>
      <c r="F135" s="39" t="s">
        <v>2445</v>
      </c>
      <c r="G135" s="3" t="s">
        <v>199</v>
      </c>
      <c r="H135" s="40">
        <v>0.59219999999999995</v>
      </c>
      <c r="L135" s="42">
        <v>4</v>
      </c>
      <c r="M135" s="39" t="s">
        <v>2446</v>
      </c>
      <c r="P135" s="39" t="s">
        <v>126</v>
      </c>
      <c r="Q135" s="39" t="s">
        <v>2447</v>
      </c>
      <c r="R135" s="39" t="s">
        <v>2448</v>
      </c>
      <c r="T135" s="39" t="s">
        <v>129</v>
      </c>
      <c r="U135" s="142">
        <v>0.45960000000000001</v>
      </c>
      <c r="X135" s="39">
        <f t="shared" si="150"/>
        <v>1</v>
      </c>
      <c r="Y135" s="43">
        <f t="shared" si="151"/>
        <v>0.62171134777818582</v>
      </c>
      <c r="AC135" s="39">
        <v>3.97</v>
      </c>
      <c r="AD135" s="39" t="s">
        <v>2449</v>
      </c>
      <c r="AG135" s="39">
        <v>3.89</v>
      </c>
      <c r="AH135" s="39" t="s">
        <v>2449</v>
      </c>
      <c r="AK135" s="39">
        <v>1.75</v>
      </c>
      <c r="AL135" s="39" t="s">
        <v>2449</v>
      </c>
      <c r="AN135" s="39">
        <f t="shared" si="152"/>
        <v>1</v>
      </c>
      <c r="AO135" s="43">
        <f t="shared" si="153"/>
        <v>0.42207263216567326</v>
      </c>
      <c r="AS135" s="39">
        <v>5.52</v>
      </c>
      <c r="AT135" s="39" t="s">
        <v>2449</v>
      </c>
      <c r="AW135" s="39">
        <v>3.32</v>
      </c>
      <c r="AX135" s="39" t="s">
        <v>2449</v>
      </c>
      <c r="BA135" s="39">
        <v>2.81</v>
      </c>
      <c r="BB135" s="39" t="s">
        <v>2450</v>
      </c>
      <c r="BD135" s="2">
        <f t="shared" si="149"/>
        <v>5</v>
      </c>
      <c r="BE135" s="39">
        <f t="shared" si="154"/>
        <v>3.97</v>
      </c>
      <c r="BI135" s="39">
        <v>3.97</v>
      </c>
      <c r="BJ135" s="39" t="s">
        <v>2449</v>
      </c>
      <c r="BL135" s="2">
        <f t="shared" si="155"/>
        <v>5</v>
      </c>
      <c r="BM135" s="39">
        <f t="shared" si="156"/>
        <v>5.52</v>
      </c>
      <c r="BQ135" s="39">
        <v>5.52</v>
      </c>
      <c r="BR135" s="39" t="s">
        <v>2449</v>
      </c>
      <c r="BT135" s="8">
        <f t="shared" si="157"/>
        <v>5</v>
      </c>
      <c r="BU135" s="39" t="s">
        <v>179</v>
      </c>
      <c r="BY135" s="39" t="s">
        <v>179</v>
      </c>
      <c r="BZ135" s="174" t="s">
        <v>331</v>
      </c>
      <c r="CB135" s="39">
        <v>3</v>
      </c>
      <c r="CC135" s="39" t="s">
        <v>135</v>
      </c>
      <c r="CF135" s="39" t="s">
        <v>135</v>
      </c>
      <c r="CG135" s="39" t="s">
        <v>2451</v>
      </c>
      <c r="CH135" s="39" t="s">
        <v>2452</v>
      </c>
      <c r="CJ135" s="39">
        <f t="shared" si="158"/>
        <v>2</v>
      </c>
      <c r="CK135" s="48">
        <f>CO135/CS135</f>
        <v>7.3551637279596974E-2</v>
      </c>
      <c r="CO135" s="69">
        <v>0.29199999999999998</v>
      </c>
      <c r="CP135" s="39" t="s">
        <v>2450</v>
      </c>
      <c r="CS135" s="39">
        <v>3.97</v>
      </c>
      <c r="CT135" s="39" t="s">
        <v>2449</v>
      </c>
      <c r="CV135" s="39">
        <f t="shared" si="159"/>
        <v>0</v>
      </c>
      <c r="CW135" s="39" t="str">
        <f t="shared" si="160"/>
        <v>数据缺失</v>
      </c>
      <c r="DA135" s="39" t="s">
        <v>222</v>
      </c>
      <c r="DD135" s="39">
        <v>0</v>
      </c>
      <c r="DE135" s="118" t="s">
        <v>222</v>
      </c>
      <c r="DI135" s="39">
        <v>5.52</v>
      </c>
      <c r="DJ135" s="39" t="s">
        <v>2450</v>
      </c>
      <c r="DM135" s="13" t="s">
        <v>222</v>
      </c>
      <c r="DP135" s="39">
        <v>5</v>
      </c>
      <c r="DQ135" s="163" t="s">
        <v>2453</v>
      </c>
      <c r="DU135" s="40" t="s">
        <v>222</v>
      </c>
      <c r="DY135" s="40" t="s">
        <v>222</v>
      </c>
      <c r="EC135" s="40" t="s">
        <v>222</v>
      </c>
      <c r="EG135" s="40" t="s">
        <v>222</v>
      </c>
      <c r="EJ135" s="39">
        <f t="shared" si="163"/>
        <v>5</v>
      </c>
      <c r="EK135" s="39">
        <v>0</v>
      </c>
      <c r="EO135" s="39">
        <v>0</v>
      </c>
      <c r="EP135" s="39" t="s">
        <v>2449</v>
      </c>
      <c r="ER135" s="39">
        <f t="shared" si="165"/>
        <v>5</v>
      </c>
      <c r="ES135" s="39">
        <f t="shared" si="166"/>
        <v>0</v>
      </c>
      <c r="EW135" s="39">
        <v>0</v>
      </c>
      <c r="EX135" s="39" t="s">
        <v>2449</v>
      </c>
      <c r="EZ135" s="42">
        <f t="shared" si="167"/>
        <v>4</v>
      </c>
      <c r="FA135" s="39">
        <f t="shared" si="168"/>
        <v>25.88</v>
      </c>
      <c r="FE135" s="39">
        <v>25.88</v>
      </c>
      <c r="FF135" s="39" t="s">
        <v>2450</v>
      </c>
      <c r="FH135" s="39">
        <v>5</v>
      </c>
      <c r="FI135" s="39" t="s">
        <v>222</v>
      </c>
      <c r="FM135" s="39" t="s">
        <v>222</v>
      </c>
      <c r="FQ135" s="39" t="s">
        <v>222</v>
      </c>
      <c r="FU135" s="39" t="s">
        <v>2453</v>
      </c>
      <c r="FY135" s="39" t="s">
        <v>2453</v>
      </c>
      <c r="GB135" s="39">
        <v>1</v>
      </c>
      <c r="GC135" s="39" t="s">
        <v>2454</v>
      </c>
      <c r="GG135" s="39" t="s">
        <v>2454</v>
      </c>
      <c r="GH135" s="39" t="s">
        <v>2455</v>
      </c>
      <c r="GJ135" s="39">
        <f t="shared" si="169"/>
        <v>2</v>
      </c>
      <c r="GK135" s="43">
        <f t="shared" si="170"/>
        <v>0.13073372435167749</v>
      </c>
      <c r="GN135" s="39">
        <v>1.1200000000000001</v>
      </c>
      <c r="GO135" s="39" t="s">
        <v>2456</v>
      </c>
      <c r="GP135" s="39" t="s">
        <v>147</v>
      </c>
      <c r="GS135" s="69">
        <v>8.5670319999999993</v>
      </c>
      <c r="GT135" s="39" t="s">
        <v>144</v>
      </c>
      <c r="GV135" s="39">
        <v>0</v>
      </c>
      <c r="GW135" s="39" t="s">
        <v>222</v>
      </c>
      <c r="HA135" s="39" t="s">
        <v>222</v>
      </c>
      <c r="HE135" s="69">
        <v>132.813669</v>
      </c>
      <c r="HF135" s="39" t="s">
        <v>144</v>
      </c>
      <c r="HH135" s="39">
        <v>0</v>
      </c>
      <c r="HI135" s="39" t="s">
        <v>222</v>
      </c>
      <c r="HM135" s="39" t="s">
        <v>222</v>
      </c>
      <c r="HQ135" s="78">
        <v>0.90366299999999999</v>
      </c>
      <c r="HR135" s="39" t="s">
        <v>144</v>
      </c>
      <c r="HT135" s="39">
        <f t="shared" si="175"/>
        <v>4</v>
      </c>
      <c r="HU135" s="39">
        <f t="shared" si="176"/>
        <v>0</v>
      </c>
      <c r="HY135" s="39">
        <v>0</v>
      </c>
      <c r="HZ135" s="39" t="s">
        <v>147</v>
      </c>
      <c r="IC135" s="39">
        <v>20.81</v>
      </c>
      <c r="ID135" s="39" t="s">
        <v>144</v>
      </c>
      <c r="IR135" s="42">
        <v>0</v>
      </c>
      <c r="IS135" s="43" t="s">
        <v>222</v>
      </c>
      <c r="IW135" s="39" t="s">
        <v>222</v>
      </c>
      <c r="JA135" s="69">
        <v>40.009279999999997</v>
      </c>
      <c r="JB135" s="39" t="s">
        <v>2457</v>
      </c>
      <c r="JD135" s="39">
        <f t="shared" si="178"/>
        <v>4</v>
      </c>
      <c r="JE135" s="43">
        <f t="shared" si="179"/>
        <v>8.848828512212964E-2</v>
      </c>
      <c r="JI135" s="39">
        <v>8.11</v>
      </c>
      <c r="JJ135" s="39" t="s">
        <v>2450</v>
      </c>
      <c r="JM135" s="39">
        <v>2.33</v>
      </c>
      <c r="JN135" s="39" t="s">
        <v>2450</v>
      </c>
      <c r="JQ135" s="39">
        <v>40.67</v>
      </c>
      <c r="JR135" s="39" t="s">
        <v>2449</v>
      </c>
      <c r="JU135" s="39">
        <v>38</v>
      </c>
      <c r="JV135" s="39" t="s">
        <v>2449</v>
      </c>
      <c r="JX135" s="39">
        <v>2</v>
      </c>
      <c r="JY135" s="39" t="s">
        <v>634</v>
      </c>
      <c r="KB135" s="39">
        <v>15</v>
      </c>
      <c r="KC135" s="39" t="s">
        <v>634</v>
      </c>
      <c r="KD135" s="39" t="s">
        <v>2449</v>
      </c>
      <c r="KF135" s="39">
        <f t="shared" si="180"/>
        <v>1</v>
      </c>
      <c r="KG135" s="43">
        <f t="shared" si="181"/>
        <v>0</v>
      </c>
      <c r="KK135" s="39">
        <v>0</v>
      </c>
      <c r="KL135" s="39" t="s">
        <v>2452</v>
      </c>
      <c r="KO135" s="69">
        <v>40.009279999999997</v>
      </c>
      <c r="KP135" s="39" t="s">
        <v>144</v>
      </c>
    </row>
    <row r="136" spans="2:302" s="39" customFormat="1" ht="14.25" hidden="1" customHeight="1" x14ac:dyDescent="0.35">
      <c r="B136" s="39" t="s">
        <v>2458</v>
      </c>
      <c r="C136" s="39" t="s">
        <v>324</v>
      </c>
      <c r="D136" s="39" t="s">
        <v>325</v>
      </c>
      <c r="E136" s="39" t="s">
        <v>172</v>
      </c>
      <c r="F136" s="39" t="s">
        <v>2459</v>
      </c>
      <c r="G136" s="3" t="s">
        <v>174</v>
      </c>
      <c r="H136" s="40">
        <f>(12.09+0.02+0.77)/12.9012182126</f>
        <v>0.9983553326321325</v>
      </c>
      <c r="L136" s="42">
        <v>4</v>
      </c>
      <c r="M136" s="39" t="s">
        <v>2460</v>
      </c>
      <c r="P136" s="39" t="s">
        <v>126</v>
      </c>
      <c r="Q136" s="39" t="s">
        <v>2461</v>
      </c>
      <c r="R136" s="39" t="s">
        <v>147</v>
      </c>
      <c r="T136" s="39" t="s">
        <v>129</v>
      </c>
      <c r="U136" s="40">
        <v>0.34510000000000002</v>
      </c>
      <c r="X136" s="39">
        <f t="shared" si="150"/>
        <v>1</v>
      </c>
      <c r="Y136" s="43">
        <f t="shared" si="151"/>
        <v>0.56812369503413607</v>
      </c>
      <c r="AC136" s="39">
        <v>14.23</v>
      </c>
      <c r="AD136" s="39" t="s">
        <v>2462</v>
      </c>
      <c r="AG136" s="39">
        <v>22.78</v>
      </c>
      <c r="AH136" s="39" t="s">
        <v>2462</v>
      </c>
      <c r="AK136" s="39">
        <v>9.07</v>
      </c>
      <c r="AL136" s="39" t="s">
        <v>2462</v>
      </c>
      <c r="AN136" s="39">
        <f t="shared" si="152"/>
        <v>1</v>
      </c>
      <c r="AO136" s="43">
        <f t="shared" si="153"/>
        <v>1.0174171378019632</v>
      </c>
      <c r="AS136" s="39">
        <v>10.94</v>
      </c>
      <c r="AT136" s="39" t="s">
        <v>2463</v>
      </c>
      <c r="AW136" s="39">
        <v>19.32</v>
      </c>
      <c r="AX136" s="39" t="s">
        <v>2462</v>
      </c>
      <c r="BA136" s="39">
        <v>5.57</v>
      </c>
      <c r="BB136" s="39" t="s">
        <v>2462</v>
      </c>
      <c r="BD136" s="2">
        <f t="shared" si="149"/>
        <v>5</v>
      </c>
      <c r="BE136" s="39">
        <f t="shared" si="154"/>
        <v>14.23</v>
      </c>
      <c r="BI136" s="39">
        <v>14.23</v>
      </c>
      <c r="BJ136" s="39" t="s">
        <v>2462</v>
      </c>
      <c r="BL136" s="2">
        <f t="shared" si="155"/>
        <v>5</v>
      </c>
      <c r="BM136" s="39">
        <f t="shared" si="156"/>
        <v>10.94</v>
      </c>
      <c r="BQ136" s="39">
        <v>10.94</v>
      </c>
      <c r="BR136" s="39" t="s">
        <v>2462</v>
      </c>
      <c r="BT136" s="8">
        <f t="shared" si="157"/>
        <v>4</v>
      </c>
      <c r="BU136" s="39">
        <f>BY136</f>
        <v>384</v>
      </c>
      <c r="BY136" s="39">
        <v>384</v>
      </c>
      <c r="BZ136" s="39" t="s">
        <v>234</v>
      </c>
      <c r="CB136" s="39">
        <v>0</v>
      </c>
      <c r="CC136" s="39" t="s">
        <v>222</v>
      </c>
      <c r="CF136" s="39" t="s">
        <v>222</v>
      </c>
      <c r="CG136" s="39" t="s">
        <v>1192</v>
      </c>
      <c r="CJ136" s="39">
        <f t="shared" si="158"/>
        <v>0</v>
      </c>
      <c r="CK136" s="39" t="s">
        <v>222</v>
      </c>
      <c r="CO136" s="39" t="s">
        <v>222</v>
      </c>
      <c r="CS136" s="39">
        <f>AC136</f>
        <v>14.23</v>
      </c>
      <c r="CT136" s="39" t="s">
        <v>2462</v>
      </c>
      <c r="CV136" s="39">
        <f t="shared" si="159"/>
        <v>4</v>
      </c>
      <c r="CW136" s="39">
        <f t="shared" si="160"/>
        <v>276.91000000000003</v>
      </c>
      <c r="DA136" s="39">
        <v>276.91000000000003</v>
      </c>
      <c r="DB136" s="39" t="s">
        <v>2462</v>
      </c>
      <c r="DC136" s="39" t="s">
        <v>775</v>
      </c>
      <c r="DD136" s="39">
        <f>IF(DE136="数据缺失",0,IF(DE136&lt;0,0,IF(DE136&lt;2,3,IF(DE136&lt;=5,1,2))))</f>
        <v>2</v>
      </c>
      <c r="DE136" s="48">
        <f>DM136/DI136</f>
        <v>25.311700182815361</v>
      </c>
      <c r="DI136" s="39">
        <f>AS136</f>
        <v>10.94</v>
      </c>
      <c r="DJ136" s="39" t="s">
        <v>2462</v>
      </c>
      <c r="DM136" s="13">
        <f>DA136</f>
        <v>276.91000000000003</v>
      </c>
      <c r="DN136" s="39" t="s">
        <v>2462</v>
      </c>
      <c r="DO136" s="39" t="s">
        <v>775</v>
      </c>
      <c r="DP136" s="39">
        <v>2</v>
      </c>
      <c r="DQ136" s="39" t="s">
        <v>2464</v>
      </c>
      <c r="DS136" s="39" t="s">
        <v>775</v>
      </c>
      <c r="DU136" s="40">
        <v>0.36954245061572349</v>
      </c>
      <c r="DV136" s="39" t="s">
        <v>2462</v>
      </c>
      <c r="DY136" s="40">
        <v>0.34881369397999346</v>
      </c>
      <c r="DZ136" s="39" t="s">
        <v>2462</v>
      </c>
      <c r="EC136" s="40">
        <v>9.2593261348452555E-2</v>
      </c>
      <c r="ED136" s="39" t="s">
        <v>2462</v>
      </c>
      <c r="EG136" s="40">
        <v>0.18905059405583041</v>
      </c>
      <c r="EH136" s="39" t="s">
        <v>2462</v>
      </c>
      <c r="EJ136" s="39">
        <f t="shared" si="163"/>
        <v>2</v>
      </c>
      <c r="EK136" s="39">
        <f t="shared" ref="EK136:EK155" si="182">EO136</f>
        <v>82.94</v>
      </c>
      <c r="EO136" s="39">
        <v>82.94</v>
      </c>
      <c r="EP136" s="39" t="s">
        <v>2462</v>
      </c>
      <c r="ER136" s="39">
        <f t="shared" si="165"/>
        <v>4</v>
      </c>
      <c r="ES136" s="39">
        <f t="shared" si="166"/>
        <v>7.35</v>
      </c>
      <c r="EW136" s="39">
        <v>7.35</v>
      </c>
      <c r="EX136" s="39" t="s">
        <v>2462</v>
      </c>
      <c r="EZ136" s="42">
        <f t="shared" si="167"/>
        <v>1</v>
      </c>
      <c r="FA136" s="39">
        <f t="shared" si="168"/>
        <v>560.64</v>
      </c>
      <c r="FE136" s="39">
        <v>560.64</v>
      </c>
      <c r="FF136" s="39" t="s">
        <v>147</v>
      </c>
      <c r="FG136" s="39" t="s">
        <v>2465</v>
      </c>
      <c r="FH136" s="39">
        <v>4</v>
      </c>
      <c r="FI136" s="39" t="s">
        <v>2466</v>
      </c>
      <c r="FM136" s="40">
        <v>0.1993</v>
      </c>
      <c r="FN136" s="39" t="s">
        <v>147</v>
      </c>
      <c r="FQ136" s="40">
        <v>0.1479</v>
      </c>
      <c r="FR136" s="39" t="s">
        <v>147</v>
      </c>
      <c r="FU136" s="40">
        <v>0.57179999999999997</v>
      </c>
      <c r="FV136" s="39" t="s">
        <v>147</v>
      </c>
      <c r="FY136" s="40">
        <v>8.1000000000000003E-2</v>
      </c>
      <c r="FZ136" s="39" t="s">
        <v>147</v>
      </c>
      <c r="GB136" s="39">
        <v>2</v>
      </c>
      <c r="GC136" s="39" t="s">
        <v>2467</v>
      </c>
      <c r="GG136" s="39" t="s">
        <v>2468</v>
      </c>
      <c r="GH136" s="39" t="s">
        <v>147</v>
      </c>
      <c r="GJ136" s="39">
        <f t="shared" si="169"/>
        <v>3</v>
      </c>
      <c r="GK136" s="43">
        <f t="shared" si="170"/>
        <v>6.1079503269729857E-2</v>
      </c>
      <c r="GN136" s="69">
        <v>0.78800000000000003</v>
      </c>
      <c r="GO136" s="39" t="s">
        <v>2469</v>
      </c>
      <c r="GP136" s="39" t="s">
        <v>147</v>
      </c>
      <c r="GS136" s="69">
        <v>12.9012182126</v>
      </c>
      <c r="GT136" s="39" t="s">
        <v>144</v>
      </c>
      <c r="GV136" s="39">
        <f>IF(GW136="数据缺失",0,IF(GW136&lt;20%,1,IF(GW136&lt;40%,2,IF(GW136&lt;60%,3,IF(GW136&lt;80%,4,IF(GW136&lt;=100%,5,0))))))</f>
        <v>4</v>
      </c>
      <c r="GW136" s="43">
        <f>HA136/HE136*100%</f>
        <v>0.71140828031960468</v>
      </c>
      <c r="HA136" s="39">
        <v>142.66999999999999</v>
      </c>
      <c r="HB136" s="39" t="s">
        <v>147</v>
      </c>
      <c r="HE136" s="69">
        <v>200.54588053980001</v>
      </c>
      <c r="HF136" s="39" t="s">
        <v>2470</v>
      </c>
      <c r="HH136" s="39">
        <f>IF(HI136="数据缺失",0,IF(HI136&lt;20%,1,IF(HI136&lt;40%,2,IF(HI136&lt;60%,3,IF(HI136&lt;80%,4,IF(HI136&lt;=100%,5,0))))))</f>
        <v>2</v>
      </c>
      <c r="HI136" s="43">
        <f>HM136/HQ136</f>
        <v>0.34754868218362234</v>
      </c>
      <c r="HM136" s="39">
        <v>8.49</v>
      </c>
      <c r="HN136" s="39" t="s">
        <v>147</v>
      </c>
      <c r="HQ136" s="78">
        <v>24.428232461300002</v>
      </c>
      <c r="HR136" s="39" t="s">
        <v>144</v>
      </c>
      <c r="HT136" s="39">
        <f t="shared" si="175"/>
        <v>4</v>
      </c>
      <c r="HU136" s="39">
        <f t="shared" si="176"/>
        <v>0</v>
      </c>
      <c r="HY136" s="39">
        <v>0</v>
      </c>
      <c r="HZ136" s="39" t="s">
        <v>147</v>
      </c>
      <c r="IC136" s="39">
        <v>79.040000000000006</v>
      </c>
      <c r="ID136" s="39" t="s">
        <v>144</v>
      </c>
      <c r="IR136" s="42">
        <f t="shared" ref="IR136:IR145" si="183">IF(IS136="数据缺失",0,IF(IS136&lt;0%,0,IF(IS136&lt;=100%,4,IF(IS136&lt;200%,3,IF(IS136&lt;300%,2,1)))))</f>
        <v>4</v>
      </c>
      <c r="IS136" s="43">
        <f t="shared" ref="IS136:IS141" si="184">IW136/JA136</f>
        <v>0.6882608646899262</v>
      </c>
      <c r="IW136" s="39">
        <v>40.5</v>
      </c>
      <c r="IX136" s="39" t="s">
        <v>2471</v>
      </c>
      <c r="IY136" s="39" t="s">
        <v>587</v>
      </c>
      <c r="JA136" s="69">
        <v>58.8439675678</v>
      </c>
      <c r="JB136" s="39" t="s">
        <v>144</v>
      </c>
      <c r="JD136" s="39">
        <f t="shared" si="178"/>
        <v>4</v>
      </c>
      <c r="JE136" s="46">
        <f t="shared" si="179"/>
        <v>0.14357572149250147</v>
      </c>
      <c r="JI136" s="39">
        <v>5.86</v>
      </c>
      <c r="JJ136" s="39" t="s">
        <v>2462</v>
      </c>
      <c r="JM136" s="39">
        <v>0.37</v>
      </c>
      <c r="JN136" s="39" t="s">
        <v>2462</v>
      </c>
      <c r="JQ136" s="39">
        <v>117.22</v>
      </c>
      <c r="JR136" s="39" t="s">
        <v>2462</v>
      </c>
      <c r="JU136" s="39">
        <v>103.4</v>
      </c>
      <c r="JV136" s="39" t="s">
        <v>2462</v>
      </c>
      <c r="JX136" s="39">
        <v>2</v>
      </c>
      <c r="JY136" s="39" t="s">
        <v>2472</v>
      </c>
      <c r="KB136" s="39">
        <v>26</v>
      </c>
      <c r="KC136" s="39" t="s">
        <v>2472</v>
      </c>
      <c r="KD136" s="39" t="s">
        <v>147</v>
      </c>
      <c r="KF136" s="39">
        <f t="shared" si="180"/>
        <v>1</v>
      </c>
      <c r="KG136" s="43">
        <f t="shared" si="181"/>
        <v>7.3389001090455472E-2</v>
      </c>
      <c r="KK136" s="69">
        <v>4.3185000000000002</v>
      </c>
      <c r="KL136" s="39" t="s">
        <v>147</v>
      </c>
      <c r="KM136" s="39" t="s">
        <v>1002</v>
      </c>
      <c r="KO136" s="69">
        <v>58.8439675678</v>
      </c>
      <c r="KP136" s="39" t="s">
        <v>144</v>
      </c>
    </row>
    <row r="137" spans="2:302" s="39" customFormat="1" ht="14.25" hidden="1" customHeight="1" x14ac:dyDescent="0.35">
      <c r="B137" s="39" t="s">
        <v>2458</v>
      </c>
      <c r="C137" s="39" t="s">
        <v>324</v>
      </c>
      <c r="D137" s="39" t="s">
        <v>325</v>
      </c>
      <c r="E137" s="39" t="s">
        <v>172</v>
      </c>
      <c r="F137" s="39" t="s">
        <v>2459</v>
      </c>
      <c r="G137" s="3" t="s">
        <v>199</v>
      </c>
      <c r="H137" s="40">
        <f>24.8183/24.8498</f>
        <v>0.99873238416405774</v>
      </c>
      <c r="L137" s="42">
        <v>4</v>
      </c>
      <c r="M137" s="39" t="s">
        <v>2473</v>
      </c>
      <c r="P137" s="39" t="s">
        <v>126</v>
      </c>
      <c r="Q137" s="39" t="s">
        <v>2474</v>
      </c>
      <c r="R137" s="39" t="s">
        <v>395</v>
      </c>
      <c r="T137" s="39" t="s">
        <v>129</v>
      </c>
      <c r="U137" s="40">
        <v>0.34510000000000002</v>
      </c>
      <c r="X137" s="39">
        <f t="shared" si="150"/>
        <v>1</v>
      </c>
      <c r="Y137" s="43">
        <f t="shared" si="151"/>
        <v>0.38239356158472143</v>
      </c>
      <c r="AC137" s="39">
        <v>22.78</v>
      </c>
      <c r="AD137" s="39" t="s">
        <v>2475</v>
      </c>
      <c r="AG137" s="39">
        <v>9.07</v>
      </c>
      <c r="AH137" s="39" t="s">
        <v>2475</v>
      </c>
      <c r="AK137" s="39">
        <v>35.82</v>
      </c>
      <c r="AL137" s="39" t="s">
        <v>2475</v>
      </c>
      <c r="AN137" s="39">
        <f t="shared" si="152"/>
        <v>1</v>
      </c>
      <c r="AO137" s="43">
        <f t="shared" si="153"/>
        <v>0.87271032690749561</v>
      </c>
      <c r="AS137" s="39">
        <v>19.32</v>
      </c>
      <c r="AT137" s="39" t="s">
        <v>2475</v>
      </c>
      <c r="AW137" s="39">
        <v>5.57</v>
      </c>
      <c r="AX137" s="39" t="s">
        <v>2475</v>
      </c>
      <c r="BA137" s="39">
        <v>20.12</v>
      </c>
      <c r="BB137" s="39" t="s">
        <v>2475</v>
      </c>
      <c r="BD137" s="2">
        <f t="shared" si="149"/>
        <v>5</v>
      </c>
      <c r="BE137" s="39">
        <f t="shared" si="154"/>
        <v>22.78</v>
      </c>
      <c r="BI137" s="39">
        <f>AC137</f>
        <v>22.78</v>
      </c>
      <c r="BJ137" s="39" t="s">
        <v>2475</v>
      </c>
      <c r="BL137" s="2">
        <f t="shared" si="155"/>
        <v>5</v>
      </c>
      <c r="BM137" s="39">
        <f t="shared" si="156"/>
        <v>19.32</v>
      </c>
      <c r="BQ137" s="39">
        <f>AS137</f>
        <v>19.32</v>
      </c>
      <c r="BR137" s="39" t="s">
        <v>2475</v>
      </c>
      <c r="BT137" s="8">
        <f t="shared" si="157"/>
        <v>4</v>
      </c>
      <c r="BU137" s="39">
        <f>BY137</f>
        <v>388</v>
      </c>
      <c r="BY137" s="39">
        <v>388</v>
      </c>
      <c r="BZ137" s="39" t="s">
        <v>398</v>
      </c>
      <c r="CB137" s="39">
        <v>0</v>
      </c>
      <c r="CC137" s="39" t="s">
        <v>222</v>
      </c>
      <c r="CF137" s="39" t="s">
        <v>222</v>
      </c>
      <c r="CG137" s="39" t="s">
        <v>1192</v>
      </c>
      <c r="CJ137" s="39">
        <f t="shared" si="158"/>
        <v>0</v>
      </c>
      <c r="CK137" s="39" t="s">
        <v>222</v>
      </c>
      <c r="CO137" s="39" t="s">
        <v>222</v>
      </c>
      <c r="CS137" s="39">
        <f>AC137</f>
        <v>22.78</v>
      </c>
      <c r="CT137" s="39" t="s">
        <v>2475</v>
      </c>
      <c r="CV137" s="39">
        <f t="shared" si="159"/>
        <v>3</v>
      </c>
      <c r="CW137" s="39">
        <f t="shared" si="160"/>
        <v>597.91999999999996</v>
      </c>
      <c r="DA137" s="39">
        <v>597.91999999999996</v>
      </c>
      <c r="DB137" s="39" t="s">
        <v>2475</v>
      </c>
      <c r="DC137" s="39" t="s">
        <v>2476</v>
      </c>
      <c r="DD137" s="39">
        <f>IF(DE137="数据缺失",0,IF(DE137&lt;0,0,IF(DE137&lt;2,3,IF(DE137&lt;=5,1,2))))</f>
        <v>2</v>
      </c>
      <c r="DE137" s="48">
        <f>DM137/DI137</f>
        <v>30.948240165631468</v>
      </c>
      <c r="DI137" s="39">
        <v>19.32</v>
      </c>
      <c r="DJ137" s="39" t="s">
        <v>2462</v>
      </c>
      <c r="DM137" s="13">
        <f>DA137</f>
        <v>597.91999999999996</v>
      </c>
      <c r="DN137" s="39" t="s">
        <v>2475</v>
      </c>
      <c r="DO137" s="39" t="s">
        <v>2476</v>
      </c>
      <c r="DP137" s="39">
        <v>6</v>
      </c>
      <c r="DQ137" s="39" t="s">
        <v>2477</v>
      </c>
      <c r="DS137" s="39" t="s">
        <v>2476</v>
      </c>
      <c r="DU137" s="40">
        <v>0.23700495049504952</v>
      </c>
      <c r="DV137" s="39" t="s">
        <v>2475</v>
      </c>
      <c r="DY137" s="40">
        <v>0.13864731067701366</v>
      </c>
      <c r="DZ137" s="39" t="s">
        <v>2475</v>
      </c>
      <c r="EC137" s="40">
        <v>0.57905739898314157</v>
      </c>
      <c r="ED137" s="39" t="s">
        <v>2475</v>
      </c>
      <c r="EG137" s="40">
        <v>4.5290339844795288E-2</v>
      </c>
      <c r="EH137" s="39" t="s">
        <v>2475</v>
      </c>
      <c r="EJ137" s="39">
        <f t="shared" si="163"/>
        <v>3</v>
      </c>
      <c r="EK137" s="39">
        <f t="shared" si="182"/>
        <v>30.24</v>
      </c>
      <c r="EO137" s="39">
        <v>30.24</v>
      </c>
      <c r="EP137" s="39" t="s">
        <v>2475</v>
      </c>
      <c r="ER137" s="39">
        <f t="shared" si="165"/>
        <v>4</v>
      </c>
      <c r="ES137" s="39">
        <f t="shared" si="166"/>
        <v>10.02</v>
      </c>
      <c r="EW137" s="39">
        <v>10.02</v>
      </c>
      <c r="EX137" s="39" t="s">
        <v>2475</v>
      </c>
      <c r="EZ137" s="42">
        <f t="shared" si="167"/>
        <v>0</v>
      </c>
      <c r="FA137" s="39" t="str">
        <f t="shared" si="168"/>
        <v>数据缺失</v>
      </c>
      <c r="FE137" s="39" t="s">
        <v>222</v>
      </c>
      <c r="FH137" s="39">
        <v>5</v>
      </c>
      <c r="FI137" s="142" t="s">
        <v>222</v>
      </c>
      <c r="FM137" s="142" t="s">
        <v>222</v>
      </c>
      <c r="FQ137" s="142" t="s">
        <v>222</v>
      </c>
      <c r="FU137" s="142" t="s">
        <v>222</v>
      </c>
      <c r="FY137" s="142" t="s">
        <v>222</v>
      </c>
      <c r="GB137" s="39">
        <v>2</v>
      </c>
      <c r="GC137" s="39" t="s">
        <v>2468</v>
      </c>
      <c r="GG137" s="39" t="s">
        <v>2468</v>
      </c>
      <c r="GH137" s="39" t="s">
        <v>395</v>
      </c>
      <c r="GJ137" s="39">
        <f t="shared" si="169"/>
        <v>4</v>
      </c>
      <c r="GK137" s="43">
        <f t="shared" si="170"/>
        <v>3.8229731366673965E-2</v>
      </c>
      <c r="GN137" s="39">
        <v>0.95</v>
      </c>
      <c r="GO137" s="39" t="s">
        <v>2478</v>
      </c>
      <c r="GP137" s="39" t="s">
        <v>147</v>
      </c>
      <c r="GS137" s="69">
        <v>24.849769172800002</v>
      </c>
      <c r="GT137" s="39" t="s">
        <v>144</v>
      </c>
      <c r="GV137" s="39">
        <f>IF(GW137="数据缺失",0,IF(GW137&lt;20%,1,IF(GW137&lt;40%,2,IF(GW137&lt;60%,3,IF(GW137&lt;80%,4,IF(GW137&lt;=100%,5,0))))))</f>
        <v>5</v>
      </c>
      <c r="GW137" s="43">
        <f>HA137/HE137*100%</f>
        <v>0.81336055453881873</v>
      </c>
      <c r="HA137" s="39">
        <v>144.94</v>
      </c>
      <c r="HB137" s="39" t="s">
        <v>395</v>
      </c>
      <c r="HE137" s="69">
        <v>178.19895394630001</v>
      </c>
      <c r="HF137" s="39" t="s">
        <v>144</v>
      </c>
      <c r="HH137" s="39">
        <f>IF(HI137="数据缺失",0,IF(HI137&lt;20%,1,IF(HI137&lt;40%,2,IF(HI137&lt;60%,3,IF(HI137&lt;80%,4,IF(HI137&lt;=100%,5,0))))))</f>
        <v>1</v>
      </c>
      <c r="HI137" s="43">
        <f>HM137/HQ137</f>
        <v>2.5128817891321167E-3</v>
      </c>
      <c r="HM137" s="39">
        <v>0.05</v>
      </c>
      <c r="HN137" s="39" t="s">
        <v>395</v>
      </c>
      <c r="HQ137" s="78">
        <v>19.8974739744</v>
      </c>
      <c r="HR137" s="39" t="s">
        <v>144</v>
      </c>
      <c r="HT137" s="39">
        <f t="shared" si="175"/>
        <v>4</v>
      </c>
      <c r="HU137" s="39">
        <f t="shared" si="176"/>
        <v>0</v>
      </c>
      <c r="HY137" s="39">
        <v>0</v>
      </c>
      <c r="HZ137" s="39" t="s">
        <v>395</v>
      </c>
      <c r="IC137" s="39">
        <v>53.63</v>
      </c>
      <c r="ID137" s="39" t="s">
        <v>144</v>
      </c>
      <c r="IR137" s="42">
        <f t="shared" si="183"/>
        <v>4</v>
      </c>
      <c r="IS137" s="43">
        <f t="shared" si="184"/>
        <v>0.36170352870559802</v>
      </c>
      <c r="IW137" s="39">
        <v>20.5</v>
      </c>
      <c r="IX137" s="39" t="s">
        <v>2479</v>
      </c>
      <c r="IY137" s="39" t="s">
        <v>1229</v>
      </c>
      <c r="JA137" s="69">
        <v>56.676251053900003</v>
      </c>
      <c r="JB137" s="39" t="s">
        <v>144</v>
      </c>
      <c r="JD137" s="39">
        <f t="shared" si="178"/>
        <v>4</v>
      </c>
      <c r="JE137" s="43">
        <f t="shared" si="179"/>
        <v>0.14656814761017609</v>
      </c>
      <c r="JI137" s="39">
        <v>5.57</v>
      </c>
      <c r="JJ137" s="39" t="s">
        <v>2462</v>
      </c>
      <c r="JM137" s="39">
        <v>0.44</v>
      </c>
      <c r="JN137" s="39" t="s">
        <v>2462</v>
      </c>
      <c r="JQ137" s="39">
        <v>103.4</v>
      </c>
      <c r="JR137" s="39" t="s">
        <v>2462</v>
      </c>
      <c r="JU137" s="39">
        <v>69.34</v>
      </c>
      <c r="JV137" s="39" t="s">
        <v>2462</v>
      </c>
      <c r="JX137" s="39">
        <v>2</v>
      </c>
      <c r="JY137" s="39" t="s">
        <v>2480</v>
      </c>
      <c r="KB137" s="39">
        <v>7</v>
      </c>
      <c r="KC137" s="39" t="s">
        <v>2480</v>
      </c>
      <c r="KD137" s="39" t="s">
        <v>395</v>
      </c>
      <c r="KF137" s="39">
        <f t="shared" si="180"/>
        <v>1</v>
      </c>
      <c r="KG137" s="43">
        <f t="shared" si="181"/>
        <v>0.15249120820960307</v>
      </c>
      <c r="KK137" s="69">
        <v>8.6426300000000005</v>
      </c>
      <c r="KL137" s="39" t="s">
        <v>395</v>
      </c>
      <c r="KM137" s="39" t="s">
        <v>1002</v>
      </c>
      <c r="KO137" s="69">
        <v>56.676251053900003</v>
      </c>
      <c r="KP137" s="39" t="s">
        <v>144</v>
      </c>
    </row>
    <row r="138" spans="2:302" s="39" customFormat="1" ht="14.25" hidden="1" customHeight="1" x14ac:dyDescent="0.35">
      <c r="B138" s="39" t="s">
        <v>2481</v>
      </c>
      <c r="C138" s="39" t="s">
        <v>2304</v>
      </c>
      <c r="D138" s="39" t="s">
        <v>2482</v>
      </c>
      <c r="E138" s="39" t="s">
        <v>2381</v>
      </c>
      <c r="F138" s="39" t="s">
        <v>2483</v>
      </c>
      <c r="G138" s="3" t="s">
        <v>174</v>
      </c>
      <c r="H138" s="40">
        <f>44.02167516/46.5446886488</f>
        <v>0.9457937401228047</v>
      </c>
      <c r="L138" s="42">
        <v>4</v>
      </c>
      <c r="M138" s="39" t="s">
        <v>2484</v>
      </c>
      <c r="P138" s="39" t="s">
        <v>603</v>
      </c>
      <c r="Q138" s="39" t="s">
        <v>2485</v>
      </c>
      <c r="R138" s="39" t="s">
        <v>147</v>
      </c>
      <c r="T138" s="39" t="s">
        <v>129</v>
      </c>
      <c r="U138" s="142">
        <v>0.36359999999999998</v>
      </c>
      <c r="X138" s="39">
        <f t="shared" si="150"/>
        <v>2</v>
      </c>
      <c r="Y138" s="43">
        <f t="shared" si="151"/>
        <v>0.1926903386429546</v>
      </c>
      <c r="AC138" s="39">
        <v>80.650000000000006</v>
      </c>
      <c r="AD138" s="39" t="s">
        <v>2486</v>
      </c>
      <c r="AG138" s="39">
        <v>53.84</v>
      </c>
      <c r="AH138" s="39" t="s">
        <v>2486</v>
      </c>
      <c r="AK138" s="39">
        <v>60.67</v>
      </c>
      <c r="AL138" s="39" t="s">
        <v>2486</v>
      </c>
      <c r="AN138" s="39">
        <f t="shared" si="152"/>
        <v>2</v>
      </c>
      <c r="AO138" s="43">
        <f t="shared" si="153"/>
        <v>0.20369375820503646</v>
      </c>
      <c r="AS138" s="39">
        <v>34.840000000000003</v>
      </c>
      <c r="AT138" s="39" t="s">
        <v>2486</v>
      </c>
      <c r="AW138" s="39">
        <v>22.23</v>
      </c>
      <c r="AX138" s="39" t="s">
        <v>2487</v>
      </c>
      <c r="BA138" s="39">
        <v>26.46</v>
      </c>
      <c r="BB138" s="39" t="s">
        <v>2486</v>
      </c>
      <c r="BD138" s="2">
        <f t="shared" si="149"/>
        <v>4</v>
      </c>
      <c r="BE138" s="39">
        <f t="shared" si="154"/>
        <v>80.650000000000006</v>
      </c>
      <c r="BI138" s="39">
        <v>80.650000000000006</v>
      </c>
      <c r="BJ138" s="39" t="s">
        <v>2488</v>
      </c>
      <c r="BL138" s="2">
        <f t="shared" si="155"/>
        <v>5</v>
      </c>
      <c r="BM138" s="39">
        <f t="shared" si="156"/>
        <v>34.840000000000003</v>
      </c>
      <c r="BQ138" s="39">
        <v>34.840000000000003</v>
      </c>
      <c r="BR138" s="39" t="s">
        <v>2486</v>
      </c>
      <c r="BT138" s="8">
        <f t="shared" si="157"/>
        <v>3</v>
      </c>
      <c r="BU138" s="39">
        <f>BY138</f>
        <v>212</v>
      </c>
      <c r="BY138" s="39">
        <v>212</v>
      </c>
      <c r="BZ138" s="76" t="s">
        <v>529</v>
      </c>
      <c r="CB138" s="202">
        <v>1</v>
      </c>
      <c r="CC138" s="202" t="s">
        <v>133</v>
      </c>
      <c r="CD138" s="202"/>
      <c r="CE138" s="202"/>
      <c r="CF138" s="202" t="s">
        <v>132</v>
      </c>
      <c r="CG138" s="202" t="s">
        <v>2489</v>
      </c>
      <c r="CH138" s="201" t="s">
        <v>699</v>
      </c>
      <c r="CJ138" s="39">
        <f t="shared" si="158"/>
        <v>2</v>
      </c>
      <c r="CK138" s="48">
        <f>CO138/CS138</f>
        <v>0.1425914445133292</v>
      </c>
      <c r="CO138" s="39">
        <v>11.5</v>
      </c>
      <c r="CP138" s="39" t="s">
        <v>2486</v>
      </c>
      <c r="CS138" s="39">
        <v>80.650000000000006</v>
      </c>
      <c r="CT138" s="39" t="s">
        <v>2486</v>
      </c>
      <c r="CV138" s="39">
        <f t="shared" si="159"/>
        <v>0</v>
      </c>
      <c r="CW138" s="39" t="str">
        <f t="shared" si="160"/>
        <v>数据缺失</v>
      </c>
      <c r="DA138" s="39" t="s">
        <v>222</v>
      </c>
      <c r="DD138" s="39">
        <v>0</v>
      </c>
      <c r="DE138" s="39" t="s">
        <v>2490</v>
      </c>
      <c r="DI138" s="39">
        <v>34.840000000000003</v>
      </c>
      <c r="DJ138" s="39" t="s">
        <v>2487</v>
      </c>
      <c r="DM138" s="39" t="s">
        <v>222</v>
      </c>
      <c r="DP138" s="39">
        <v>1</v>
      </c>
      <c r="DQ138" s="164" t="s">
        <v>2491</v>
      </c>
      <c r="DR138" s="39" t="s">
        <v>2486</v>
      </c>
      <c r="DU138" s="40" t="s">
        <v>222</v>
      </c>
      <c r="DY138" s="40" t="s">
        <v>222</v>
      </c>
      <c r="EC138" s="40" t="s">
        <v>2492</v>
      </c>
      <c r="EG138" s="40" t="s">
        <v>2490</v>
      </c>
      <c r="EJ138" s="39">
        <f t="shared" si="163"/>
        <v>5</v>
      </c>
      <c r="EK138" s="39">
        <f t="shared" si="182"/>
        <v>3.72</v>
      </c>
      <c r="EO138" s="39">
        <v>3.72</v>
      </c>
      <c r="EP138" s="39" t="s">
        <v>2486</v>
      </c>
      <c r="ER138" s="39">
        <f t="shared" si="165"/>
        <v>3</v>
      </c>
      <c r="ES138" s="39">
        <f t="shared" si="166"/>
        <v>31.98</v>
      </c>
      <c r="EW138" s="39">
        <v>31.98</v>
      </c>
      <c r="EX138" s="39" t="s">
        <v>2486</v>
      </c>
      <c r="EZ138" s="42">
        <f t="shared" si="167"/>
        <v>2</v>
      </c>
      <c r="FA138" s="39">
        <f t="shared" si="168"/>
        <v>136.75</v>
      </c>
      <c r="FE138" s="39">
        <v>136.75</v>
      </c>
      <c r="FF138" s="39" t="s">
        <v>2486</v>
      </c>
      <c r="FH138" s="39">
        <v>1</v>
      </c>
      <c r="FI138" s="39" t="s">
        <v>2493</v>
      </c>
      <c r="FM138" s="40">
        <v>0.51659999999999995</v>
      </c>
      <c r="FN138" s="39" t="s">
        <v>2487</v>
      </c>
      <c r="FQ138" s="40">
        <v>0.4834</v>
      </c>
      <c r="FR138" s="39" t="s">
        <v>2487</v>
      </c>
      <c r="FU138" s="142">
        <v>0</v>
      </c>
      <c r="FV138" s="39" t="s">
        <v>2486</v>
      </c>
      <c r="FY138" s="142">
        <v>0</v>
      </c>
      <c r="FZ138" s="39" t="s">
        <v>2486</v>
      </c>
      <c r="GB138" s="39">
        <v>2</v>
      </c>
      <c r="GC138" s="39" t="str">
        <f>GG138</f>
        <v>房地产行业：95.24%</v>
      </c>
      <c r="GG138" s="39" t="s">
        <v>2494</v>
      </c>
      <c r="GH138" s="39" t="s">
        <v>147</v>
      </c>
      <c r="GJ138" s="39">
        <f t="shared" si="169"/>
        <v>3</v>
      </c>
      <c r="GK138" s="43">
        <f t="shared" si="170"/>
        <v>7.2833229707024785E-2</v>
      </c>
      <c r="GN138" s="39">
        <v>3.39</v>
      </c>
      <c r="GO138" s="39" t="s">
        <v>2495</v>
      </c>
      <c r="GP138" s="39" t="s">
        <v>147</v>
      </c>
      <c r="GS138" s="69">
        <v>46.544688648800005</v>
      </c>
      <c r="GT138" s="39" t="s">
        <v>144</v>
      </c>
      <c r="GV138" s="39">
        <f>IF(GW138="数据缺失",0,IF(GW138&lt;20%,1,IF(GW138&lt;40%,2,IF(GW138&lt;60%,3,IF(GW138&lt;80%,4,IF(GW138&lt;=100%,5,0))))))</f>
        <v>3</v>
      </c>
      <c r="GW138" s="43">
        <f>HA138/HE138*100%</f>
        <v>0.58108711479647235</v>
      </c>
      <c r="HA138" s="39">
        <v>212.78</v>
      </c>
      <c r="HB138" s="39" t="s">
        <v>147</v>
      </c>
      <c r="HE138" s="69">
        <v>366.17573266019997</v>
      </c>
      <c r="HF138" s="39" t="s">
        <v>2378</v>
      </c>
      <c r="HH138" s="39">
        <f>IF(HI138="数据缺失",0,IF(HI138&lt;20%,1,IF(HI138&lt;40%,2,IF(HI138&lt;60%,3,IF(HI138&lt;80%,4,IF(HI138&lt;=100%,5,0))))))</f>
        <v>1</v>
      </c>
      <c r="HI138" s="43">
        <f>HM138/HQ138</f>
        <v>0.12563567061892592</v>
      </c>
      <c r="HM138" s="39">
        <v>5.51</v>
      </c>
      <c r="HN138" s="39" t="s">
        <v>147</v>
      </c>
      <c r="HQ138" s="78">
        <v>43.856971295299999</v>
      </c>
      <c r="HR138" s="39" t="s">
        <v>144</v>
      </c>
      <c r="HT138" s="39">
        <f t="shared" si="175"/>
        <v>3</v>
      </c>
      <c r="HU138" s="40">
        <v>5.9799999999999999E-2</v>
      </c>
      <c r="HY138" s="39">
        <v>3.2</v>
      </c>
      <c r="HZ138" s="39" t="s">
        <v>147</v>
      </c>
      <c r="IC138" s="39">
        <v>53.49</v>
      </c>
      <c r="ID138" s="39" t="s">
        <v>2378</v>
      </c>
      <c r="IR138" s="42">
        <f t="shared" si="183"/>
        <v>2</v>
      </c>
      <c r="IS138" s="43">
        <f t="shared" si="184"/>
        <v>2.5158118834317666</v>
      </c>
      <c r="IW138" s="39">
        <v>107.3</v>
      </c>
      <c r="IX138" s="39" t="s">
        <v>147</v>
      </c>
      <c r="JA138" s="69">
        <v>42.650247702000001</v>
      </c>
      <c r="JB138" s="39" t="s">
        <v>2378</v>
      </c>
      <c r="JD138" s="39">
        <f t="shared" si="178"/>
        <v>4</v>
      </c>
      <c r="JE138" s="43">
        <f t="shared" si="179"/>
        <v>8.7138155118575408E-2</v>
      </c>
      <c r="JI138" s="39">
        <v>-12.39</v>
      </c>
      <c r="JJ138" s="39" t="s">
        <v>2487</v>
      </c>
      <c r="JM138" s="39">
        <v>-0.68</v>
      </c>
      <c r="JN138" s="39" t="s">
        <v>2486</v>
      </c>
      <c r="JQ138" s="39">
        <v>181.92</v>
      </c>
      <c r="JR138" s="39" t="s">
        <v>2486</v>
      </c>
      <c r="JU138" s="39">
        <v>236.28</v>
      </c>
      <c r="JV138" s="39" t="s">
        <v>2488</v>
      </c>
      <c r="JW138" s="14"/>
      <c r="JX138" s="39">
        <v>2</v>
      </c>
      <c r="JY138" s="202" t="s">
        <v>271</v>
      </c>
      <c r="KB138" s="39">
        <v>4</v>
      </c>
      <c r="KC138" s="202" t="s">
        <v>271</v>
      </c>
      <c r="KD138" s="39" t="s">
        <v>2392</v>
      </c>
      <c r="KF138" s="39">
        <f t="shared" si="180"/>
        <v>1</v>
      </c>
      <c r="KG138" s="43">
        <f t="shared" si="181"/>
        <v>0</v>
      </c>
      <c r="KK138" s="39">
        <v>0</v>
      </c>
      <c r="KL138" s="39" t="s">
        <v>2496</v>
      </c>
      <c r="KO138" s="69">
        <v>42.650247702000001</v>
      </c>
      <c r="KP138" s="39" t="s">
        <v>144</v>
      </c>
    </row>
    <row r="139" spans="2:302" s="39" customFormat="1" ht="14.25" hidden="1" customHeight="1" x14ac:dyDescent="0.35">
      <c r="B139" s="39" t="s">
        <v>2497</v>
      </c>
      <c r="C139" s="39" t="s">
        <v>2304</v>
      </c>
      <c r="D139" s="39" t="s">
        <v>2482</v>
      </c>
      <c r="E139" s="39" t="s">
        <v>2498</v>
      </c>
      <c r="F139" s="39" t="s">
        <v>2499</v>
      </c>
      <c r="G139" s="3" t="s">
        <v>199</v>
      </c>
      <c r="H139" s="40">
        <v>0.81</v>
      </c>
      <c r="L139" s="42">
        <v>2</v>
      </c>
      <c r="M139" s="39" t="s">
        <v>2500</v>
      </c>
      <c r="P139" s="233" t="s">
        <v>2900</v>
      </c>
      <c r="Q139" s="39" t="s">
        <v>2501</v>
      </c>
      <c r="R139" s="39" t="s">
        <v>2502</v>
      </c>
      <c r="T139" s="39" t="s">
        <v>709</v>
      </c>
      <c r="U139" s="142">
        <v>1</v>
      </c>
      <c r="X139" s="39">
        <f t="shared" si="150"/>
        <v>1</v>
      </c>
      <c r="Y139" s="43">
        <f t="shared" si="151"/>
        <v>2.051837911678267</v>
      </c>
      <c r="AC139" s="39">
        <v>31.03</v>
      </c>
      <c r="AD139" s="39" t="s">
        <v>2503</v>
      </c>
      <c r="AG139" s="39">
        <v>32.74</v>
      </c>
      <c r="AH139" s="39" t="s">
        <v>2503</v>
      </c>
      <c r="AK139" s="39">
        <v>6.35</v>
      </c>
      <c r="AL139" s="39" t="s">
        <v>2503</v>
      </c>
      <c r="AN139" s="39">
        <f t="shared" si="152"/>
        <v>1</v>
      </c>
      <c r="AO139" s="43">
        <f t="shared" si="153"/>
        <v>0.80846724223890298</v>
      </c>
      <c r="AS139" s="39">
        <v>44.86</v>
      </c>
      <c r="AT139" s="39" t="s">
        <v>2503</v>
      </c>
      <c r="AW139" s="39">
        <v>57.11</v>
      </c>
      <c r="AX139" s="39" t="s">
        <v>2503</v>
      </c>
      <c r="BA139" s="39">
        <v>20.170000000000002</v>
      </c>
      <c r="BB139" s="39" t="s">
        <v>2503</v>
      </c>
      <c r="BD139" s="2">
        <f t="shared" si="149"/>
        <v>5</v>
      </c>
      <c r="BE139" s="39">
        <f t="shared" si="154"/>
        <v>31.03</v>
      </c>
      <c r="BI139" s="39">
        <v>31.03</v>
      </c>
      <c r="BJ139" s="39" t="s">
        <v>2503</v>
      </c>
      <c r="BL139" s="2">
        <f t="shared" si="155"/>
        <v>5</v>
      </c>
      <c r="BM139" s="39">
        <f t="shared" si="156"/>
        <v>44.86</v>
      </c>
      <c r="BQ139" s="39">
        <v>44.86</v>
      </c>
      <c r="BR139" s="39" t="s">
        <v>2503</v>
      </c>
      <c r="BT139" s="8">
        <f t="shared" si="157"/>
        <v>5</v>
      </c>
      <c r="BU139" s="39" t="s">
        <v>2504</v>
      </c>
      <c r="BY139" s="39" t="s">
        <v>2504</v>
      </c>
      <c r="BZ139" s="174" t="s">
        <v>331</v>
      </c>
      <c r="CB139" s="39">
        <v>1</v>
      </c>
      <c r="CC139" s="39" t="s">
        <v>2505</v>
      </c>
      <c r="CF139" s="39" t="s">
        <v>2505</v>
      </c>
      <c r="CG139" s="39" t="s">
        <v>2506</v>
      </c>
      <c r="CH139" s="39" t="s">
        <v>2503</v>
      </c>
      <c r="CI139" s="39" t="s">
        <v>2507</v>
      </c>
      <c r="CJ139" s="39">
        <f t="shared" si="158"/>
        <v>0</v>
      </c>
      <c r="CK139" s="39" t="s">
        <v>2508</v>
      </c>
      <c r="CO139" s="39" t="s">
        <v>2508</v>
      </c>
      <c r="CS139" s="39">
        <v>31.03</v>
      </c>
      <c r="CT139" s="39" t="s">
        <v>2503</v>
      </c>
      <c r="CV139" s="39">
        <f t="shared" si="159"/>
        <v>0</v>
      </c>
      <c r="CW139" s="39" t="str">
        <f t="shared" si="160"/>
        <v>数据缺失</v>
      </c>
      <c r="DA139" s="39" t="s">
        <v>2509</v>
      </c>
      <c r="DD139" s="39">
        <v>0</v>
      </c>
      <c r="DE139" s="39" t="s">
        <v>2509</v>
      </c>
      <c r="DI139" s="39">
        <v>44.86</v>
      </c>
      <c r="DJ139" s="39" t="s">
        <v>2510</v>
      </c>
      <c r="DM139" s="39" t="s">
        <v>222</v>
      </c>
      <c r="DP139" s="39">
        <v>4</v>
      </c>
      <c r="DQ139" s="58" t="s">
        <v>2511</v>
      </c>
      <c r="DR139" s="39" t="s">
        <v>2510</v>
      </c>
      <c r="DU139" s="142" t="s">
        <v>222</v>
      </c>
      <c r="DY139" s="142" t="s">
        <v>222</v>
      </c>
      <c r="EC139" s="142" t="s">
        <v>2509</v>
      </c>
      <c r="EG139" s="142" t="s">
        <v>2509</v>
      </c>
      <c r="EJ139" s="39">
        <f t="shared" si="163"/>
        <v>1</v>
      </c>
      <c r="EK139" s="39">
        <f t="shared" si="182"/>
        <v>153</v>
      </c>
      <c r="EO139" s="39">
        <v>153</v>
      </c>
      <c r="EP139" s="39" t="s">
        <v>2512</v>
      </c>
      <c r="ER139" s="39">
        <f t="shared" si="165"/>
        <v>3</v>
      </c>
      <c r="ES139" s="39">
        <f t="shared" si="166"/>
        <v>42</v>
      </c>
      <c r="EW139" s="39">
        <v>42</v>
      </c>
      <c r="EX139" s="39" t="s">
        <v>2513</v>
      </c>
      <c r="EZ139" s="42">
        <f t="shared" si="167"/>
        <v>1</v>
      </c>
      <c r="FA139" s="39">
        <f t="shared" si="168"/>
        <v>291</v>
      </c>
      <c r="FE139" s="39">
        <v>291</v>
      </c>
      <c r="FF139" s="39" t="s">
        <v>2514</v>
      </c>
      <c r="FH139" s="39">
        <v>4</v>
      </c>
      <c r="FI139" s="142" t="s">
        <v>2515</v>
      </c>
      <c r="FJ139" s="39" t="s">
        <v>2510</v>
      </c>
      <c r="FM139" s="142" t="s">
        <v>2509</v>
      </c>
      <c r="FQ139" s="142" t="s">
        <v>222</v>
      </c>
      <c r="FU139" s="142" t="s">
        <v>2509</v>
      </c>
      <c r="FY139" s="142" t="s">
        <v>2509</v>
      </c>
      <c r="GB139" s="39">
        <v>1</v>
      </c>
      <c r="GC139" s="39" t="str">
        <f>GG139</f>
        <v>房地产开发：77.48%；BT或BOT项目：13.51%</v>
      </c>
      <c r="GG139" s="39" t="s">
        <v>2516</v>
      </c>
      <c r="GH139" s="39" t="s">
        <v>2510</v>
      </c>
      <c r="GJ139" s="39">
        <f t="shared" si="169"/>
        <v>4</v>
      </c>
      <c r="GK139" s="43">
        <f t="shared" si="170"/>
        <v>3.6292484191866266E-2</v>
      </c>
      <c r="GN139" s="69">
        <v>0.6865</v>
      </c>
      <c r="GO139" s="39" t="s">
        <v>2517</v>
      </c>
      <c r="GP139" s="39" t="s">
        <v>2510</v>
      </c>
      <c r="GS139" s="69">
        <v>18.9157621829</v>
      </c>
      <c r="GT139" s="39" t="s">
        <v>2518</v>
      </c>
      <c r="GV139" s="39">
        <v>0</v>
      </c>
      <c r="GW139" s="39" t="s">
        <v>222</v>
      </c>
      <c r="HA139" s="39" t="s">
        <v>2509</v>
      </c>
      <c r="HE139" s="69">
        <v>195.20230569890001</v>
      </c>
      <c r="HF139" s="39" t="s">
        <v>2518</v>
      </c>
      <c r="HH139" s="39">
        <v>0</v>
      </c>
      <c r="HI139" s="39" t="s">
        <v>2509</v>
      </c>
      <c r="HM139" s="39" t="s">
        <v>2509</v>
      </c>
      <c r="HQ139" s="78">
        <v>24.626292957899999</v>
      </c>
      <c r="HR139" s="39" t="s">
        <v>2518</v>
      </c>
      <c r="HT139" s="39">
        <v>0</v>
      </c>
      <c r="HU139" s="39" t="s">
        <v>2509</v>
      </c>
      <c r="HY139" s="39" t="s">
        <v>2509</v>
      </c>
      <c r="IC139" s="39">
        <v>48.634999999999998</v>
      </c>
      <c r="ID139" s="39" t="s">
        <v>2518</v>
      </c>
      <c r="IR139" s="42">
        <f t="shared" si="183"/>
        <v>4</v>
      </c>
      <c r="IS139" s="43">
        <f t="shared" si="184"/>
        <v>0.54164544946088966</v>
      </c>
      <c r="IW139" s="39">
        <v>40</v>
      </c>
      <c r="IX139" s="39" t="s">
        <v>224</v>
      </c>
      <c r="JA139" s="69">
        <v>73.849046529999995</v>
      </c>
      <c r="JB139" s="39" t="s">
        <v>144</v>
      </c>
      <c r="JD139" s="39">
        <f t="shared" si="178"/>
        <v>4</v>
      </c>
      <c r="JE139" s="43">
        <f t="shared" si="179"/>
        <v>8.6041494609845795E-2</v>
      </c>
      <c r="JI139" s="39">
        <v>4.1100000000000003</v>
      </c>
      <c r="JJ139" s="39" t="s">
        <v>2512</v>
      </c>
      <c r="JM139" s="39">
        <v>0.97</v>
      </c>
      <c r="JN139" s="39" t="s">
        <v>2512</v>
      </c>
      <c r="JQ139" s="39">
        <v>64.08</v>
      </c>
      <c r="JR139" s="39" t="s">
        <v>2512</v>
      </c>
      <c r="JU139" s="39">
        <v>34.409999999999997</v>
      </c>
      <c r="JV139" s="39" t="s">
        <v>2512</v>
      </c>
      <c r="JX139" s="39">
        <v>2</v>
      </c>
      <c r="JY139" s="39" t="s">
        <v>155</v>
      </c>
      <c r="KB139" s="39">
        <v>4</v>
      </c>
      <c r="KC139" s="39" t="s">
        <v>155</v>
      </c>
      <c r="KD139" s="39" t="s">
        <v>2510</v>
      </c>
      <c r="KF139" s="39">
        <f t="shared" si="180"/>
        <v>0</v>
      </c>
      <c r="KG139" s="39" t="s">
        <v>2509</v>
      </c>
      <c r="KK139" s="39" t="s">
        <v>2509</v>
      </c>
      <c r="KO139" s="69">
        <v>73.849046529999995</v>
      </c>
      <c r="KP139" s="39" t="s">
        <v>2518</v>
      </c>
    </row>
    <row r="140" spans="2:302" s="39" customFormat="1" ht="13.5" hidden="1" customHeight="1" x14ac:dyDescent="0.35">
      <c r="B140" s="39" t="s">
        <v>2519</v>
      </c>
      <c r="C140" s="39" t="s">
        <v>2304</v>
      </c>
      <c r="D140" s="39" t="s">
        <v>2482</v>
      </c>
      <c r="E140" s="39" t="s">
        <v>2520</v>
      </c>
      <c r="F140" s="39" t="s">
        <v>2521</v>
      </c>
      <c r="G140" s="3" t="s">
        <v>174</v>
      </c>
      <c r="H140" s="40">
        <f>133.41995/134.995427</f>
        <v>0.98832940466938923</v>
      </c>
      <c r="L140" s="42">
        <v>2</v>
      </c>
      <c r="M140" s="39" t="s">
        <v>2522</v>
      </c>
      <c r="P140" s="233" t="s">
        <v>2900</v>
      </c>
      <c r="Q140" s="39" t="s">
        <v>1817</v>
      </c>
      <c r="R140" s="39" t="s">
        <v>2523</v>
      </c>
      <c r="T140" s="39" t="s">
        <v>129</v>
      </c>
      <c r="U140" s="142">
        <v>0.45669999999999999</v>
      </c>
      <c r="X140" s="39">
        <f t="shared" si="150"/>
        <v>2</v>
      </c>
      <c r="Y140" s="43">
        <f t="shared" si="151"/>
        <v>0.17923656582025152</v>
      </c>
      <c r="AC140" s="39">
        <v>151.41</v>
      </c>
      <c r="AD140" s="39" t="s">
        <v>2524</v>
      </c>
      <c r="AG140" s="39">
        <v>108.5</v>
      </c>
      <c r="AH140" s="39" t="s">
        <v>2524</v>
      </c>
      <c r="AK140" s="39">
        <v>112.67</v>
      </c>
      <c r="AL140" s="39" t="s">
        <v>2525</v>
      </c>
      <c r="AN140" s="39">
        <f t="shared" si="152"/>
        <v>2</v>
      </c>
      <c r="AO140" s="43">
        <f t="shared" si="153"/>
        <v>0.13530572030968219</v>
      </c>
      <c r="AS140" s="39">
        <v>91.48</v>
      </c>
      <c r="AT140" s="39" t="s">
        <v>2524</v>
      </c>
      <c r="AW140" s="39">
        <v>69.819999999999993</v>
      </c>
      <c r="AX140" s="39" t="s">
        <v>2526</v>
      </c>
      <c r="BA140" s="39">
        <v>72.7</v>
      </c>
      <c r="BB140" s="39" t="s">
        <v>2525</v>
      </c>
      <c r="BD140" s="2">
        <f t="shared" si="149"/>
        <v>3</v>
      </c>
      <c r="BE140" s="39">
        <f t="shared" si="154"/>
        <v>151.41</v>
      </c>
      <c r="BI140" s="39">
        <f>AC140</f>
        <v>151.41</v>
      </c>
      <c r="BJ140" s="39" t="s">
        <v>2524</v>
      </c>
      <c r="BL140" s="2">
        <f t="shared" si="155"/>
        <v>4</v>
      </c>
      <c r="BM140" s="39">
        <f t="shared" si="156"/>
        <v>91.48</v>
      </c>
      <c r="BQ140" s="39">
        <f>AS140</f>
        <v>91.48</v>
      </c>
      <c r="BR140" s="39" t="s">
        <v>2524</v>
      </c>
      <c r="BT140" s="8">
        <f t="shared" si="157"/>
        <v>2</v>
      </c>
      <c r="BU140" s="39">
        <f>BY140</f>
        <v>54</v>
      </c>
      <c r="BY140" s="39">
        <v>54</v>
      </c>
      <c r="BZ140" s="39" t="s">
        <v>234</v>
      </c>
      <c r="CB140" s="39">
        <v>1</v>
      </c>
      <c r="CC140" s="39" t="s">
        <v>133</v>
      </c>
      <c r="CF140" s="39" t="s">
        <v>132</v>
      </c>
      <c r="CG140" s="39" t="s">
        <v>2506</v>
      </c>
      <c r="CH140" s="201" t="s">
        <v>2527</v>
      </c>
      <c r="CJ140" s="39">
        <f t="shared" si="158"/>
        <v>2</v>
      </c>
      <c r="CK140" s="48">
        <f>CO140/CS140</f>
        <v>1.204081632653061</v>
      </c>
      <c r="CO140" s="39">
        <f>26.6+42.03+85.95+15.63+12.1</f>
        <v>182.30999999999997</v>
      </c>
      <c r="CP140" s="39" t="s">
        <v>2528</v>
      </c>
      <c r="CS140" s="39">
        <v>151.41</v>
      </c>
      <c r="CT140" s="39" t="s">
        <v>2528</v>
      </c>
      <c r="CV140" s="39">
        <f t="shared" si="159"/>
        <v>5</v>
      </c>
      <c r="CW140" s="39">
        <f t="shared" si="160"/>
        <v>83.49</v>
      </c>
      <c r="DA140" s="39">
        <v>83.49</v>
      </c>
      <c r="DB140" s="39" t="s">
        <v>2524</v>
      </c>
      <c r="DC140" s="39" t="s">
        <v>2529</v>
      </c>
      <c r="DD140" s="39">
        <f>IF(DE140="数据缺失",0,IF(DE140&lt;0,0,IF(DE140&lt;2,3,IF(DE140&lt;=5,1,2))))</f>
        <v>3</v>
      </c>
      <c r="DE140" s="48">
        <f>DM140/DI140</f>
        <v>0.91265850459116737</v>
      </c>
      <c r="DI140" s="39">
        <f>AS140</f>
        <v>91.48</v>
      </c>
      <c r="DJ140" s="39" t="s">
        <v>2526</v>
      </c>
      <c r="DM140" s="39">
        <v>83.49</v>
      </c>
      <c r="DN140" s="39" t="s">
        <v>2528</v>
      </c>
      <c r="DO140" s="39" t="s">
        <v>2529</v>
      </c>
      <c r="DP140" s="39">
        <v>1</v>
      </c>
      <c r="DQ140" s="39" t="s">
        <v>2530</v>
      </c>
      <c r="DU140" s="40">
        <v>0.73070000000000002</v>
      </c>
      <c r="DV140" s="39" t="s">
        <v>2524</v>
      </c>
      <c r="DY140" s="40">
        <v>0.26929999999999998</v>
      </c>
      <c r="DZ140" s="39" t="s">
        <v>2528</v>
      </c>
      <c r="EC140" s="40">
        <v>0</v>
      </c>
      <c r="ED140" s="39" t="s">
        <v>2524</v>
      </c>
      <c r="EG140" s="40">
        <v>0</v>
      </c>
      <c r="EH140" s="39" t="s">
        <v>2526</v>
      </c>
      <c r="EJ140" s="39">
        <f t="shared" si="163"/>
        <v>1</v>
      </c>
      <c r="EK140" s="39">
        <f t="shared" si="182"/>
        <v>107.67</v>
      </c>
      <c r="EO140" s="39">
        <v>107.67</v>
      </c>
      <c r="EP140" s="39" t="s">
        <v>2526</v>
      </c>
      <c r="ER140" s="39">
        <f t="shared" si="165"/>
        <v>2</v>
      </c>
      <c r="ES140" s="39">
        <f t="shared" si="166"/>
        <v>75.22</v>
      </c>
      <c r="EW140" s="39">
        <v>75.22</v>
      </c>
      <c r="EX140" s="39" t="s">
        <v>2531</v>
      </c>
      <c r="EZ140" s="42">
        <f t="shared" si="167"/>
        <v>1</v>
      </c>
      <c r="FA140" s="39">
        <f t="shared" si="168"/>
        <v>620.19000000000005</v>
      </c>
      <c r="FE140" s="39">
        <v>620.19000000000005</v>
      </c>
      <c r="FF140" s="39" t="s">
        <v>2526</v>
      </c>
      <c r="FG140" s="39" t="s">
        <v>1315</v>
      </c>
      <c r="FH140" s="39">
        <v>3</v>
      </c>
      <c r="FI140" s="39" t="s">
        <v>2532</v>
      </c>
      <c r="FM140" s="142">
        <v>0.44190000000000002</v>
      </c>
      <c r="FN140" s="39" t="s">
        <v>2524</v>
      </c>
      <c r="FQ140" s="142">
        <v>0.55810000000000004</v>
      </c>
      <c r="FR140" s="39" t="s">
        <v>2524</v>
      </c>
      <c r="FU140" s="142">
        <v>0</v>
      </c>
      <c r="FV140" s="39" t="s">
        <v>2524</v>
      </c>
      <c r="FY140" s="142">
        <v>0</v>
      </c>
      <c r="FZ140" s="39" t="s">
        <v>2526</v>
      </c>
      <c r="GB140" s="39">
        <v>2</v>
      </c>
      <c r="GC140" s="39" t="s">
        <v>2533</v>
      </c>
      <c r="GG140" s="39" t="s">
        <v>2533</v>
      </c>
      <c r="GH140" s="39" t="s">
        <v>2523</v>
      </c>
      <c r="GJ140" s="39">
        <f t="shared" si="169"/>
        <v>4</v>
      </c>
      <c r="GK140" s="43">
        <f t="shared" si="170"/>
        <v>3.3704845363887924E-2</v>
      </c>
      <c r="GN140" s="39">
        <f>3.39+1.16</f>
        <v>4.55</v>
      </c>
      <c r="GO140" s="39" t="s">
        <v>2534</v>
      </c>
      <c r="GP140" s="39" t="s">
        <v>146</v>
      </c>
      <c r="GS140" s="69">
        <v>134.99542724130001</v>
      </c>
      <c r="GT140" s="39" t="s">
        <v>144</v>
      </c>
      <c r="GV140" s="39">
        <f t="shared" ref="GV140:GV155" si="185">IF(GW140="数据缺失",0,IF(GW140&lt;20%,1,IF(GW140&lt;40%,2,IF(GW140&lt;60%,3,IF(GW140&lt;80%,4,IF(GW140&lt;=100%,5,0))))))</f>
        <v>2</v>
      </c>
      <c r="GW140" s="43">
        <f>HA140/HE140*100%</f>
        <v>0.25514422918820834</v>
      </c>
      <c r="HA140" s="39">
        <v>141.15</v>
      </c>
      <c r="HB140" s="39" t="s">
        <v>2523</v>
      </c>
      <c r="HE140" s="69">
        <v>553.2165099289</v>
      </c>
      <c r="HF140" s="39" t="s">
        <v>2535</v>
      </c>
      <c r="HH140" s="39">
        <f t="shared" ref="HH140:HH155" si="186">IF(HI140="数据缺失",0,IF(HI140&lt;20%,1,IF(HI140&lt;40%,2,IF(HI140&lt;60%,3,IF(HI140&lt;80%,4,IF(HI140&lt;=100%,5,0))))))</f>
        <v>1</v>
      </c>
      <c r="HI140" s="43">
        <f t="shared" ref="HI140:HI147" si="187">HM140/HQ140</f>
        <v>8.5717459742367681E-3</v>
      </c>
      <c r="HM140" s="39">
        <v>0.8</v>
      </c>
      <c r="HN140" s="39" t="s">
        <v>146</v>
      </c>
      <c r="HQ140" s="78">
        <v>93.329877297400003</v>
      </c>
      <c r="HR140" s="39" t="s">
        <v>144</v>
      </c>
      <c r="HT140" s="39">
        <f>IF(HU140="数据缺失",0,IF(HU140&lt;5%,4,IF(HU140&lt;=10%,3,IF(HU140&lt;30%,2,IF(HU140&lt;=100%,1,0)))))</f>
        <v>2</v>
      </c>
      <c r="HU140" s="40">
        <v>0.1817</v>
      </c>
      <c r="HY140" s="39">
        <v>23.47</v>
      </c>
      <c r="HZ140" s="39" t="s">
        <v>2523</v>
      </c>
      <c r="IC140" s="39">
        <v>129.19999999999999</v>
      </c>
      <c r="ID140" s="39" t="s">
        <v>2535</v>
      </c>
      <c r="IR140" s="42">
        <f t="shared" si="183"/>
        <v>2</v>
      </c>
      <c r="IS140" s="43">
        <f t="shared" si="184"/>
        <v>2.2263410772786605</v>
      </c>
      <c r="IW140" s="39">
        <v>246.81</v>
      </c>
      <c r="IX140" s="39" t="s">
        <v>2531</v>
      </c>
      <c r="JA140" s="69">
        <v>110.85902448590001</v>
      </c>
      <c r="JB140" s="39" t="s">
        <v>144</v>
      </c>
      <c r="JD140" s="39">
        <f>IF(JE140="数据缺失",0,IF(JE140&lt;0%,0,IF(JE140&lt;4%,1,IF(JE140&lt;6%,2,IF(JE140&lt;8%,3,4)))))</f>
        <v>3</v>
      </c>
      <c r="JE140" s="43">
        <f>JI140/JM140/(JQ140+JU140)*2</f>
        <v>6.7818618942929509E-2</v>
      </c>
      <c r="JI140" s="39">
        <v>21.1</v>
      </c>
      <c r="JJ140" s="39" t="s">
        <v>2524</v>
      </c>
      <c r="JM140" s="39">
        <v>1.32</v>
      </c>
      <c r="JN140" s="39" t="s">
        <v>2526</v>
      </c>
      <c r="JQ140" s="39">
        <v>258.67</v>
      </c>
      <c r="JR140" s="39" t="s">
        <v>2524</v>
      </c>
      <c r="JU140" s="39">
        <v>212.73</v>
      </c>
      <c r="JV140" s="39" t="s">
        <v>2524</v>
      </c>
      <c r="JX140" s="39">
        <v>2</v>
      </c>
      <c r="JY140" s="39" t="s">
        <v>155</v>
      </c>
      <c r="KB140" s="39">
        <v>2</v>
      </c>
      <c r="KC140" s="39" t="s">
        <v>155</v>
      </c>
      <c r="KD140" s="39" t="s">
        <v>2523</v>
      </c>
      <c r="KF140" s="39">
        <f t="shared" si="180"/>
        <v>2</v>
      </c>
      <c r="KG140" s="43">
        <f>KK140/KO140</f>
        <v>0.36301802389681453</v>
      </c>
      <c r="KK140" s="175">
        <v>40.243823999999996</v>
      </c>
      <c r="KL140" s="39" t="s">
        <v>2523</v>
      </c>
      <c r="KM140" s="39" t="s">
        <v>1002</v>
      </c>
      <c r="KO140" s="69">
        <v>110.85902448590001</v>
      </c>
      <c r="KP140" s="39" t="s">
        <v>2535</v>
      </c>
    </row>
    <row r="141" spans="2:302" s="39" customFormat="1" ht="13.5" hidden="1" customHeight="1" x14ac:dyDescent="0.35">
      <c r="B141" s="39" t="s">
        <v>2536</v>
      </c>
      <c r="C141" s="39" t="s">
        <v>2304</v>
      </c>
      <c r="D141" s="39" t="s">
        <v>2482</v>
      </c>
      <c r="E141" s="39" t="s">
        <v>197</v>
      </c>
      <c r="F141" s="39" t="s">
        <v>2537</v>
      </c>
      <c r="G141" s="3" t="s">
        <v>199</v>
      </c>
      <c r="H141" s="40">
        <v>0.96050000000000002</v>
      </c>
      <c r="L141" s="42">
        <v>2</v>
      </c>
      <c r="M141" s="39" t="s">
        <v>2872</v>
      </c>
      <c r="P141" s="233" t="s">
        <v>2900</v>
      </c>
      <c r="Q141" s="39" t="s">
        <v>2538</v>
      </c>
      <c r="R141" s="39" t="s">
        <v>2539</v>
      </c>
      <c r="T141" s="39" t="s">
        <v>203</v>
      </c>
      <c r="U141" s="40">
        <v>0.50649999999999995</v>
      </c>
      <c r="X141" s="39">
        <f t="shared" si="150"/>
        <v>2</v>
      </c>
      <c r="Y141" s="43">
        <f t="shared" si="151"/>
        <v>0.10343104013986922</v>
      </c>
      <c r="AC141" s="39">
        <v>108.5</v>
      </c>
      <c r="AD141" s="39" t="s">
        <v>2525</v>
      </c>
      <c r="AG141" s="39">
        <v>112.67</v>
      </c>
      <c r="AH141" s="39" t="s">
        <v>2525</v>
      </c>
      <c r="AK141" s="39">
        <v>90.58</v>
      </c>
      <c r="AL141" s="39" t="s">
        <v>2540</v>
      </c>
      <c r="AN141" s="39">
        <f t="shared" si="152"/>
        <v>3</v>
      </c>
      <c r="AO141" s="43">
        <f t="shared" si="153"/>
        <v>7.308117113808392E-2</v>
      </c>
      <c r="AS141" s="39">
        <v>69.819999999999993</v>
      </c>
      <c r="AT141" s="39" t="s">
        <v>2525</v>
      </c>
      <c r="AW141" s="39">
        <v>72.7</v>
      </c>
      <c r="AX141" s="39" t="s">
        <v>2525</v>
      </c>
      <c r="BA141" s="39">
        <v>61.31</v>
      </c>
      <c r="BB141" s="39" t="s">
        <v>2525</v>
      </c>
      <c r="BD141" s="2">
        <f t="shared" si="149"/>
        <v>3</v>
      </c>
      <c r="BE141" s="39">
        <f t="shared" si="154"/>
        <v>108.5</v>
      </c>
      <c r="BI141" s="39">
        <f>AC141</f>
        <v>108.5</v>
      </c>
      <c r="BJ141" s="39" t="s">
        <v>2541</v>
      </c>
      <c r="BL141" s="2">
        <f t="shared" si="155"/>
        <v>4</v>
      </c>
      <c r="BM141" s="39">
        <f t="shared" si="156"/>
        <v>69.819999999999993</v>
      </c>
      <c r="BQ141" s="39">
        <f>AS141</f>
        <v>69.819999999999993</v>
      </c>
      <c r="BR141" s="39" t="s">
        <v>2525</v>
      </c>
      <c r="BT141" s="8">
        <f t="shared" si="157"/>
        <v>2</v>
      </c>
      <c r="BU141" s="39">
        <f>BY141</f>
        <v>57</v>
      </c>
      <c r="BY141" s="39">
        <v>57</v>
      </c>
      <c r="BZ141" s="76" t="s">
        <v>2542</v>
      </c>
      <c r="CB141" s="39">
        <v>1</v>
      </c>
      <c r="CC141" s="39" t="s">
        <v>2543</v>
      </c>
      <c r="CF141" s="39" t="s">
        <v>132</v>
      </c>
      <c r="CG141" s="39" t="s">
        <v>2506</v>
      </c>
      <c r="CH141" s="201" t="s">
        <v>2527</v>
      </c>
      <c r="CJ141" s="39">
        <f t="shared" si="158"/>
        <v>2</v>
      </c>
      <c r="CK141" s="48">
        <f>CO141/CS141</f>
        <v>0.12129032258064516</v>
      </c>
      <c r="CO141" s="39">
        <v>13.16</v>
      </c>
      <c r="CP141" s="39" t="s">
        <v>2524</v>
      </c>
      <c r="CS141" s="39">
        <v>108.5</v>
      </c>
      <c r="CT141" s="39" t="s">
        <v>2524</v>
      </c>
      <c r="CV141" s="39">
        <f t="shared" si="159"/>
        <v>5</v>
      </c>
      <c r="CW141" s="39">
        <f>19.29+42.32+12.78</f>
        <v>74.39</v>
      </c>
      <c r="DA141" s="69">
        <v>74.395099999999999</v>
      </c>
      <c r="DB141" s="39" t="s">
        <v>2544</v>
      </c>
      <c r="DD141" s="39">
        <f>IF(DE141="数据缺失",0,IF(DE141&lt;0,0,IF(DE141&lt;2,3,IF(DE141&lt;=5,1,2))))</f>
        <v>3</v>
      </c>
      <c r="DE141" s="48">
        <f>DM141/DI141</f>
        <v>1.0655270696075625</v>
      </c>
      <c r="DI141" s="39">
        <v>69.819999999999993</v>
      </c>
      <c r="DJ141" s="39" t="s">
        <v>2524</v>
      </c>
      <c r="DM141" s="69">
        <v>74.395099999999999</v>
      </c>
      <c r="DN141" s="39" t="s">
        <v>2545</v>
      </c>
      <c r="DP141" s="39">
        <v>2</v>
      </c>
      <c r="DQ141" s="39" t="s">
        <v>2546</v>
      </c>
      <c r="DU141" s="40">
        <v>0.74070000000000003</v>
      </c>
      <c r="DV141" s="39" t="s">
        <v>2544</v>
      </c>
      <c r="DY141" s="40">
        <v>0.25929999999999997</v>
      </c>
      <c r="DZ141" s="39" t="s">
        <v>2545</v>
      </c>
      <c r="EC141" s="40">
        <v>0</v>
      </c>
      <c r="ED141" s="39" t="s">
        <v>2545</v>
      </c>
      <c r="EG141" s="40">
        <v>0</v>
      </c>
      <c r="EH141" s="39" t="s">
        <v>2545</v>
      </c>
      <c r="EJ141" s="39">
        <f t="shared" si="163"/>
        <v>2</v>
      </c>
      <c r="EK141" s="39">
        <f t="shared" si="182"/>
        <v>74.33</v>
      </c>
      <c r="EO141" s="39">
        <v>74.33</v>
      </c>
      <c r="EP141" s="39" t="s">
        <v>1121</v>
      </c>
      <c r="ER141" s="39">
        <f t="shared" si="165"/>
        <v>2</v>
      </c>
      <c r="ES141" s="39">
        <v>94.7</v>
      </c>
      <c r="EW141" s="39">
        <v>94.7</v>
      </c>
      <c r="EX141" s="39" t="s">
        <v>1121</v>
      </c>
      <c r="EZ141" s="42">
        <f t="shared" si="167"/>
        <v>1</v>
      </c>
      <c r="FA141" s="69">
        <f t="shared" si="168"/>
        <v>544.726</v>
      </c>
      <c r="FE141" s="69">
        <v>544.726</v>
      </c>
      <c r="FF141" s="39" t="s">
        <v>2544</v>
      </c>
      <c r="FH141" s="39">
        <v>2</v>
      </c>
      <c r="FI141" s="39" t="s">
        <v>2547</v>
      </c>
      <c r="FM141" s="40">
        <v>0.34060000000000001</v>
      </c>
      <c r="FN141" s="39" t="s">
        <v>2544</v>
      </c>
      <c r="FQ141" s="40">
        <v>0.65939999999999999</v>
      </c>
      <c r="FR141" s="39" t="s">
        <v>2545</v>
      </c>
      <c r="FU141" s="142">
        <v>0</v>
      </c>
      <c r="FV141" s="39" t="s">
        <v>2545</v>
      </c>
      <c r="FY141" s="142">
        <v>0</v>
      </c>
      <c r="FZ141" s="39" t="s">
        <v>2545</v>
      </c>
      <c r="GB141" s="39">
        <v>2</v>
      </c>
      <c r="GC141" s="39" t="s">
        <v>2548</v>
      </c>
      <c r="GG141" s="39" t="s">
        <v>2548</v>
      </c>
      <c r="GH141" s="39" t="s">
        <v>2549</v>
      </c>
      <c r="GJ141" s="39">
        <f t="shared" si="169"/>
        <v>4</v>
      </c>
      <c r="GK141" s="43">
        <f t="shared" si="170"/>
        <v>3.9598120100035716E-2</v>
      </c>
      <c r="GN141" s="39">
        <v>3.58</v>
      </c>
      <c r="GO141" s="39" t="s">
        <v>2550</v>
      </c>
      <c r="GP141" s="39" t="s">
        <v>2549</v>
      </c>
      <c r="GS141" s="69">
        <v>90.408332288400004</v>
      </c>
      <c r="GT141" s="39" t="s">
        <v>2535</v>
      </c>
      <c r="GV141" s="39">
        <f t="shared" si="185"/>
        <v>2</v>
      </c>
      <c r="GW141" s="43">
        <f>HA141/HE141*100%</f>
        <v>0.36567612320149195</v>
      </c>
      <c r="HA141" s="39">
        <v>169.35</v>
      </c>
      <c r="HB141" s="39" t="s">
        <v>2549</v>
      </c>
      <c r="HE141" s="69">
        <v>463.11473255990001</v>
      </c>
      <c r="HF141" s="39" t="s">
        <v>2535</v>
      </c>
      <c r="HH141" s="39">
        <f t="shared" si="186"/>
        <v>1</v>
      </c>
      <c r="HI141" s="43">
        <f t="shared" si="187"/>
        <v>8.2297763506912602E-3</v>
      </c>
      <c r="HM141" s="39">
        <v>0.6</v>
      </c>
      <c r="HN141" s="39" t="s">
        <v>2549</v>
      </c>
      <c r="HQ141" s="78">
        <v>72.905990932500004</v>
      </c>
      <c r="HR141" s="39" t="s">
        <v>2535</v>
      </c>
      <c r="HT141" s="39">
        <f>IF(HU141="数据缺失",0,IF(HU141&lt;5%,4,IF(HU141&lt;=10%,3,IF(HU141&lt;30%,2,IF(HU141&lt;=100%,1,0)))))</f>
        <v>2</v>
      </c>
      <c r="HU141" s="40">
        <v>0.1958</v>
      </c>
      <c r="HY141" s="39">
        <v>20.41</v>
      </c>
      <c r="HZ141" s="39" t="s">
        <v>2549</v>
      </c>
      <c r="IC141" s="69">
        <v>104.2157664942</v>
      </c>
      <c r="ID141" s="39" t="s">
        <v>144</v>
      </c>
      <c r="IR141" s="42">
        <f t="shared" si="183"/>
        <v>2</v>
      </c>
      <c r="IS141" s="43">
        <f t="shared" si="184"/>
        <v>2.3742063083233726</v>
      </c>
      <c r="IW141" s="39">
        <v>253.21</v>
      </c>
      <c r="IX141" s="39" t="s">
        <v>224</v>
      </c>
      <c r="JA141" s="69">
        <v>106.650377902</v>
      </c>
      <c r="JB141" s="39" t="s">
        <v>144</v>
      </c>
      <c r="JD141" s="39">
        <f>IF(JE141="数据缺失",0,IF(JE141&lt;0%,0,IF(JE141&lt;4%,1,IF(JE141&lt;6%,2,IF(JE141&lt;8%,3,4)))))</f>
        <v>3</v>
      </c>
      <c r="JE141" s="46">
        <f>JI141/JM141/(JQ141+JU141)*2</f>
        <v>7.7413991944503047E-2</v>
      </c>
      <c r="JI141" s="39">
        <v>19.52</v>
      </c>
      <c r="JJ141" s="39" t="s">
        <v>2525</v>
      </c>
      <c r="JM141" s="39">
        <v>1.36</v>
      </c>
      <c r="JN141" s="39" t="s">
        <v>2541</v>
      </c>
      <c r="JQ141" s="39">
        <v>208.18</v>
      </c>
      <c r="JR141" s="39" t="s">
        <v>2525</v>
      </c>
      <c r="JU141" s="39">
        <v>162.63</v>
      </c>
      <c r="JV141" s="39" t="s">
        <v>2525</v>
      </c>
      <c r="JX141" s="39">
        <v>2</v>
      </c>
      <c r="JY141" s="39" t="s">
        <v>2551</v>
      </c>
      <c r="KB141" s="39">
        <v>4</v>
      </c>
      <c r="KC141" s="39" t="s">
        <v>2551</v>
      </c>
      <c r="KD141" s="39" t="s">
        <v>2549</v>
      </c>
      <c r="KF141" s="39">
        <f t="shared" si="180"/>
        <v>2</v>
      </c>
      <c r="KG141" s="43">
        <f>KK141/KO141</f>
        <v>0.35049102249171704</v>
      </c>
      <c r="KK141" s="176">
        <v>37.380000000000003</v>
      </c>
      <c r="KL141" s="39" t="s">
        <v>2549</v>
      </c>
      <c r="KO141" s="69">
        <v>106.650377902</v>
      </c>
      <c r="KP141" s="39" t="s">
        <v>2535</v>
      </c>
    </row>
    <row r="142" spans="2:302" s="39" customFormat="1" ht="13.5" hidden="1" customHeight="1" x14ac:dyDescent="0.35">
      <c r="B142" s="39" t="s">
        <v>2536</v>
      </c>
      <c r="C142" s="39" t="s">
        <v>2304</v>
      </c>
      <c r="D142" s="39" t="s">
        <v>2482</v>
      </c>
      <c r="E142" s="39" t="s">
        <v>2552</v>
      </c>
      <c r="F142" s="39" t="s">
        <v>2553</v>
      </c>
      <c r="G142" s="3" t="s">
        <v>249</v>
      </c>
      <c r="H142" s="141">
        <v>0.95589999999999997</v>
      </c>
      <c r="L142" s="42">
        <v>2</v>
      </c>
      <c r="M142" s="39" t="s">
        <v>2873</v>
      </c>
      <c r="P142" s="233" t="s">
        <v>2900</v>
      </c>
      <c r="Q142" s="39" t="s">
        <v>2554</v>
      </c>
      <c r="R142" s="39" t="s">
        <v>366</v>
      </c>
      <c r="T142" s="39" t="s">
        <v>203</v>
      </c>
      <c r="U142" s="40">
        <v>0.50649999999999995</v>
      </c>
      <c r="X142" s="39">
        <f t="shared" si="150"/>
        <v>2</v>
      </c>
      <c r="Y142" s="43">
        <f t="shared" si="151"/>
        <v>0.22928520958892518</v>
      </c>
      <c r="AC142" s="39">
        <v>112.67</v>
      </c>
      <c r="AD142" s="39" t="s">
        <v>2555</v>
      </c>
      <c r="AG142" s="39">
        <v>90.58</v>
      </c>
      <c r="AH142" s="39" t="s">
        <v>2556</v>
      </c>
      <c r="AK142" s="39">
        <v>74.569999999999993</v>
      </c>
      <c r="AL142" s="39" t="s">
        <v>2556</v>
      </c>
      <c r="AN142" s="39">
        <f t="shared" si="152"/>
        <v>2</v>
      </c>
      <c r="AO142" s="43">
        <f t="shared" si="153"/>
        <v>0.26031729476500148</v>
      </c>
      <c r="AS142" s="39">
        <v>72.7</v>
      </c>
      <c r="AT142" s="39" t="s">
        <v>2557</v>
      </c>
      <c r="AW142" s="39">
        <v>61.31</v>
      </c>
      <c r="AX142" s="39" t="s">
        <v>2556</v>
      </c>
      <c r="BA142" s="39">
        <v>45.93</v>
      </c>
      <c r="BB142" s="39" t="s">
        <v>2556</v>
      </c>
      <c r="BD142" s="2">
        <f t="shared" si="149"/>
        <v>3</v>
      </c>
      <c r="BE142" s="39">
        <f t="shared" si="154"/>
        <v>112.67</v>
      </c>
      <c r="BI142" s="39">
        <f>AC142</f>
        <v>112.67</v>
      </c>
      <c r="BJ142" s="39" t="s">
        <v>2555</v>
      </c>
      <c r="BL142" s="2">
        <f t="shared" si="155"/>
        <v>4</v>
      </c>
      <c r="BM142" s="39">
        <f t="shared" si="156"/>
        <v>72.7</v>
      </c>
      <c r="BQ142" s="39">
        <f>AS142</f>
        <v>72.7</v>
      </c>
      <c r="BR142" s="39" t="s">
        <v>2556</v>
      </c>
      <c r="BT142" s="8">
        <f t="shared" si="157"/>
        <v>2</v>
      </c>
      <c r="BU142" s="39">
        <f>BY142</f>
        <v>71</v>
      </c>
      <c r="BY142" s="39">
        <v>71</v>
      </c>
      <c r="BZ142" s="39" t="s">
        <v>1161</v>
      </c>
      <c r="CB142" s="39">
        <v>1</v>
      </c>
      <c r="CC142" s="39" t="s">
        <v>2558</v>
      </c>
      <c r="CF142" s="39" t="s">
        <v>132</v>
      </c>
      <c r="CG142" s="39" t="s">
        <v>2506</v>
      </c>
      <c r="CH142" s="201" t="s">
        <v>895</v>
      </c>
      <c r="CJ142" s="39">
        <f t="shared" si="158"/>
        <v>2</v>
      </c>
      <c r="CK142" s="48">
        <f>CO142/CS142</f>
        <v>0.58942043134818489</v>
      </c>
      <c r="CO142" s="39">
        <v>66.41</v>
      </c>
      <c r="CP142" s="39" t="s">
        <v>2559</v>
      </c>
      <c r="CS142" s="39">
        <f>AC142</f>
        <v>112.67</v>
      </c>
      <c r="CT142" s="39" t="s">
        <v>2556</v>
      </c>
      <c r="CV142" s="39">
        <f t="shared" si="159"/>
        <v>0</v>
      </c>
      <c r="CW142" s="39" t="str">
        <f>DA142</f>
        <v>数据缺失</v>
      </c>
      <c r="DA142" s="39" t="s">
        <v>37</v>
      </c>
      <c r="DD142" s="39">
        <f>IF(DE142="数据缺失",0,IF(DE142&lt;0,0,IF(DE142&lt;2,3,IF(DE142&lt;=5,1,2))))</f>
        <v>0</v>
      </c>
      <c r="DE142" s="48" t="s">
        <v>2560</v>
      </c>
      <c r="DI142" s="39">
        <f>AS142</f>
        <v>72.7</v>
      </c>
      <c r="DJ142" s="39" t="s">
        <v>2556</v>
      </c>
      <c r="DM142" s="13" t="str">
        <f>DA142</f>
        <v>数据缺失</v>
      </c>
      <c r="DP142" s="39">
        <v>5</v>
      </c>
      <c r="DQ142" s="39" t="s">
        <v>37</v>
      </c>
      <c r="DU142" s="39" t="s">
        <v>37</v>
      </c>
      <c r="DY142" s="39" t="s">
        <v>37</v>
      </c>
      <c r="EC142" s="39" t="s">
        <v>37</v>
      </c>
      <c r="EG142" s="39" t="s">
        <v>37</v>
      </c>
      <c r="EJ142" s="39">
        <f t="shared" si="163"/>
        <v>2</v>
      </c>
      <c r="EK142" s="39">
        <f t="shared" si="182"/>
        <v>93.93</v>
      </c>
      <c r="EO142" s="39">
        <v>93.93</v>
      </c>
      <c r="EP142" s="39" t="s">
        <v>1121</v>
      </c>
      <c r="ER142" s="39">
        <f t="shared" si="165"/>
        <v>2</v>
      </c>
      <c r="ES142" s="39">
        <f t="shared" ref="ES142:ES155" si="188">EW142</f>
        <v>77.239999999999995</v>
      </c>
      <c r="EW142" s="39">
        <v>77.239999999999995</v>
      </c>
      <c r="EX142" s="39" t="s">
        <v>1121</v>
      </c>
      <c r="EZ142" s="42">
        <v>0</v>
      </c>
      <c r="FA142" s="39" t="s">
        <v>37</v>
      </c>
      <c r="FE142" s="39" t="s">
        <v>37</v>
      </c>
      <c r="FH142" s="39">
        <v>5</v>
      </c>
      <c r="FI142" s="39" t="s">
        <v>37</v>
      </c>
      <c r="FM142" s="142" t="s">
        <v>37</v>
      </c>
      <c r="FQ142" s="142" t="s">
        <v>37</v>
      </c>
      <c r="FU142" s="142" t="s">
        <v>37</v>
      </c>
      <c r="FY142" s="142" t="s">
        <v>37</v>
      </c>
      <c r="GB142" s="39">
        <v>2</v>
      </c>
      <c r="GC142" s="39" t="s">
        <v>2561</v>
      </c>
      <c r="GG142" s="39" t="s">
        <v>2561</v>
      </c>
      <c r="GH142" s="39" t="s">
        <v>366</v>
      </c>
      <c r="GJ142" s="39">
        <f t="shared" si="169"/>
        <v>4</v>
      </c>
      <c r="GK142" s="43">
        <f t="shared" si="170"/>
        <v>3.2715568622442237E-2</v>
      </c>
      <c r="GN142" s="39">
        <v>3.33</v>
      </c>
      <c r="GO142" s="39" t="s">
        <v>2562</v>
      </c>
      <c r="GP142" s="39" t="s">
        <v>366</v>
      </c>
      <c r="GS142" s="69">
        <v>101.78640140510001</v>
      </c>
      <c r="GT142" s="39" t="s">
        <v>144</v>
      </c>
      <c r="GV142" s="39">
        <f t="shared" si="185"/>
        <v>0</v>
      </c>
      <c r="GW142" s="39" t="s">
        <v>37</v>
      </c>
      <c r="HA142" s="39" t="s">
        <v>37</v>
      </c>
      <c r="HE142" s="69">
        <v>406.02717174269998</v>
      </c>
      <c r="HF142" s="39" t="s">
        <v>144</v>
      </c>
      <c r="HH142" s="39">
        <f t="shared" si="186"/>
        <v>1</v>
      </c>
      <c r="HI142" s="43">
        <f t="shared" si="187"/>
        <v>0.15552214520597299</v>
      </c>
      <c r="HM142" s="39">
        <v>10.77</v>
      </c>
      <c r="HN142" s="39" t="s">
        <v>366</v>
      </c>
      <c r="HQ142" s="78">
        <v>69.250587983700001</v>
      </c>
      <c r="HR142" s="39" t="s">
        <v>144</v>
      </c>
      <c r="HT142" s="39">
        <f>IF(HU142="数据缺失",0,IF(HU142&lt;5%,4,IF(HU142&lt;=10%,3,IF(HU142&lt;30%,2,IF(HU142&lt;=100%,1,0)))))</f>
        <v>2</v>
      </c>
      <c r="HU142" s="40">
        <v>0.1431</v>
      </c>
      <c r="HY142" s="39">
        <v>8</v>
      </c>
      <c r="HZ142" s="39" t="s">
        <v>366</v>
      </c>
      <c r="IC142" s="39">
        <v>55.92</v>
      </c>
      <c r="ID142" s="39" t="s">
        <v>144</v>
      </c>
      <c r="IR142" s="42">
        <f t="shared" si="183"/>
        <v>0</v>
      </c>
      <c r="IS142" s="39" t="s">
        <v>37</v>
      </c>
      <c r="IW142" s="39" t="s">
        <v>2563</v>
      </c>
      <c r="JA142" s="69">
        <v>89.7039628351</v>
      </c>
      <c r="JB142" s="39" t="s">
        <v>144</v>
      </c>
      <c r="JD142" s="39">
        <f>IF(JE142="数据缺失",0,IF(JE142&lt;0%,0,IF(JE142&lt;4%,1,IF(JE142&lt;6%,2,IF(JE142&lt;8%,3,4)))))</f>
        <v>3</v>
      </c>
      <c r="JE142" s="46">
        <f>JI142/JM142/(JQ142+JU142)*2</f>
        <v>7.6056809780366566E-2</v>
      </c>
      <c r="JI142" s="39">
        <v>18.62</v>
      </c>
      <c r="JJ142" s="39" t="s">
        <v>2556</v>
      </c>
      <c r="JM142" s="39">
        <v>1.7</v>
      </c>
      <c r="JN142" s="39" t="s">
        <v>2556</v>
      </c>
      <c r="JQ142" s="39">
        <v>162.63</v>
      </c>
      <c r="JR142" s="39" t="s">
        <v>2556</v>
      </c>
      <c r="JU142" s="39">
        <v>125.39</v>
      </c>
      <c r="JV142" s="39" t="s">
        <v>2557</v>
      </c>
      <c r="JX142" s="39">
        <v>2</v>
      </c>
      <c r="JY142" s="39" t="s">
        <v>2551</v>
      </c>
      <c r="KB142" s="39">
        <v>3</v>
      </c>
      <c r="KC142" s="39" t="s">
        <v>2551</v>
      </c>
      <c r="KD142" s="39" t="s">
        <v>366</v>
      </c>
      <c r="KF142" s="39">
        <f t="shared" si="180"/>
        <v>1</v>
      </c>
      <c r="KG142" s="43">
        <f>KK142/KO142</f>
        <v>0.10958267270834157</v>
      </c>
      <c r="KK142" s="42">
        <v>9.83</v>
      </c>
      <c r="KL142" s="39" t="s">
        <v>366</v>
      </c>
      <c r="KO142" s="69">
        <v>89.7039628351</v>
      </c>
      <c r="KP142" s="39" t="s">
        <v>2564</v>
      </c>
    </row>
    <row r="143" spans="2:302" s="39" customFormat="1" ht="13.5" hidden="1" customHeight="1" x14ac:dyDescent="0.35">
      <c r="B143" s="39" t="s">
        <v>2565</v>
      </c>
      <c r="C143" s="39" t="s">
        <v>2304</v>
      </c>
      <c r="D143" s="39" t="s">
        <v>2482</v>
      </c>
      <c r="E143" s="39" t="s">
        <v>197</v>
      </c>
      <c r="F143" s="39" t="s">
        <v>2566</v>
      </c>
      <c r="G143" s="3" t="s">
        <v>199</v>
      </c>
      <c r="H143" s="40">
        <f>20.166742/21.876088</f>
        <v>0.92186235491464474</v>
      </c>
      <c r="L143" s="42">
        <v>2</v>
      </c>
      <c r="M143" s="39" t="s">
        <v>2567</v>
      </c>
      <c r="P143" s="233" t="s">
        <v>2900</v>
      </c>
      <c r="Q143" s="39" t="s">
        <v>2568</v>
      </c>
      <c r="R143" s="39" t="s">
        <v>2569</v>
      </c>
      <c r="T143" s="39" t="s">
        <v>111</v>
      </c>
      <c r="U143" s="142">
        <v>0.66830000000000001</v>
      </c>
      <c r="X143" s="39">
        <f t="shared" si="150"/>
        <v>5</v>
      </c>
      <c r="Y143" s="43">
        <f t="shared" si="151"/>
        <v>-0.17396945239954884</v>
      </c>
      <c r="AC143" s="39">
        <v>3.69</v>
      </c>
      <c r="AD143" s="39" t="s">
        <v>2570</v>
      </c>
      <c r="AG143" s="39">
        <v>8.35</v>
      </c>
      <c r="AH143" s="39" t="s">
        <v>2570</v>
      </c>
      <c r="AK143" s="39">
        <v>6.9</v>
      </c>
      <c r="AL143" s="39" t="s">
        <v>2570</v>
      </c>
      <c r="AN143" s="39">
        <f t="shared" si="152"/>
        <v>5</v>
      </c>
      <c r="AO143" s="43">
        <f t="shared" si="153"/>
        <v>-0.26698586411308717</v>
      </c>
      <c r="AS143" s="39">
        <v>1.68</v>
      </c>
      <c r="AT143" s="39" t="s">
        <v>2569</v>
      </c>
      <c r="AW143" s="39">
        <v>4.08</v>
      </c>
      <c r="AX143" s="39" t="s">
        <v>2570</v>
      </c>
      <c r="BA143" s="39">
        <v>3.87</v>
      </c>
      <c r="BB143" s="39" t="s">
        <v>2569</v>
      </c>
      <c r="BD143" s="2">
        <f t="shared" si="149"/>
        <v>5</v>
      </c>
      <c r="BE143" s="39">
        <f t="shared" si="154"/>
        <v>3.69</v>
      </c>
      <c r="BI143" s="39">
        <v>3.69</v>
      </c>
      <c r="BJ143" s="39" t="s">
        <v>2570</v>
      </c>
      <c r="BL143" s="2">
        <f t="shared" si="155"/>
        <v>5</v>
      </c>
      <c r="BM143" s="39">
        <f t="shared" si="156"/>
        <v>1.68</v>
      </c>
      <c r="BQ143" s="39">
        <v>1.68</v>
      </c>
      <c r="BR143" s="39" t="s">
        <v>2569</v>
      </c>
      <c r="BT143" s="8">
        <f t="shared" si="157"/>
        <v>2</v>
      </c>
      <c r="BU143" s="39">
        <v>57</v>
      </c>
      <c r="BY143" s="39">
        <v>57</v>
      </c>
      <c r="BZ143" s="76" t="s">
        <v>331</v>
      </c>
      <c r="CA143" s="39" t="s">
        <v>2571</v>
      </c>
      <c r="CB143" s="39">
        <v>0</v>
      </c>
      <c r="CC143" s="39" t="s">
        <v>37</v>
      </c>
      <c r="CF143" s="39" t="s">
        <v>2572</v>
      </c>
      <c r="CG143" s="39" t="s">
        <v>1192</v>
      </c>
      <c r="CJ143" s="39">
        <f t="shared" si="158"/>
        <v>0</v>
      </c>
      <c r="CK143" s="39" t="s">
        <v>37</v>
      </c>
      <c r="CO143" s="39" t="s">
        <v>2572</v>
      </c>
      <c r="CS143" s="39">
        <v>3.69</v>
      </c>
      <c r="CT143" s="39" t="s">
        <v>2573</v>
      </c>
      <c r="CV143" s="39">
        <f t="shared" si="159"/>
        <v>0</v>
      </c>
      <c r="CW143" s="39" t="str">
        <f>DA143</f>
        <v>数据缺失</v>
      </c>
      <c r="DA143" s="39" t="s">
        <v>37</v>
      </c>
      <c r="DD143" s="39">
        <v>0</v>
      </c>
      <c r="DE143" s="48" t="s">
        <v>37</v>
      </c>
      <c r="DI143" s="39">
        <v>1.68</v>
      </c>
      <c r="DJ143" s="39" t="s">
        <v>2569</v>
      </c>
      <c r="DM143" s="40" t="s">
        <v>2572</v>
      </c>
      <c r="DP143" s="39">
        <v>5</v>
      </c>
      <c r="DQ143" s="40" t="s">
        <v>2572</v>
      </c>
      <c r="DU143" s="40" t="s">
        <v>37</v>
      </c>
      <c r="DY143" s="40" t="s">
        <v>2572</v>
      </c>
      <c r="EC143" s="40" t="s">
        <v>2572</v>
      </c>
      <c r="EG143" s="40" t="s">
        <v>2572</v>
      </c>
      <c r="EJ143" s="39">
        <f t="shared" si="163"/>
        <v>5</v>
      </c>
      <c r="EK143" s="39">
        <f t="shared" si="182"/>
        <v>0</v>
      </c>
      <c r="EO143" s="39">
        <v>0</v>
      </c>
      <c r="EP143" s="39" t="s">
        <v>2574</v>
      </c>
      <c r="ER143" s="39">
        <f t="shared" si="165"/>
        <v>5</v>
      </c>
      <c r="ES143" s="39">
        <f t="shared" si="188"/>
        <v>0</v>
      </c>
      <c r="EW143" s="39">
        <v>0</v>
      </c>
      <c r="EX143" s="39" t="s">
        <v>2574</v>
      </c>
      <c r="EZ143" s="42">
        <f t="shared" ref="EZ143:EZ151" si="189">IF(FA143="数据缺失",0,IF(FA143&lt;0%,0,IF(FA143&lt;=50,4,IF(FA143&lt;100,3,IF(FA143&lt;200,2,1)))))</f>
        <v>0</v>
      </c>
      <c r="FA143" s="39" t="str">
        <f t="shared" ref="FA143:FA151" si="190">FE143</f>
        <v>数据缺失</v>
      </c>
      <c r="FE143" s="142" t="s">
        <v>2572</v>
      </c>
      <c r="FH143" s="42">
        <v>5</v>
      </c>
      <c r="FI143" s="142" t="s">
        <v>2572</v>
      </c>
      <c r="FM143" s="142" t="s">
        <v>2572</v>
      </c>
      <c r="FQ143" s="142" t="s">
        <v>37</v>
      </c>
      <c r="FU143" s="142" t="s">
        <v>2572</v>
      </c>
      <c r="FY143" s="142" t="s">
        <v>37</v>
      </c>
      <c r="GB143" s="39">
        <v>2</v>
      </c>
      <c r="GC143" s="39" t="s">
        <v>2575</v>
      </c>
      <c r="GG143" s="39" t="s">
        <v>2575</v>
      </c>
      <c r="GH143" s="39" t="s">
        <v>2576</v>
      </c>
      <c r="GJ143" s="39">
        <f t="shared" si="169"/>
        <v>1</v>
      </c>
      <c r="GK143" s="43">
        <f t="shared" si="170"/>
        <v>0.77024740438052741</v>
      </c>
      <c r="GN143" s="39">
        <f>14.22+1.59+1.04</f>
        <v>16.850000000000001</v>
      </c>
      <c r="GO143" s="39" t="s">
        <v>2577</v>
      </c>
      <c r="GP143" s="39" t="s">
        <v>2576</v>
      </c>
      <c r="GS143" s="69">
        <v>21.876087999999999</v>
      </c>
      <c r="GT143" s="39" t="s">
        <v>2578</v>
      </c>
      <c r="GV143" s="39">
        <f t="shared" si="185"/>
        <v>4</v>
      </c>
      <c r="GW143" s="43">
        <f>HA143/HE143*100%</f>
        <v>0.67899829045859739</v>
      </c>
      <c r="HA143" s="39">
        <v>225.7</v>
      </c>
      <c r="HB143" s="39" t="s">
        <v>2569</v>
      </c>
      <c r="HE143" s="69">
        <v>332.40142600000001</v>
      </c>
      <c r="HF143" s="39" t="s">
        <v>2578</v>
      </c>
      <c r="HH143" s="39">
        <f t="shared" si="186"/>
        <v>1</v>
      </c>
      <c r="HI143" s="43">
        <f t="shared" si="187"/>
        <v>5.9137087244052179E-2</v>
      </c>
      <c r="HM143" s="39">
        <v>0.53</v>
      </c>
      <c r="HN143" s="39" t="s">
        <v>2570</v>
      </c>
      <c r="HQ143" s="78">
        <v>8.9622270000000004</v>
      </c>
      <c r="HR143" s="39" t="s">
        <v>2579</v>
      </c>
      <c r="HT143" s="39">
        <v>0</v>
      </c>
      <c r="HU143" s="39" t="s">
        <v>37</v>
      </c>
      <c r="HY143" s="39" t="s">
        <v>37</v>
      </c>
      <c r="IC143" s="69">
        <v>56.999644000000004</v>
      </c>
      <c r="ID143" s="39" t="s">
        <v>2578</v>
      </c>
      <c r="IR143" s="42">
        <f t="shared" si="183"/>
        <v>0</v>
      </c>
      <c r="IS143" s="39" t="s">
        <v>37</v>
      </c>
      <c r="IW143" s="39" t="s">
        <v>37</v>
      </c>
      <c r="JA143" s="69">
        <v>181.33217200000001</v>
      </c>
      <c r="JB143" s="39" t="s">
        <v>144</v>
      </c>
      <c r="JD143" s="39">
        <f t="shared" ref="JD143:JD155" si="191">IF(JE143="数据缺失",0,IF(JE143&lt;0%,0,IF(JE143&lt;4%,1,IF(JE143&lt;6%,2,IF(JE143&lt;8%,3,4)))))</f>
        <v>3</v>
      </c>
      <c r="JE143" s="43">
        <f t="shared" ref="JE143:JE155" si="192">JI143/JM143/(JQ143+JU143)*2</f>
        <v>6.9445231315420575E-2</v>
      </c>
      <c r="JI143" s="39">
        <v>18.079999999999998</v>
      </c>
      <c r="JJ143" s="39" t="s">
        <v>2569</v>
      </c>
      <c r="JM143" s="39">
        <v>2.21</v>
      </c>
      <c r="JN143" s="39" t="s">
        <v>2569</v>
      </c>
      <c r="JQ143" s="39">
        <v>99.86</v>
      </c>
      <c r="JR143" s="39" t="s">
        <v>2569</v>
      </c>
      <c r="JU143" s="39">
        <v>135.75</v>
      </c>
      <c r="JV143" s="39" t="s">
        <v>2569</v>
      </c>
      <c r="JW143" s="14"/>
      <c r="JX143" s="39">
        <v>2</v>
      </c>
      <c r="JY143" s="39" t="s">
        <v>2580</v>
      </c>
      <c r="KB143" s="39">
        <v>9</v>
      </c>
      <c r="KC143" s="39" t="s">
        <v>2580</v>
      </c>
      <c r="KD143" s="39" t="s">
        <v>2576</v>
      </c>
      <c r="KF143" s="39">
        <f t="shared" si="180"/>
        <v>0</v>
      </c>
      <c r="KG143" s="39" t="s">
        <v>37</v>
      </c>
      <c r="KK143" s="42" t="s">
        <v>37</v>
      </c>
      <c r="KO143" s="69">
        <v>181.33217200000001</v>
      </c>
      <c r="KP143" s="39" t="s">
        <v>144</v>
      </c>
    </row>
    <row r="144" spans="2:302" s="39" customFormat="1" ht="13.5" hidden="1" customHeight="1" x14ac:dyDescent="0.35">
      <c r="B144" s="39" t="s">
        <v>2581</v>
      </c>
      <c r="C144" s="39" t="s">
        <v>2304</v>
      </c>
      <c r="D144" s="39" t="s">
        <v>2482</v>
      </c>
      <c r="E144" s="39" t="s">
        <v>2582</v>
      </c>
      <c r="F144" s="39" t="s">
        <v>2583</v>
      </c>
      <c r="G144" s="3" t="s">
        <v>199</v>
      </c>
      <c r="H144" s="40">
        <f>109.59/GS143</f>
        <v>5.0095794092618391</v>
      </c>
      <c r="L144" s="42">
        <v>4</v>
      </c>
      <c r="M144" s="39" t="s">
        <v>2584</v>
      </c>
      <c r="P144" s="39" t="s">
        <v>126</v>
      </c>
      <c r="Q144" s="39" t="s">
        <v>1021</v>
      </c>
      <c r="R144" s="39" t="s">
        <v>411</v>
      </c>
      <c r="T144" s="39" t="s">
        <v>129</v>
      </c>
      <c r="U144" s="40">
        <f>74.8%*39.63%</f>
        <v>0.29643240000000004</v>
      </c>
      <c r="X144" s="39">
        <f t="shared" si="150"/>
        <v>1</v>
      </c>
      <c r="Y144" s="43">
        <f t="shared" si="151"/>
        <v>0.51717313585291114</v>
      </c>
      <c r="AC144" s="39">
        <v>186</v>
      </c>
      <c r="AD144" s="39" t="s">
        <v>2585</v>
      </c>
      <c r="AG144" s="39">
        <v>176</v>
      </c>
      <c r="AH144" s="39" t="s">
        <v>2586</v>
      </c>
      <c r="AK144" s="39">
        <v>89</v>
      </c>
      <c r="AL144" s="39" t="s">
        <v>2587</v>
      </c>
      <c r="AN144" s="39">
        <f t="shared" si="152"/>
        <v>1</v>
      </c>
      <c r="AO144" s="43">
        <f t="shared" si="153"/>
        <v>0.3712355876785407</v>
      </c>
      <c r="AS144" s="39">
        <v>248</v>
      </c>
      <c r="AT144" s="39" t="s">
        <v>2585</v>
      </c>
      <c r="AW144" s="39">
        <v>298</v>
      </c>
      <c r="AX144" s="39" t="s">
        <v>2586</v>
      </c>
      <c r="BA144" s="39">
        <v>156</v>
      </c>
      <c r="BB144" s="39" t="s">
        <v>2586</v>
      </c>
      <c r="BD144" s="2">
        <f t="shared" si="149"/>
        <v>3</v>
      </c>
      <c r="BE144" s="39">
        <f t="shared" si="154"/>
        <v>186</v>
      </c>
      <c r="BI144" s="39">
        <v>186</v>
      </c>
      <c r="BJ144" s="39" t="s">
        <v>2585</v>
      </c>
      <c r="BL144" s="2">
        <f t="shared" si="155"/>
        <v>3</v>
      </c>
      <c r="BM144" s="39">
        <f t="shared" si="156"/>
        <v>248</v>
      </c>
      <c r="BQ144" s="39">
        <v>248</v>
      </c>
      <c r="BR144" s="39" t="s">
        <v>2586</v>
      </c>
      <c r="BT144" s="8">
        <f t="shared" si="157"/>
        <v>3</v>
      </c>
      <c r="BU144" s="39">
        <f t="shared" ref="BU144:BU155" si="193">BY144</f>
        <v>101</v>
      </c>
      <c r="BY144" s="39">
        <v>101</v>
      </c>
      <c r="BZ144" s="76" t="s">
        <v>2588</v>
      </c>
      <c r="CB144" s="39">
        <v>1</v>
      </c>
      <c r="CC144" s="39" t="s">
        <v>133</v>
      </c>
      <c r="CF144" s="39" t="s">
        <v>132</v>
      </c>
      <c r="CG144" s="39" t="s">
        <v>2506</v>
      </c>
      <c r="CH144" s="39" t="s">
        <v>2589</v>
      </c>
      <c r="CJ144" s="39">
        <f t="shared" si="158"/>
        <v>0</v>
      </c>
      <c r="CK144" s="48" t="s">
        <v>37</v>
      </c>
      <c r="CO144" s="39" t="s">
        <v>2590</v>
      </c>
      <c r="CS144" s="39">
        <v>186</v>
      </c>
      <c r="CT144" s="39" t="s">
        <v>2586</v>
      </c>
      <c r="CV144" s="39">
        <f t="shared" si="159"/>
        <v>2</v>
      </c>
      <c r="CW144" s="39">
        <f t="shared" ref="CW144:CW150" si="194">DA144</f>
        <v>1294.3399999999999</v>
      </c>
      <c r="DA144" s="39">
        <v>1294.3399999999999</v>
      </c>
      <c r="DB144" s="39" t="s">
        <v>2585</v>
      </c>
      <c r="DD144" s="39">
        <f t="shared" ref="DD144:DD155" si="195">IF(DE144="数据缺失",0,IF(DE144&lt;0,0,IF(DE144&lt;2,3,IF(DE144&lt;=5,1,2))))</f>
        <v>2</v>
      </c>
      <c r="DE144" s="48">
        <f>DM144/DI144</f>
        <v>5.2191129032258061</v>
      </c>
      <c r="DI144" s="39">
        <v>248</v>
      </c>
      <c r="DJ144" s="39" t="s">
        <v>2586</v>
      </c>
      <c r="DM144" s="39">
        <v>1294.3399999999999</v>
      </c>
      <c r="DN144" s="39" t="s">
        <v>2586</v>
      </c>
      <c r="DP144" s="39">
        <v>6</v>
      </c>
      <c r="DQ144" s="39" t="s">
        <v>2591</v>
      </c>
      <c r="DU144" s="40">
        <v>0</v>
      </c>
      <c r="DV144" s="39" t="s">
        <v>2586</v>
      </c>
      <c r="DY144" s="40">
        <v>5.8999999999999999E-3</v>
      </c>
      <c r="DZ144" s="39" t="s">
        <v>2586</v>
      </c>
      <c r="EC144" s="40">
        <v>0.96919999999999995</v>
      </c>
      <c r="ED144" s="39" t="s">
        <v>2585</v>
      </c>
      <c r="EG144" s="40">
        <v>2.4899999999999999E-2</v>
      </c>
      <c r="EH144" s="39" t="s">
        <v>2586</v>
      </c>
      <c r="EJ144" s="39">
        <f t="shared" si="163"/>
        <v>5</v>
      </c>
      <c r="EK144" s="39">
        <f t="shared" si="182"/>
        <v>0</v>
      </c>
      <c r="EO144" s="39">
        <v>0</v>
      </c>
      <c r="EP144" s="39" t="s">
        <v>2589</v>
      </c>
      <c r="ER144" s="39">
        <f t="shared" si="165"/>
        <v>5</v>
      </c>
      <c r="ES144" s="39">
        <f t="shared" si="188"/>
        <v>0</v>
      </c>
      <c r="EW144" s="39">
        <v>0</v>
      </c>
      <c r="EX144" s="39" t="s">
        <v>2589</v>
      </c>
      <c r="EZ144" s="42">
        <f t="shared" si="189"/>
        <v>1</v>
      </c>
      <c r="FA144" s="39">
        <f t="shared" si="190"/>
        <v>1857</v>
      </c>
      <c r="FE144" s="39">
        <v>1857</v>
      </c>
      <c r="FF144" s="39" t="s">
        <v>2585</v>
      </c>
      <c r="FH144" s="176">
        <v>6</v>
      </c>
      <c r="FI144" s="39" t="s">
        <v>2592</v>
      </c>
      <c r="FM144" s="142">
        <v>0</v>
      </c>
      <c r="FN144" s="39" t="s">
        <v>2587</v>
      </c>
      <c r="FQ144" s="40">
        <v>5.8999999999999999E-3</v>
      </c>
      <c r="FR144" s="39" t="s">
        <v>2586</v>
      </c>
      <c r="FU144" s="142">
        <v>0.95799999999999996</v>
      </c>
      <c r="FV144" s="39" t="s">
        <v>2585</v>
      </c>
      <c r="FY144" s="40">
        <v>3.61E-2</v>
      </c>
      <c r="FZ144" s="39" t="s">
        <v>2586</v>
      </c>
      <c r="GB144" s="39">
        <v>2</v>
      </c>
      <c r="GC144" s="39" t="s">
        <v>2593</v>
      </c>
      <c r="GG144" s="39" t="s">
        <v>2594</v>
      </c>
      <c r="GH144" s="39" t="s">
        <v>2595</v>
      </c>
      <c r="GJ144" s="39">
        <f t="shared" si="169"/>
        <v>4</v>
      </c>
      <c r="GK144" s="43">
        <f t="shared" si="170"/>
        <v>1.2729450132458507E-2</v>
      </c>
      <c r="GN144" s="39">
        <v>1.45</v>
      </c>
      <c r="GO144" s="39" t="s">
        <v>2596</v>
      </c>
      <c r="GP144" s="39" t="s">
        <v>2597</v>
      </c>
      <c r="GS144" s="69">
        <v>113.9090836534</v>
      </c>
      <c r="GT144" s="39" t="s">
        <v>2598</v>
      </c>
      <c r="GV144" s="39">
        <f t="shared" si="185"/>
        <v>2</v>
      </c>
      <c r="GW144" s="43">
        <f>HA144/HE144*100%</f>
        <v>0.26984701079671541</v>
      </c>
      <c r="HA144" s="39">
        <v>117.1</v>
      </c>
      <c r="HB144" s="39" t="s">
        <v>2585</v>
      </c>
      <c r="HE144" s="69">
        <v>433.94959111930001</v>
      </c>
      <c r="HF144" s="39" t="s">
        <v>144</v>
      </c>
      <c r="HH144" s="39">
        <f t="shared" si="186"/>
        <v>3</v>
      </c>
      <c r="HI144" s="43">
        <f t="shared" si="187"/>
        <v>0.4333313579447774</v>
      </c>
      <c r="HM144" s="39">
        <f>15.28+7.27</f>
        <v>22.549999999999997</v>
      </c>
      <c r="HN144" s="39" t="s">
        <v>2585</v>
      </c>
      <c r="HQ144" s="78">
        <v>52.038698761499994</v>
      </c>
      <c r="HR144" s="39" t="s">
        <v>144</v>
      </c>
      <c r="HT144" s="39">
        <f>IF(HU144="数据缺失",0,IF(HU144&lt;5%,4,IF(HU144&lt;=10%,3,IF(HU144&lt;30%,2,IF(HU144&lt;=100%,1,0)))))</f>
        <v>4</v>
      </c>
      <c r="HU144" s="39">
        <f t="shared" ref="HU144:HU158" si="196">HY144/IC144</f>
        <v>0</v>
      </c>
      <c r="HY144" s="39">
        <v>0</v>
      </c>
      <c r="HZ144" s="39" t="s">
        <v>411</v>
      </c>
      <c r="IC144" s="39">
        <v>74.61</v>
      </c>
      <c r="ID144" s="39" t="s">
        <v>144</v>
      </c>
      <c r="IR144" s="42">
        <f t="shared" si="183"/>
        <v>2</v>
      </c>
      <c r="IS144" s="43">
        <f>IW144/JA144</f>
        <v>2.0798078436032501</v>
      </c>
      <c r="IW144" s="39">
        <v>158.80000000000001</v>
      </c>
      <c r="IX144" s="39" t="s">
        <v>2589</v>
      </c>
      <c r="IY144" s="39" t="s">
        <v>401</v>
      </c>
      <c r="JA144" s="69">
        <v>76.35320757560001</v>
      </c>
      <c r="JB144" s="39" t="s">
        <v>144</v>
      </c>
      <c r="JD144" s="39">
        <f t="shared" si="191"/>
        <v>4</v>
      </c>
      <c r="JE144" s="43">
        <f t="shared" si="192"/>
        <v>0.10707306481380957</v>
      </c>
      <c r="JI144" s="39">
        <v>23.67</v>
      </c>
      <c r="JJ144" s="39" t="s">
        <v>2586</v>
      </c>
      <c r="JM144" s="39">
        <v>1.51</v>
      </c>
      <c r="JN144" s="39" t="s">
        <v>2585</v>
      </c>
      <c r="JQ144" s="39">
        <v>142.55000000000001</v>
      </c>
      <c r="JR144" s="39" t="s">
        <v>2585</v>
      </c>
      <c r="JU144" s="39">
        <v>150.25</v>
      </c>
      <c r="JV144" s="39" t="s">
        <v>2585</v>
      </c>
      <c r="JX144" s="39">
        <v>2</v>
      </c>
      <c r="JY144" s="39" t="s">
        <v>2599</v>
      </c>
      <c r="KB144" s="39">
        <v>8</v>
      </c>
      <c r="KC144" s="39" t="s">
        <v>2600</v>
      </c>
      <c r="KD144" s="39" t="s">
        <v>411</v>
      </c>
      <c r="KF144" s="39">
        <f t="shared" si="180"/>
        <v>3</v>
      </c>
      <c r="KG144" s="43">
        <f>KK144/KO144</f>
        <v>0.62119197746915711</v>
      </c>
      <c r="KK144" s="177">
        <v>47.43</v>
      </c>
      <c r="KL144" s="39" t="s">
        <v>411</v>
      </c>
      <c r="KM144" s="39" t="s">
        <v>2601</v>
      </c>
      <c r="KO144" s="69">
        <v>76.35320757560001</v>
      </c>
      <c r="KP144" s="39" t="s">
        <v>144</v>
      </c>
    </row>
    <row r="145" spans="2:302" s="36" customFormat="1" ht="15.75" hidden="1" customHeight="1" x14ac:dyDescent="0.35">
      <c r="B145" s="36" t="s">
        <v>2602</v>
      </c>
      <c r="C145" s="36" t="s">
        <v>2205</v>
      </c>
      <c r="D145" s="36" t="s">
        <v>170</v>
      </c>
      <c r="E145" s="36" t="s">
        <v>197</v>
      </c>
      <c r="F145" s="36" t="s">
        <v>2603</v>
      </c>
      <c r="G145" s="3" t="s">
        <v>174</v>
      </c>
      <c r="H145" s="41">
        <v>0.97389999999999999</v>
      </c>
      <c r="L145" s="3">
        <v>4</v>
      </c>
      <c r="M145" s="36" t="s">
        <v>2604</v>
      </c>
      <c r="P145" s="119" t="s">
        <v>126</v>
      </c>
      <c r="Q145" s="36" t="s">
        <v>2605</v>
      </c>
      <c r="R145" s="36" t="s">
        <v>2606</v>
      </c>
      <c r="T145" s="119" t="s">
        <v>203</v>
      </c>
      <c r="U145" s="41">
        <v>0.66120000000000001</v>
      </c>
      <c r="X145" s="36">
        <f t="shared" si="150"/>
        <v>2</v>
      </c>
      <c r="Y145" s="5">
        <f t="shared" si="151"/>
        <v>0.16694753318710406</v>
      </c>
      <c r="AC145" s="36">
        <v>70.31</v>
      </c>
      <c r="AD145" s="36" t="s">
        <v>2607</v>
      </c>
      <c r="AG145" s="36">
        <v>40.700000000000003</v>
      </c>
      <c r="AH145" s="36" t="s">
        <v>2607</v>
      </c>
      <c r="AK145" s="36">
        <v>67.12</v>
      </c>
      <c r="AL145" s="36" t="s">
        <v>2607</v>
      </c>
      <c r="AN145" s="36">
        <f t="shared" si="152"/>
        <v>4</v>
      </c>
      <c r="AO145" s="5">
        <f>((AS145-AW145)/AW145+(AW145-BA145)/BA145)/2*100%</f>
        <v>-4.4203411625723388E-4</v>
      </c>
      <c r="AS145" s="36">
        <v>43.73</v>
      </c>
      <c r="AT145" s="36" t="s">
        <v>2607</v>
      </c>
      <c r="AW145" s="36">
        <v>31.64</v>
      </c>
      <c r="AX145" s="36" t="s">
        <v>2608</v>
      </c>
      <c r="BA145" s="36">
        <v>51.28</v>
      </c>
      <c r="BB145" s="36" t="s">
        <v>2607</v>
      </c>
      <c r="BD145" s="2">
        <f t="shared" si="149"/>
        <v>4</v>
      </c>
      <c r="BE145" s="36">
        <f t="shared" si="154"/>
        <v>70.31</v>
      </c>
      <c r="BI145" s="36">
        <f>AC145</f>
        <v>70.31</v>
      </c>
      <c r="BJ145" s="36" t="s">
        <v>2608</v>
      </c>
      <c r="BL145" s="2">
        <f t="shared" si="155"/>
        <v>5</v>
      </c>
      <c r="BM145" s="36">
        <f t="shared" si="156"/>
        <v>43.73</v>
      </c>
      <c r="BQ145" s="36">
        <f>AS145</f>
        <v>43.73</v>
      </c>
      <c r="BR145" s="36" t="s">
        <v>2607</v>
      </c>
      <c r="BT145" s="8">
        <f t="shared" si="157"/>
        <v>3</v>
      </c>
      <c r="BU145" s="36">
        <f t="shared" si="193"/>
        <v>143</v>
      </c>
      <c r="BY145" s="36">
        <v>143</v>
      </c>
      <c r="BZ145" s="36" t="s">
        <v>234</v>
      </c>
      <c r="CA145" s="36" t="s">
        <v>2609</v>
      </c>
      <c r="CB145" s="36">
        <v>1</v>
      </c>
      <c r="CC145" s="36" t="s">
        <v>2610</v>
      </c>
      <c r="CF145" s="119" t="s">
        <v>132</v>
      </c>
      <c r="CG145" s="36" t="s">
        <v>2611</v>
      </c>
      <c r="CH145" s="36" t="s">
        <v>2608</v>
      </c>
      <c r="CJ145" s="36">
        <f t="shared" si="158"/>
        <v>2</v>
      </c>
      <c r="CK145" s="53">
        <f>CO145/CS145</f>
        <v>6.1299957331816236E-2</v>
      </c>
      <c r="CO145" s="36">
        <v>4.3099999999999996</v>
      </c>
      <c r="CP145" s="36" t="s">
        <v>2606</v>
      </c>
      <c r="CQ145" s="36" t="s">
        <v>2612</v>
      </c>
      <c r="CS145" s="36">
        <f>AC145</f>
        <v>70.31</v>
      </c>
      <c r="CT145" s="36" t="s">
        <v>2608</v>
      </c>
      <c r="CV145" s="36">
        <f t="shared" si="159"/>
        <v>4</v>
      </c>
      <c r="CW145" s="36">
        <f t="shared" si="194"/>
        <v>257.33999999999997</v>
      </c>
      <c r="DA145" s="191">
        <v>257.33999999999997</v>
      </c>
      <c r="DB145" s="36" t="s">
        <v>146</v>
      </c>
      <c r="DC145" s="36" t="s">
        <v>1315</v>
      </c>
      <c r="DD145" s="36">
        <f t="shared" si="195"/>
        <v>2</v>
      </c>
      <c r="DE145" s="53">
        <f>DM145/DI145</f>
        <v>5.8847473130573977</v>
      </c>
      <c r="DI145" s="37">
        <f>BQ145</f>
        <v>43.73</v>
      </c>
      <c r="DJ145" s="36" t="s">
        <v>2608</v>
      </c>
      <c r="DM145" s="191">
        <v>257.33999999999997</v>
      </c>
      <c r="DN145" s="36" t="s">
        <v>146</v>
      </c>
      <c r="DO145" s="36" t="s">
        <v>2465</v>
      </c>
      <c r="DP145" s="36">
        <v>4</v>
      </c>
      <c r="DQ145" s="36" t="s">
        <v>2613</v>
      </c>
      <c r="DS145" s="36" t="s">
        <v>2614</v>
      </c>
      <c r="DU145" s="86">
        <v>0</v>
      </c>
      <c r="DV145" s="36" t="s">
        <v>146</v>
      </c>
      <c r="DY145" s="41">
        <v>0.37319999999999998</v>
      </c>
      <c r="DZ145" s="36" t="s">
        <v>2606</v>
      </c>
      <c r="EC145" s="41">
        <v>0.25059999999999999</v>
      </c>
      <c r="ED145" s="36" t="s">
        <v>2606</v>
      </c>
      <c r="EG145" s="41">
        <v>0.35560000000000003</v>
      </c>
      <c r="EH145" s="36" t="s">
        <v>2606</v>
      </c>
      <c r="EJ145" s="36">
        <f t="shared" si="163"/>
        <v>4</v>
      </c>
      <c r="EK145" s="36">
        <f t="shared" si="182"/>
        <v>12.17</v>
      </c>
      <c r="EO145" s="36">
        <v>12.17</v>
      </c>
      <c r="EP145" s="36" t="s">
        <v>2615</v>
      </c>
      <c r="ER145" s="36">
        <f t="shared" si="165"/>
        <v>2</v>
      </c>
      <c r="ES145" s="36">
        <f t="shared" si="188"/>
        <v>96.59</v>
      </c>
      <c r="EW145" s="36">
        <v>96.59</v>
      </c>
      <c r="EX145" s="36" t="s">
        <v>2615</v>
      </c>
      <c r="EZ145" s="3">
        <f t="shared" si="189"/>
        <v>2</v>
      </c>
      <c r="FA145" s="36">
        <f t="shared" si="190"/>
        <v>124.65</v>
      </c>
      <c r="FE145" s="36">
        <v>124.65</v>
      </c>
      <c r="FF145" s="36" t="s">
        <v>146</v>
      </c>
      <c r="FH145" s="36">
        <v>3</v>
      </c>
      <c r="FI145" s="36" t="s">
        <v>2616</v>
      </c>
      <c r="FM145" s="41">
        <v>9.1999999999999998E-2</v>
      </c>
      <c r="FN145" s="36" t="s">
        <v>146</v>
      </c>
      <c r="FQ145" s="41">
        <v>0.78810000000000002</v>
      </c>
      <c r="FR145" s="36" t="s">
        <v>146</v>
      </c>
      <c r="FU145" s="41">
        <v>0.1198</v>
      </c>
      <c r="FV145" s="36" t="s">
        <v>146</v>
      </c>
      <c r="FY145" s="86">
        <v>0</v>
      </c>
      <c r="FZ145" s="36" t="s">
        <v>2606</v>
      </c>
      <c r="GB145" s="36">
        <v>2</v>
      </c>
      <c r="GC145" s="36" t="s">
        <v>2617</v>
      </c>
      <c r="GG145" s="36" t="s">
        <v>2618</v>
      </c>
      <c r="GH145" s="36" t="s">
        <v>2606</v>
      </c>
      <c r="GJ145" s="36">
        <f t="shared" si="169"/>
        <v>4</v>
      </c>
      <c r="GK145" s="5">
        <f t="shared" si="170"/>
        <v>3.1089453530867412E-2</v>
      </c>
      <c r="GN145" s="36">
        <v>2.63</v>
      </c>
      <c r="GO145" s="36" t="s">
        <v>2619</v>
      </c>
      <c r="GP145" s="36" t="s">
        <v>2620</v>
      </c>
      <c r="GS145" s="38">
        <v>84.594603677700007</v>
      </c>
      <c r="GT145" s="36" t="s">
        <v>2578</v>
      </c>
      <c r="GV145" s="36">
        <f t="shared" si="185"/>
        <v>3</v>
      </c>
      <c r="GW145" s="5">
        <f>HA145/HE145*100%</f>
        <v>0.50287303943055872</v>
      </c>
      <c r="HA145" s="36">
        <v>124.29</v>
      </c>
      <c r="HB145" s="36" t="s">
        <v>146</v>
      </c>
      <c r="HE145" s="38">
        <v>247.15980029619999</v>
      </c>
      <c r="HF145" s="36" t="s">
        <v>144</v>
      </c>
      <c r="HH145" s="36">
        <f t="shared" si="186"/>
        <v>3</v>
      </c>
      <c r="HI145" s="5">
        <f t="shared" si="187"/>
        <v>0.45753189009333911</v>
      </c>
      <c r="HM145" s="36">
        <v>10.414</v>
      </c>
      <c r="HN145" s="36" t="s">
        <v>2606</v>
      </c>
      <c r="HQ145" s="83">
        <v>22.761254954000002</v>
      </c>
      <c r="HR145" s="36" t="s">
        <v>2578</v>
      </c>
      <c r="HT145" s="36">
        <f>IF(HU145="数据缺失",0,IF(HU145&lt;5%,4,IF(HU145&lt;=10%,3,IF(HU145&lt;30%,2,IF(HU145&lt;=100%,1,0)))))</f>
        <v>4</v>
      </c>
      <c r="HU145" s="41">
        <f t="shared" si="196"/>
        <v>0</v>
      </c>
      <c r="HY145" s="36">
        <v>0</v>
      </c>
      <c r="HZ145" s="36" t="s">
        <v>146</v>
      </c>
      <c r="IC145" s="36">
        <v>69.45</v>
      </c>
      <c r="ID145" s="36" t="s">
        <v>2578</v>
      </c>
      <c r="IR145" s="3">
        <f t="shared" si="183"/>
        <v>3</v>
      </c>
      <c r="IS145" s="5">
        <f>IW145/JA145</f>
        <v>1.5533590238526589</v>
      </c>
      <c r="IW145" s="36">
        <v>84.25</v>
      </c>
      <c r="IX145" s="36" t="s">
        <v>2606</v>
      </c>
      <c r="JA145" s="38">
        <v>54.2373003963</v>
      </c>
      <c r="JB145" s="36" t="s">
        <v>2621</v>
      </c>
      <c r="JD145" s="36">
        <f t="shared" si="191"/>
        <v>4</v>
      </c>
      <c r="JE145" s="41">
        <f t="shared" si="192"/>
        <v>9.2125721956267947E-2</v>
      </c>
      <c r="JI145" s="36">
        <v>9.32</v>
      </c>
      <c r="JJ145" s="36" t="s">
        <v>2622</v>
      </c>
      <c r="JM145" s="36">
        <v>0.86</v>
      </c>
      <c r="JN145" s="36" t="s">
        <v>146</v>
      </c>
      <c r="JQ145" s="36">
        <v>111.09</v>
      </c>
      <c r="JR145" s="36" t="s">
        <v>2622</v>
      </c>
      <c r="JU145" s="36">
        <v>124.18</v>
      </c>
      <c r="JV145" s="36" t="s">
        <v>2622</v>
      </c>
      <c r="JX145" s="36">
        <v>2</v>
      </c>
      <c r="JY145" s="36" t="s">
        <v>2331</v>
      </c>
      <c r="KB145" s="36">
        <v>7</v>
      </c>
      <c r="KC145" s="36" t="s">
        <v>2331</v>
      </c>
      <c r="KD145" s="36" t="s">
        <v>146</v>
      </c>
      <c r="KF145" s="36">
        <f t="shared" si="180"/>
        <v>1</v>
      </c>
      <c r="KG145" s="5">
        <f>KK145/KO145</f>
        <v>7.9281232077939856E-2</v>
      </c>
      <c r="KK145" s="3">
        <v>4.3</v>
      </c>
      <c r="KL145" s="36" t="s">
        <v>2623</v>
      </c>
      <c r="KO145" s="38">
        <v>54.2373003963</v>
      </c>
      <c r="KP145" s="36" t="s">
        <v>2621</v>
      </c>
    </row>
    <row r="146" spans="2:302" s="36" customFormat="1" ht="15.75" hidden="1" customHeight="1" x14ac:dyDescent="0.35">
      <c r="B146" s="36" t="s">
        <v>2602</v>
      </c>
      <c r="C146" s="36" t="s">
        <v>2205</v>
      </c>
      <c r="D146" s="36" t="s">
        <v>170</v>
      </c>
      <c r="E146" s="36" t="s">
        <v>172</v>
      </c>
      <c r="F146" s="36" t="s">
        <v>2603</v>
      </c>
      <c r="G146" s="3" t="s">
        <v>199</v>
      </c>
      <c r="H146" s="41">
        <v>0.93049999999999999</v>
      </c>
      <c r="L146" s="3">
        <v>4</v>
      </c>
      <c r="M146" s="36" t="s">
        <v>2898</v>
      </c>
      <c r="P146" s="119" t="s">
        <v>126</v>
      </c>
      <c r="Q146" s="36" t="s">
        <v>2605</v>
      </c>
      <c r="R146" s="36" t="s">
        <v>2597</v>
      </c>
      <c r="T146" s="119" t="s">
        <v>203</v>
      </c>
      <c r="U146" s="41">
        <v>0.894011</v>
      </c>
      <c r="X146" s="36">
        <f t="shared" si="150"/>
        <v>2</v>
      </c>
      <c r="Y146" s="5">
        <f t="shared" si="151"/>
        <v>0.23541054165011263</v>
      </c>
      <c r="AC146" s="36">
        <v>40.700000000000003</v>
      </c>
      <c r="AD146" s="36" t="s">
        <v>2624</v>
      </c>
      <c r="AG146" s="36">
        <v>67.12</v>
      </c>
      <c r="AH146" s="36" t="s">
        <v>2625</v>
      </c>
      <c r="AK146" s="36">
        <v>36</v>
      </c>
      <c r="AL146" s="36" t="s">
        <v>2626</v>
      </c>
      <c r="AN146" s="36">
        <f t="shared" si="152"/>
        <v>4</v>
      </c>
      <c r="AO146" s="5">
        <f>((AS146-AW146)/AW146+(AW146-BA146)/BA146)/2*100%</f>
        <v>-9.6325886461642266E-2</v>
      </c>
      <c r="AS146" s="36">
        <v>31.64</v>
      </c>
      <c r="AT146" s="36" t="s">
        <v>2625</v>
      </c>
      <c r="AW146" s="36">
        <v>51.28</v>
      </c>
      <c r="AX146" s="36" t="s">
        <v>2626</v>
      </c>
      <c r="BA146" s="36">
        <v>43.08</v>
      </c>
      <c r="BB146" s="36" t="s">
        <v>2624</v>
      </c>
      <c r="BD146" s="2">
        <f t="shared" si="149"/>
        <v>5</v>
      </c>
      <c r="BE146" s="36">
        <f t="shared" si="154"/>
        <v>40.700000000000003</v>
      </c>
      <c r="BI146" s="36">
        <f>AC146</f>
        <v>40.700000000000003</v>
      </c>
      <c r="BJ146" s="36" t="str">
        <f>AD146</f>
        <v>募集20151222</v>
      </c>
      <c r="BL146" s="2">
        <f t="shared" si="155"/>
        <v>5</v>
      </c>
      <c r="BM146" s="36">
        <f t="shared" si="156"/>
        <v>31.64</v>
      </c>
      <c r="BQ146" s="36">
        <f>AS146</f>
        <v>31.64</v>
      </c>
      <c r="BR146" s="36" t="str">
        <f>AT146</f>
        <v>募集20151222</v>
      </c>
      <c r="BT146" s="8">
        <f t="shared" si="157"/>
        <v>3</v>
      </c>
      <c r="BU146" s="36">
        <f t="shared" si="193"/>
        <v>180</v>
      </c>
      <c r="BY146" s="36">
        <v>180</v>
      </c>
      <c r="BZ146" s="47" t="s">
        <v>2588</v>
      </c>
      <c r="CA146" s="36" t="s">
        <v>2627</v>
      </c>
      <c r="CB146" s="36">
        <v>1</v>
      </c>
      <c r="CC146" s="36" t="str">
        <f>CF146</f>
        <v>一级</v>
      </c>
      <c r="CF146" s="119" t="s">
        <v>132</v>
      </c>
      <c r="CG146" s="36" t="s">
        <v>2611</v>
      </c>
      <c r="CH146" s="36" t="s">
        <v>2628</v>
      </c>
      <c r="CJ146" s="36">
        <v>2</v>
      </c>
      <c r="CK146" s="53">
        <f>CO146/CS146</f>
        <v>0.242997542997543</v>
      </c>
      <c r="CO146" s="36">
        <v>9.89</v>
      </c>
      <c r="CP146" s="36" t="s">
        <v>2629</v>
      </c>
      <c r="CQ146" s="36" t="s">
        <v>2630</v>
      </c>
      <c r="CS146" s="36">
        <f>AC146</f>
        <v>40.700000000000003</v>
      </c>
      <c r="CT146" s="36" t="str">
        <f>AD146</f>
        <v>募集20151222</v>
      </c>
      <c r="CV146" s="36">
        <f t="shared" si="159"/>
        <v>4</v>
      </c>
      <c r="CW146" s="36">
        <f t="shared" si="194"/>
        <v>257.33</v>
      </c>
      <c r="DA146" s="191">
        <v>257.33</v>
      </c>
      <c r="DB146" s="36" t="s">
        <v>2625</v>
      </c>
      <c r="DC146" s="36" t="s">
        <v>2631</v>
      </c>
      <c r="DD146" s="36">
        <f t="shared" si="195"/>
        <v>2</v>
      </c>
      <c r="DE146" s="53">
        <f>DM146/DI146</f>
        <v>8.1330594184576483</v>
      </c>
      <c r="DI146" s="37">
        <f>BQ146</f>
        <v>31.64</v>
      </c>
      <c r="DJ146" s="36" t="str">
        <f>BR146</f>
        <v>募集20151222</v>
      </c>
      <c r="DM146" s="191">
        <v>257.33</v>
      </c>
      <c r="DN146" s="36" t="s">
        <v>2625</v>
      </c>
      <c r="DO146" s="36" t="s">
        <v>2632</v>
      </c>
      <c r="DP146" s="36">
        <v>4</v>
      </c>
      <c r="DQ146" s="36" t="s">
        <v>2633</v>
      </c>
      <c r="DR146" s="36" t="s">
        <v>2626</v>
      </c>
      <c r="DS146" s="36" t="s">
        <v>2634</v>
      </c>
      <c r="DU146" s="41">
        <v>0</v>
      </c>
      <c r="DV146" s="36" t="s">
        <v>2635</v>
      </c>
      <c r="DY146" s="41">
        <v>0.37319999999999998</v>
      </c>
      <c r="DZ146" s="36" t="s">
        <v>2625</v>
      </c>
      <c r="EC146" s="41">
        <v>0.25069999999999998</v>
      </c>
      <c r="ED146" s="36" t="s">
        <v>2636</v>
      </c>
      <c r="EG146" s="41">
        <v>0.35560000000000003</v>
      </c>
      <c r="EH146" s="36" t="s">
        <v>2635</v>
      </c>
      <c r="EJ146" s="36">
        <f t="shared" si="163"/>
        <v>2</v>
      </c>
      <c r="EK146" s="36">
        <f t="shared" si="182"/>
        <v>62.76</v>
      </c>
      <c r="EO146" s="36">
        <v>62.76</v>
      </c>
      <c r="EP146" s="36" t="s">
        <v>2615</v>
      </c>
      <c r="ER146" s="36">
        <f t="shared" si="165"/>
        <v>2</v>
      </c>
      <c r="ES146" s="36">
        <f t="shared" si="188"/>
        <v>67.459999999999994</v>
      </c>
      <c r="EW146" s="36">
        <v>67.459999999999994</v>
      </c>
      <c r="EX146" s="36" t="s">
        <v>2615</v>
      </c>
      <c r="EZ146" s="3">
        <f t="shared" si="189"/>
        <v>2</v>
      </c>
      <c r="FA146" s="36">
        <f t="shared" si="190"/>
        <v>145.58000000000001</v>
      </c>
      <c r="FE146" s="36">
        <v>145.58000000000001</v>
      </c>
      <c r="FF146" s="36" t="s">
        <v>411</v>
      </c>
      <c r="FH146" s="36">
        <v>3</v>
      </c>
      <c r="FI146" s="36" t="s">
        <v>2637</v>
      </c>
      <c r="FM146" s="41">
        <v>4.4200000000000003E-2</v>
      </c>
      <c r="FN146" s="36" t="s">
        <v>2638</v>
      </c>
      <c r="FQ146" s="41">
        <v>0.85319999999999996</v>
      </c>
      <c r="FR146" s="36" t="s">
        <v>2638</v>
      </c>
      <c r="FU146" s="41">
        <v>0.1026</v>
      </c>
      <c r="FV146" s="36" t="s">
        <v>411</v>
      </c>
      <c r="FY146" s="86">
        <v>0</v>
      </c>
      <c r="FZ146" s="36" t="s">
        <v>2629</v>
      </c>
      <c r="GB146" s="36">
        <v>2</v>
      </c>
      <c r="GC146" s="36" t="s">
        <v>2639</v>
      </c>
      <c r="GG146" s="36" t="s">
        <v>2640</v>
      </c>
      <c r="GH146" s="36" t="s">
        <v>411</v>
      </c>
      <c r="GJ146" s="36">
        <f t="shared" si="169"/>
        <v>4</v>
      </c>
      <c r="GK146" s="5">
        <f t="shared" si="170"/>
        <v>3.5161966025380208E-2</v>
      </c>
      <c r="GN146" s="36">
        <v>2.2200000000000002</v>
      </c>
      <c r="GO146" s="36" t="s">
        <v>2641</v>
      </c>
      <c r="GP146" s="36" t="s">
        <v>411</v>
      </c>
      <c r="GS146" s="38">
        <v>63.136401371800005</v>
      </c>
      <c r="GT146" s="36" t="s">
        <v>2642</v>
      </c>
      <c r="GV146" s="36">
        <f t="shared" si="185"/>
        <v>3</v>
      </c>
      <c r="GW146" s="5">
        <f>HA146/HE146*100%</f>
        <v>0.5159549236360631</v>
      </c>
      <c r="HA146" s="36">
        <v>136.74</v>
      </c>
      <c r="HB146" s="36" t="s">
        <v>2638</v>
      </c>
      <c r="HE146" s="38">
        <v>265.02315170549997</v>
      </c>
      <c r="HF146" s="36" t="s">
        <v>144</v>
      </c>
      <c r="HH146" s="36">
        <f t="shared" si="186"/>
        <v>3</v>
      </c>
      <c r="HI146" s="5">
        <f t="shared" si="187"/>
        <v>0.40692582573869923</v>
      </c>
      <c r="HM146" s="36">
        <v>8.9450000000000003</v>
      </c>
      <c r="HN146" s="36" t="s">
        <v>2638</v>
      </c>
      <c r="HQ146" s="83">
        <v>21.981893097499999</v>
      </c>
      <c r="HR146" s="36" t="s">
        <v>2621</v>
      </c>
      <c r="HT146" s="36">
        <f>IF(HU146="数据缺失",0,IF(HU146&lt;5%,4,IF(HU146&lt;=10%,3,IF(HU146&lt;30%,2,IF(HU146&lt;=100%,1,0)))))</f>
        <v>4</v>
      </c>
      <c r="HU146" s="41">
        <f t="shared" si="196"/>
        <v>0</v>
      </c>
      <c r="HY146" s="36">
        <v>0</v>
      </c>
      <c r="HZ146" s="36" t="s">
        <v>2629</v>
      </c>
      <c r="IC146" s="36">
        <v>69.78</v>
      </c>
      <c r="ID146" s="36" t="s">
        <v>144</v>
      </c>
      <c r="IR146" s="3">
        <v>3</v>
      </c>
      <c r="IS146" s="41">
        <v>1.8149999999999999</v>
      </c>
      <c r="IW146" s="36">
        <v>90.65</v>
      </c>
      <c r="IX146" s="36" t="s">
        <v>2626</v>
      </c>
      <c r="IY146" s="36" t="s">
        <v>2643</v>
      </c>
      <c r="JA146" s="38">
        <v>49.9458982405</v>
      </c>
      <c r="JB146" s="36" t="s">
        <v>144</v>
      </c>
      <c r="JD146" s="36">
        <f t="shared" si="191"/>
        <v>4</v>
      </c>
      <c r="JE146" s="41">
        <f t="shared" si="192"/>
        <v>0.10364404899143244</v>
      </c>
      <c r="JI146" s="36">
        <v>11.49</v>
      </c>
      <c r="JJ146" s="36" t="s">
        <v>2615</v>
      </c>
      <c r="JM146" s="36">
        <v>0.99</v>
      </c>
      <c r="JN146" s="36" t="s">
        <v>2644</v>
      </c>
      <c r="JQ146" s="36">
        <v>124.18</v>
      </c>
      <c r="JR146" s="36" t="s">
        <v>2622</v>
      </c>
      <c r="JU146" s="36">
        <v>99.78</v>
      </c>
      <c r="JV146" s="36" t="s">
        <v>437</v>
      </c>
      <c r="JX146" s="36">
        <v>2</v>
      </c>
      <c r="JY146" s="36" t="s">
        <v>2645</v>
      </c>
      <c r="KB146" s="36">
        <v>7</v>
      </c>
      <c r="KC146" s="36" t="s">
        <v>2331</v>
      </c>
      <c r="KD146" s="36" t="s">
        <v>2638</v>
      </c>
      <c r="KF146" s="36">
        <f t="shared" si="180"/>
        <v>3</v>
      </c>
      <c r="KG146" s="5">
        <f>KK146/KO146</f>
        <v>0.83770642783380544</v>
      </c>
      <c r="KK146" s="3">
        <v>41.84</v>
      </c>
      <c r="KL146" s="36" t="s">
        <v>2597</v>
      </c>
      <c r="KO146" s="38">
        <v>49.9458982405</v>
      </c>
      <c r="KP146" s="36" t="s">
        <v>2598</v>
      </c>
    </row>
    <row r="147" spans="2:302" s="36" customFormat="1" ht="15.75" hidden="1" customHeight="1" x14ac:dyDescent="0.35">
      <c r="B147" s="36" t="s">
        <v>2646</v>
      </c>
      <c r="C147" s="36" t="s">
        <v>2205</v>
      </c>
      <c r="D147" s="36" t="s">
        <v>170</v>
      </c>
      <c r="E147" s="36" t="s">
        <v>197</v>
      </c>
      <c r="F147" s="36" t="s">
        <v>2647</v>
      </c>
      <c r="G147" s="3" t="s">
        <v>199</v>
      </c>
      <c r="H147" s="41">
        <v>0.90659999999999996</v>
      </c>
      <c r="L147" s="3">
        <v>4</v>
      </c>
      <c r="M147" s="36" t="s">
        <v>119</v>
      </c>
      <c r="P147" s="119" t="s">
        <v>625</v>
      </c>
      <c r="R147" s="36" t="s">
        <v>1952</v>
      </c>
      <c r="T147" s="36" t="s">
        <v>2648</v>
      </c>
      <c r="X147" s="36">
        <f t="shared" si="150"/>
        <v>2</v>
      </c>
      <c r="Y147" s="5">
        <f t="shared" si="151"/>
        <v>0.21384041635356654</v>
      </c>
      <c r="AC147" s="36">
        <v>260</v>
      </c>
      <c r="AD147" s="36" t="s">
        <v>2649</v>
      </c>
      <c r="AG147" s="36">
        <v>203</v>
      </c>
      <c r="AH147" s="36" t="s">
        <v>2650</v>
      </c>
      <c r="AK147" s="36">
        <v>177</v>
      </c>
      <c r="AL147" s="36" t="s">
        <v>1952</v>
      </c>
      <c r="AN147" s="36">
        <f t="shared" si="152"/>
        <v>2</v>
      </c>
      <c r="AO147" s="5">
        <f>((AS147-AW147)/AW147+(AW147-BA147)/BA147)/2*100%</f>
        <v>0.11566955549343025</v>
      </c>
      <c r="AS147" s="36">
        <v>180</v>
      </c>
      <c r="AT147" s="36" t="s">
        <v>1952</v>
      </c>
      <c r="AW147" s="36">
        <v>147</v>
      </c>
      <c r="AX147" s="36" t="s">
        <v>1952</v>
      </c>
      <c r="BA147" s="36">
        <v>146</v>
      </c>
      <c r="BB147" s="36" t="s">
        <v>1952</v>
      </c>
      <c r="BD147" s="2">
        <f t="shared" si="149"/>
        <v>3</v>
      </c>
      <c r="BE147" s="36">
        <f t="shared" si="154"/>
        <v>260</v>
      </c>
      <c r="BI147" s="36">
        <v>260</v>
      </c>
      <c r="BJ147" s="36" t="s">
        <v>1952</v>
      </c>
      <c r="BL147" s="2">
        <f t="shared" si="155"/>
        <v>3</v>
      </c>
      <c r="BM147" s="36">
        <f t="shared" si="156"/>
        <v>180</v>
      </c>
      <c r="BQ147" s="36">
        <v>180</v>
      </c>
      <c r="BR147" s="36" t="s">
        <v>1952</v>
      </c>
      <c r="BT147" s="8">
        <f t="shared" si="157"/>
        <v>1</v>
      </c>
      <c r="BU147" s="36">
        <f t="shared" si="193"/>
        <v>15</v>
      </c>
      <c r="BY147" s="36">
        <v>15</v>
      </c>
      <c r="BZ147" s="36" t="s">
        <v>398</v>
      </c>
      <c r="CA147" s="36" t="s">
        <v>2651</v>
      </c>
      <c r="CB147" s="36">
        <v>1</v>
      </c>
      <c r="CC147" s="36" t="s">
        <v>2652</v>
      </c>
      <c r="CF147" s="119" t="s">
        <v>132</v>
      </c>
      <c r="CG147" s="36" t="s">
        <v>2653</v>
      </c>
      <c r="CH147" s="36" t="s">
        <v>1952</v>
      </c>
      <c r="CJ147" s="36">
        <f>IF(CK147="数据缺失",0,IF(CK147&lt;0,0,IF(CK147&lt;2,2,IF(CK147&lt;=5,1,3))))</f>
        <v>2</v>
      </c>
      <c r="CK147" s="53">
        <f>CO147/CS147</f>
        <v>8.8076923076923067E-2</v>
      </c>
      <c r="CO147" s="36">
        <v>22.9</v>
      </c>
      <c r="CP147" s="36" t="s">
        <v>1956</v>
      </c>
      <c r="CS147" s="36">
        <v>260</v>
      </c>
      <c r="CT147" s="36" t="s">
        <v>1952</v>
      </c>
      <c r="CV147" s="36">
        <f t="shared" si="159"/>
        <v>5</v>
      </c>
      <c r="CW147" s="36">
        <f t="shared" si="194"/>
        <v>79.400000000000006</v>
      </c>
      <c r="DA147" s="36">
        <v>79.400000000000006</v>
      </c>
      <c r="DB147" s="36" t="s">
        <v>2654</v>
      </c>
      <c r="DC147" s="36" t="s">
        <v>2655</v>
      </c>
      <c r="DD147" s="36">
        <f t="shared" si="195"/>
        <v>3</v>
      </c>
      <c r="DE147" s="53">
        <f>DM147/DI147</f>
        <v>0.44111111111111112</v>
      </c>
      <c r="DI147" s="36">
        <v>180</v>
      </c>
      <c r="DJ147" s="36" t="s">
        <v>2650</v>
      </c>
      <c r="DM147" s="191">
        <v>79.400000000000006</v>
      </c>
      <c r="DN147" s="36" t="s">
        <v>2656</v>
      </c>
      <c r="DP147" s="36">
        <v>2</v>
      </c>
      <c r="DQ147" s="36" t="s">
        <v>2657</v>
      </c>
      <c r="DU147" s="41">
        <v>0.4924</v>
      </c>
      <c r="DV147" s="36" t="s">
        <v>1956</v>
      </c>
      <c r="DY147" s="41">
        <v>0.36649999999999999</v>
      </c>
      <c r="DZ147" s="36" t="s">
        <v>1956</v>
      </c>
      <c r="EC147" s="41">
        <v>0.1411</v>
      </c>
      <c r="ED147" s="36" t="s">
        <v>2654</v>
      </c>
      <c r="EG147" s="86">
        <v>0</v>
      </c>
      <c r="EH147" s="36" t="s">
        <v>1956</v>
      </c>
      <c r="EJ147" s="36">
        <f t="shared" si="163"/>
        <v>1</v>
      </c>
      <c r="EK147" s="36">
        <f t="shared" si="182"/>
        <v>209</v>
      </c>
      <c r="EO147" s="36">
        <v>209</v>
      </c>
      <c r="EP147" s="36" t="s">
        <v>2658</v>
      </c>
      <c r="ER147" s="36">
        <f t="shared" si="165"/>
        <v>1</v>
      </c>
      <c r="ES147" s="36">
        <f t="shared" si="188"/>
        <v>187</v>
      </c>
      <c r="EW147" s="36">
        <v>187</v>
      </c>
      <c r="EX147" s="36" t="s">
        <v>2658</v>
      </c>
      <c r="EZ147" s="3">
        <f t="shared" si="189"/>
        <v>1</v>
      </c>
      <c r="FA147" s="36">
        <f t="shared" si="190"/>
        <v>392.53</v>
      </c>
      <c r="FE147" s="36">
        <v>392.53</v>
      </c>
      <c r="FF147" s="36" t="s">
        <v>1956</v>
      </c>
      <c r="FH147" s="36">
        <v>3</v>
      </c>
      <c r="FI147" s="36" t="s">
        <v>2659</v>
      </c>
      <c r="FM147" s="41">
        <v>0.16669999999999999</v>
      </c>
      <c r="FN147" s="36" t="s">
        <v>1956</v>
      </c>
      <c r="FQ147" s="41">
        <v>0.6119</v>
      </c>
      <c r="FR147" s="36" t="s">
        <v>1956</v>
      </c>
      <c r="FU147" s="41">
        <v>0.22140000000000001</v>
      </c>
      <c r="FV147" s="36" t="s">
        <v>1956</v>
      </c>
      <c r="FY147" s="86">
        <v>0</v>
      </c>
      <c r="FZ147" s="36" t="s">
        <v>1956</v>
      </c>
      <c r="GB147" s="36">
        <v>1</v>
      </c>
      <c r="GC147" s="36" t="s">
        <v>2660</v>
      </c>
      <c r="GD147" s="36" t="s">
        <v>411</v>
      </c>
      <c r="GE147" s="36" t="s">
        <v>2661</v>
      </c>
      <c r="GG147" s="36" t="s">
        <v>2662</v>
      </c>
      <c r="GH147" s="36" t="s">
        <v>411</v>
      </c>
      <c r="GJ147" s="36">
        <f t="shared" si="169"/>
        <v>3</v>
      </c>
      <c r="GK147" s="5">
        <f t="shared" si="170"/>
        <v>5.8074918888916249E-2</v>
      </c>
      <c r="GN147" s="36">
        <v>16.05</v>
      </c>
      <c r="GO147" s="36" t="s">
        <v>2663</v>
      </c>
      <c r="GP147" s="36" t="s">
        <v>411</v>
      </c>
      <c r="GS147" s="38">
        <v>276.3671531027</v>
      </c>
      <c r="GT147" s="36" t="s">
        <v>144</v>
      </c>
      <c r="GV147" s="36">
        <f t="shared" si="185"/>
        <v>2</v>
      </c>
      <c r="GW147" s="5">
        <f>HA147/HE147*100%</f>
        <v>0.23037938374050662</v>
      </c>
      <c r="HA147" s="36">
        <v>228.69</v>
      </c>
      <c r="HB147" s="36" t="s">
        <v>2650</v>
      </c>
      <c r="HE147" s="38">
        <v>992.6669491294</v>
      </c>
      <c r="HF147" s="36" t="s">
        <v>144</v>
      </c>
      <c r="HH147" s="36">
        <f t="shared" si="186"/>
        <v>2</v>
      </c>
      <c r="HI147" s="5">
        <f t="shared" si="187"/>
        <v>0.22234196290841615</v>
      </c>
      <c r="HM147" s="36">
        <v>16.22</v>
      </c>
      <c r="HN147" s="36" t="s">
        <v>411</v>
      </c>
      <c r="HQ147" s="83">
        <v>72.95069175350001</v>
      </c>
      <c r="HR147" s="36" t="s">
        <v>144</v>
      </c>
      <c r="HT147" s="36">
        <f>IF(HU147="数据缺失",0,IF(HU147&lt;5%,4,IF(HU147&lt;=10%,3,IF(HU147&lt;30%,2,IF(HU147&lt;=100%,1,0)))))</f>
        <v>1</v>
      </c>
      <c r="HU147" s="41">
        <f t="shared" si="196"/>
        <v>0.6893343095979011</v>
      </c>
      <c r="HY147" s="36">
        <v>225.95</v>
      </c>
      <c r="HZ147" s="36" t="s">
        <v>411</v>
      </c>
      <c r="IC147" s="36">
        <v>327.78</v>
      </c>
      <c r="ID147" s="36" t="s">
        <v>144</v>
      </c>
      <c r="IR147" s="3">
        <f t="shared" ref="IR147:IR155" si="197">IF(IS147="数据缺失",0,IF(IS147&lt;0%,0,IF(IS147&lt;=100%,4,IF(IS147&lt;200%,3,IF(IS147&lt;300%,2,1)))))</f>
        <v>2</v>
      </c>
      <c r="IS147" s="5">
        <f>IW147/JA147</f>
        <v>2.9527811179068335</v>
      </c>
      <c r="IW147" s="36">
        <v>684.85</v>
      </c>
      <c r="IX147" s="36" t="s">
        <v>1956</v>
      </c>
      <c r="JA147" s="38">
        <v>231.9338862765</v>
      </c>
      <c r="JB147" s="36" t="s">
        <v>144</v>
      </c>
      <c r="JD147" s="36">
        <f t="shared" si="191"/>
        <v>3</v>
      </c>
      <c r="JE147" s="41">
        <f t="shared" si="192"/>
        <v>6.074003488337823E-2</v>
      </c>
      <c r="JI147" s="36">
        <v>54.41</v>
      </c>
      <c r="JJ147" s="36" t="s">
        <v>1952</v>
      </c>
      <c r="JM147" s="36">
        <v>2.96</v>
      </c>
      <c r="JN147" s="36" t="s">
        <v>1952</v>
      </c>
      <c r="JQ147" s="36">
        <v>405.53</v>
      </c>
      <c r="JR147" s="36" t="s">
        <v>2650</v>
      </c>
      <c r="JU147" s="36">
        <v>199.73</v>
      </c>
      <c r="JV147" s="36" t="s">
        <v>1956</v>
      </c>
      <c r="JX147" s="36">
        <v>1</v>
      </c>
      <c r="JY147" s="36" t="s">
        <v>245</v>
      </c>
      <c r="KB147" s="36">
        <v>1</v>
      </c>
      <c r="KC147" s="36" t="s">
        <v>2664</v>
      </c>
      <c r="KD147" s="36" t="s">
        <v>411</v>
      </c>
      <c r="KF147" s="36">
        <f t="shared" si="180"/>
        <v>1</v>
      </c>
      <c r="KG147" s="5">
        <f>KK147/KO147</f>
        <v>0.13572833407564738</v>
      </c>
      <c r="KK147" s="3">
        <v>31.48</v>
      </c>
      <c r="KL147" s="36" t="s">
        <v>2665</v>
      </c>
      <c r="KM147" s="36" t="s">
        <v>2666</v>
      </c>
      <c r="KO147" s="38">
        <v>231.9338862765</v>
      </c>
      <c r="KP147" s="36" t="s">
        <v>144</v>
      </c>
    </row>
    <row r="148" spans="2:302" s="36" customFormat="1" ht="15.75" customHeight="1" x14ac:dyDescent="0.35">
      <c r="B148" s="36" t="s">
        <v>2667</v>
      </c>
      <c r="C148" s="36" t="s">
        <v>2205</v>
      </c>
      <c r="D148" s="36" t="s">
        <v>170</v>
      </c>
      <c r="E148" s="36" t="s">
        <v>172</v>
      </c>
      <c r="F148" s="36" t="s">
        <v>2668</v>
      </c>
      <c r="G148" s="3" t="s">
        <v>199</v>
      </c>
      <c r="H148" s="41">
        <v>0.95909999999999995</v>
      </c>
      <c r="I148" s="192"/>
      <c r="L148" s="3">
        <v>4</v>
      </c>
      <c r="M148" s="36" t="s">
        <v>2669</v>
      </c>
      <c r="P148" s="119" t="s">
        <v>126</v>
      </c>
      <c r="Q148" s="36" t="s">
        <v>2670</v>
      </c>
      <c r="R148" s="36" t="s">
        <v>2671</v>
      </c>
      <c r="T148" s="119" t="s">
        <v>203</v>
      </c>
      <c r="U148" s="86">
        <v>0.75</v>
      </c>
      <c r="X148" s="36">
        <f t="shared" si="150"/>
        <v>0</v>
      </c>
      <c r="Y148" s="5" t="s">
        <v>37</v>
      </c>
      <c r="AC148" s="5" t="s">
        <v>2572</v>
      </c>
      <c r="AG148" s="5" t="s">
        <v>2672</v>
      </c>
      <c r="AK148" s="5" t="s">
        <v>37</v>
      </c>
      <c r="AN148" s="36">
        <f t="shared" si="152"/>
        <v>0</v>
      </c>
      <c r="AO148" s="5" t="s">
        <v>37</v>
      </c>
      <c r="AS148" s="5" t="s">
        <v>37</v>
      </c>
      <c r="AW148" s="5" t="s">
        <v>2672</v>
      </c>
      <c r="BA148" s="5" t="s">
        <v>37</v>
      </c>
      <c r="BD148" s="2">
        <f t="shared" si="149"/>
        <v>0</v>
      </c>
      <c r="BE148" s="36" t="str">
        <f t="shared" si="154"/>
        <v>数据缺失</v>
      </c>
      <c r="BI148" s="36" t="s">
        <v>2572</v>
      </c>
      <c r="BL148" s="2">
        <f t="shared" si="155"/>
        <v>0</v>
      </c>
      <c r="BM148" s="36" t="str">
        <f t="shared" si="156"/>
        <v>数据缺失</v>
      </c>
      <c r="BQ148" s="36" t="s">
        <v>2572</v>
      </c>
      <c r="BT148" s="8">
        <f t="shared" si="157"/>
        <v>4</v>
      </c>
      <c r="BU148" s="36">
        <f t="shared" si="193"/>
        <v>438</v>
      </c>
      <c r="BY148" s="36">
        <v>438</v>
      </c>
      <c r="BZ148" s="36" t="s">
        <v>398</v>
      </c>
      <c r="CA148" s="36" t="s">
        <v>2673</v>
      </c>
      <c r="CB148" s="36">
        <v>2</v>
      </c>
      <c r="CC148" s="36" t="s">
        <v>2674</v>
      </c>
      <c r="CF148" s="119" t="s">
        <v>2352</v>
      </c>
      <c r="CG148" s="36" t="s">
        <v>2675</v>
      </c>
      <c r="CH148" s="36" t="s">
        <v>2676</v>
      </c>
      <c r="CJ148" s="36">
        <f>IF(CK148="数据缺失",0,IF(CK148&lt;0,0,IF(CK148&lt;2,2,IF(CK148&lt;=5,1,3))))</f>
        <v>0</v>
      </c>
      <c r="CK148" s="53" t="s">
        <v>2572</v>
      </c>
      <c r="CO148" s="53" t="s">
        <v>37</v>
      </c>
      <c r="CS148" s="36" t="s">
        <v>37</v>
      </c>
      <c r="CV148" s="36">
        <f t="shared" si="159"/>
        <v>0</v>
      </c>
      <c r="CW148" s="36" t="str">
        <f t="shared" si="194"/>
        <v>数据缺失</v>
      </c>
      <c r="DA148" s="36" t="s">
        <v>37</v>
      </c>
      <c r="DD148" s="36">
        <f t="shared" si="195"/>
        <v>0</v>
      </c>
      <c r="DE148" s="36" t="s">
        <v>37</v>
      </c>
      <c r="DI148" s="36" t="s">
        <v>2572</v>
      </c>
      <c r="DM148" s="191" t="str">
        <f>DA148</f>
        <v>数据缺失</v>
      </c>
      <c r="DP148" s="36">
        <v>5</v>
      </c>
      <c r="DQ148" s="36" t="s">
        <v>2672</v>
      </c>
      <c r="DU148" s="36" t="s">
        <v>37</v>
      </c>
      <c r="DY148" s="36" t="s">
        <v>2672</v>
      </c>
      <c r="EC148" s="36" t="s">
        <v>2572</v>
      </c>
      <c r="EG148" s="36" t="s">
        <v>37</v>
      </c>
      <c r="EJ148" s="36">
        <f t="shared" si="163"/>
        <v>0</v>
      </c>
      <c r="EK148" s="36" t="str">
        <f t="shared" si="182"/>
        <v>数据缺失</v>
      </c>
      <c r="EO148" s="36" t="s">
        <v>2672</v>
      </c>
      <c r="ER148" s="36">
        <f t="shared" si="165"/>
        <v>0</v>
      </c>
      <c r="ES148" s="36" t="str">
        <f t="shared" si="188"/>
        <v>数据缺失</v>
      </c>
      <c r="EW148" s="36" t="s">
        <v>2572</v>
      </c>
      <c r="EZ148" s="3">
        <v>0</v>
      </c>
      <c r="FA148" s="36" t="str">
        <f t="shared" si="190"/>
        <v>数据缺失</v>
      </c>
      <c r="FE148" s="36" t="s">
        <v>37</v>
      </c>
      <c r="FH148" s="36">
        <v>5</v>
      </c>
      <c r="FI148" s="36" t="s">
        <v>37</v>
      </c>
      <c r="FM148" s="36" t="s">
        <v>37</v>
      </c>
      <c r="FQ148" s="36" t="s">
        <v>37</v>
      </c>
      <c r="FU148" s="36" t="s">
        <v>37</v>
      </c>
      <c r="FY148" s="36" t="s">
        <v>37</v>
      </c>
      <c r="GB148" s="36">
        <v>1</v>
      </c>
      <c r="GC148" s="36" t="s">
        <v>2677</v>
      </c>
      <c r="GG148" s="36" t="s">
        <v>2678</v>
      </c>
      <c r="GH148" s="36" t="s">
        <v>2676</v>
      </c>
      <c r="GJ148" s="36">
        <f t="shared" si="169"/>
        <v>3</v>
      </c>
      <c r="GK148" s="5">
        <f t="shared" si="170"/>
        <v>7.2437524047262059E-2</v>
      </c>
      <c r="GN148" s="36">
        <v>3.72</v>
      </c>
      <c r="GO148" s="36" t="s">
        <v>2679</v>
      </c>
      <c r="GP148" s="36" t="s">
        <v>2671</v>
      </c>
      <c r="GS148" s="38">
        <v>51.354599</v>
      </c>
      <c r="GT148" s="36" t="s">
        <v>144</v>
      </c>
      <c r="GV148" s="36">
        <f t="shared" si="185"/>
        <v>0</v>
      </c>
      <c r="GW148" s="36" t="s">
        <v>2680</v>
      </c>
      <c r="HA148" s="36" t="s">
        <v>2672</v>
      </c>
      <c r="HE148" s="38">
        <v>200.247162</v>
      </c>
      <c r="HF148" s="36" t="s">
        <v>2681</v>
      </c>
      <c r="HH148" s="36">
        <f t="shared" si="186"/>
        <v>0</v>
      </c>
      <c r="HI148" s="36" t="s">
        <v>2672</v>
      </c>
      <c r="HM148" s="29" t="s">
        <v>37</v>
      </c>
      <c r="HN148" s="29"/>
      <c r="HO148" s="29"/>
      <c r="HP148" s="29"/>
      <c r="HQ148" s="197">
        <v>18.184737999999999</v>
      </c>
      <c r="HR148" s="29" t="s">
        <v>2874</v>
      </c>
      <c r="HT148" s="36">
        <f>IF(HU148="数据缺失",0,IF(HU148&lt;5%,4,IF(HU148&lt;=10%,3,IF(HU148&lt;30%,2,IF(HU148&lt;=100%,1,0)))))</f>
        <v>4</v>
      </c>
      <c r="HU148" s="41">
        <f t="shared" si="196"/>
        <v>0</v>
      </c>
      <c r="HY148" s="36">
        <v>0</v>
      </c>
      <c r="HZ148" s="36" t="s">
        <v>2682</v>
      </c>
      <c r="IC148" s="36">
        <v>62.54</v>
      </c>
      <c r="ID148" s="36" t="s">
        <v>2578</v>
      </c>
      <c r="IR148" s="3">
        <f t="shared" si="197"/>
        <v>0</v>
      </c>
      <c r="IS148" s="36" t="s">
        <v>37</v>
      </c>
      <c r="IW148" s="36" t="s">
        <v>2672</v>
      </c>
      <c r="JA148" s="38">
        <v>68.957631000000006</v>
      </c>
      <c r="JB148" s="36" t="s">
        <v>144</v>
      </c>
      <c r="JD148" s="36">
        <f t="shared" si="191"/>
        <v>4</v>
      </c>
      <c r="JE148" s="41">
        <f t="shared" si="192"/>
        <v>8.7250474991980659E-2</v>
      </c>
      <c r="JI148" s="36">
        <v>26.52</v>
      </c>
      <c r="JJ148" s="36" t="s">
        <v>2683</v>
      </c>
      <c r="JM148" s="36">
        <v>4.5</v>
      </c>
      <c r="JN148" s="36" t="s">
        <v>2683</v>
      </c>
      <c r="JQ148" s="36">
        <v>80.16</v>
      </c>
      <c r="JR148" s="36" t="s">
        <v>2683</v>
      </c>
      <c r="JU148" s="36">
        <v>54.93</v>
      </c>
      <c r="JV148" s="36" t="s">
        <v>2683</v>
      </c>
      <c r="JX148" s="36">
        <v>1</v>
      </c>
      <c r="JY148" s="36" t="s">
        <v>1602</v>
      </c>
      <c r="KB148" s="36">
        <v>6</v>
      </c>
      <c r="KC148" s="36" t="s">
        <v>2684</v>
      </c>
      <c r="KD148" s="36" t="s">
        <v>2685</v>
      </c>
      <c r="KF148" s="36">
        <f t="shared" si="180"/>
        <v>0</v>
      </c>
      <c r="KG148" s="36" t="s">
        <v>2572</v>
      </c>
      <c r="KK148" s="3" t="s">
        <v>2572</v>
      </c>
      <c r="KO148" s="38">
        <v>68.957631000000006</v>
      </c>
      <c r="KP148" s="36" t="s">
        <v>2681</v>
      </c>
    </row>
    <row r="149" spans="2:302" s="36" customFormat="1" ht="15.75" hidden="1" customHeight="1" x14ac:dyDescent="0.35">
      <c r="B149" s="36" t="s">
        <v>2686</v>
      </c>
      <c r="C149" s="36" t="s">
        <v>2205</v>
      </c>
      <c r="D149" s="36" t="s">
        <v>170</v>
      </c>
      <c r="E149" s="36" t="s">
        <v>172</v>
      </c>
      <c r="F149" s="36" t="s">
        <v>2687</v>
      </c>
      <c r="G149" s="3" t="s">
        <v>174</v>
      </c>
      <c r="H149" s="41">
        <v>0.6109</v>
      </c>
      <c r="L149" s="3">
        <v>4</v>
      </c>
      <c r="M149" s="36" t="s">
        <v>2867</v>
      </c>
      <c r="P149" s="119" t="s">
        <v>126</v>
      </c>
      <c r="Q149" s="36" t="s">
        <v>2688</v>
      </c>
      <c r="R149" s="36" t="s">
        <v>2689</v>
      </c>
      <c r="T149" s="119" t="s">
        <v>129</v>
      </c>
      <c r="U149" s="41">
        <v>0.40439999999999998</v>
      </c>
      <c r="X149" s="36">
        <f t="shared" si="150"/>
        <v>4</v>
      </c>
      <c r="Y149" s="5">
        <f>((AC149-AG149)/AG149+(AG149-AK149)/AK149)/2*100%</f>
        <v>-1.0598652295909505E-2</v>
      </c>
      <c r="AC149" s="36">
        <v>14.99</v>
      </c>
      <c r="AD149" s="36" t="s">
        <v>2691</v>
      </c>
      <c r="AG149" s="36">
        <v>9.82</v>
      </c>
      <c r="AH149" s="36" t="s">
        <v>2691</v>
      </c>
      <c r="AK149" s="36">
        <v>21.71</v>
      </c>
      <c r="AL149" s="36" t="s">
        <v>2691</v>
      </c>
      <c r="AN149" s="36">
        <f t="shared" si="152"/>
        <v>3</v>
      </c>
      <c r="AO149" s="5">
        <f>((AS149-AW149)/AW149+(AW149-BA149)/BA149)/2*100%</f>
        <v>3.3800796159486945E-2</v>
      </c>
      <c r="AS149" s="36">
        <v>11.69</v>
      </c>
      <c r="AT149" s="36" t="s">
        <v>2691</v>
      </c>
      <c r="AW149" s="36">
        <v>7.55</v>
      </c>
      <c r="AX149" s="36" t="s">
        <v>2692</v>
      </c>
      <c r="BA149" s="36">
        <v>14.54</v>
      </c>
      <c r="BB149" s="36" t="s">
        <v>2691</v>
      </c>
      <c r="BD149" s="2">
        <f t="shared" si="149"/>
        <v>5</v>
      </c>
      <c r="BE149" s="36">
        <f t="shared" si="154"/>
        <v>14.99</v>
      </c>
      <c r="BI149" s="36">
        <v>14.99</v>
      </c>
      <c r="BJ149" s="36" t="s">
        <v>2691</v>
      </c>
      <c r="BL149" s="2">
        <f t="shared" si="155"/>
        <v>5</v>
      </c>
      <c r="BM149" s="36">
        <f t="shared" si="156"/>
        <v>11.69</v>
      </c>
      <c r="BQ149" s="36">
        <v>11.69</v>
      </c>
      <c r="BR149" s="36" t="s">
        <v>2691</v>
      </c>
      <c r="BT149" s="8">
        <f t="shared" si="157"/>
        <v>4</v>
      </c>
      <c r="BU149" s="36">
        <f t="shared" si="193"/>
        <v>497</v>
      </c>
      <c r="BY149" s="36">
        <v>497</v>
      </c>
      <c r="BZ149" s="36" t="s">
        <v>234</v>
      </c>
      <c r="CB149" s="36">
        <v>1</v>
      </c>
      <c r="CC149" s="36" t="s">
        <v>2693</v>
      </c>
      <c r="CF149" s="119" t="s">
        <v>132</v>
      </c>
      <c r="CG149" s="36" t="s">
        <v>2694</v>
      </c>
      <c r="CH149" s="36" t="s">
        <v>2695</v>
      </c>
      <c r="CJ149" s="36">
        <f>IF(CK149="数据缺失",0,IF(CK149&lt;0,0,IF(CK149&lt;2,2,IF(CK149&lt;=5,1,3))))</f>
        <v>2</v>
      </c>
      <c r="CK149" s="53">
        <f t="shared" ref="CK149:CK155" si="198">CO149/CS149</f>
        <v>1.7344896597731821E-2</v>
      </c>
      <c r="CO149" s="36">
        <v>0.26</v>
      </c>
      <c r="CP149" s="36" t="s">
        <v>2690</v>
      </c>
      <c r="CS149" s="36">
        <v>14.99</v>
      </c>
      <c r="CT149" s="36" t="s">
        <v>2691</v>
      </c>
      <c r="CV149" s="36">
        <f t="shared" si="159"/>
        <v>4</v>
      </c>
      <c r="CW149" s="36">
        <f t="shared" si="194"/>
        <v>346.51</v>
      </c>
      <c r="DA149" s="36">
        <v>346.51</v>
      </c>
      <c r="DB149" s="36" t="s">
        <v>2691</v>
      </c>
      <c r="DD149" s="36">
        <f t="shared" si="195"/>
        <v>2</v>
      </c>
      <c r="DE149" s="53">
        <f t="shared" ref="DE149:DE157" si="199">DM149/DI149</f>
        <v>29.641573994867407</v>
      </c>
      <c r="DI149" s="36">
        <v>11.69</v>
      </c>
      <c r="DJ149" s="36" t="s">
        <v>2692</v>
      </c>
      <c r="DM149" s="191">
        <v>346.51</v>
      </c>
      <c r="DN149" s="36" t="s">
        <v>2691</v>
      </c>
      <c r="DP149" s="36">
        <v>3</v>
      </c>
      <c r="DQ149" s="36" t="s">
        <v>2696</v>
      </c>
      <c r="DU149" s="41">
        <v>0.14430000000000001</v>
      </c>
      <c r="DV149" s="36" t="s">
        <v>2691</v>
      </c>
      <c r="DY149" s="41">
        <v>0.85570000000000002</v>
      </c>
      <c r="DZ149" s="36" t="s">
        <v>2691</v>
      </c>
      <c r="EC149" s="86">
        <v>0</v>
      </c>
      <c r="ED149" s="36" t="s">
        <v>2691</v>
      </c>
      <c r="EG149" s="86">
        <v>0</v>
      </c>
      <c r="EH149" s="36" t="s">
        <v>2691</v>
      </c>
      <c r="EJ149" s="36">
        <f t="shared" si="163"/>
        <v>3</v>
      </c>
      <c r="EK149" s="36">
        <f t="shared" si="182"/>
        <v>22.04</v>
      </c>
      <c r="EO149" s="36">
        <v>22.04</v>
      </c>
      <c r="EP149" s="36" t="s">
        <v>2691</v>
      </c>
      <c r="ER149" s="36">
        <f t="shared" si="165"/>
        <v>3</v>
      </c>
      <c r="ES149" s="36">
        <f t="shared" si="188"/>
        <v>27.1</v>
      </c>
      <c r="EW149" s="36">
        <v>27.1</v>
      </c>
      <c r="EX149" s="36" t="s">
        <v>2691</v>
      </c>
      <c r="EZ149" s="3">
        <f t="shared" si="189"/>
        <v>4</v>
      </c>
      <c r="FA149" s="36">
        <f t="shared" si="190"/>
        <v>41.56</v>
      </c>
      <c r="FE149" s="36">
        <v>41.56</v>
      </c>
      <c r="FF149" s="36" t="s">
        <v>2691</v>
      </c>
      <c r="FH149" s="36">
        <v>3</v>
      </c>
      <c r="FI149" s="36" t="s">
        <v>2697</v>
      </c>
      <c r="FJ149" s="36" t="s">
        <v>2689</v>
      </c>
      <c r="FM149" s="86">
        <v>0</v>
      </c>
      <c r="FN149" s="36" t="s">
        <v>2689</v>
      </c>
      <c r="FQ149" s="86">
        <v>1</v>
      </c>
      <c r="FR149" s="36" t="s">
        <v>2690</v>
      </c>
      <c r="FU149" s="86">
        <v>0</v>
      </c>
      <c r="FV149" s="36" t="s">
        <v>2690</v>
      </c>
      <c r="FY149" s="86">
        <v>0</v>
      </c>
      <c r="FZ149" s="36" t="s">
        <v>2690</v>
      </c>
      <c r="GB149" s="36">
        <v>1</v>
      </c>
      <c r="GC149" s="36" t="str">
        <f>GG149</f>
        <v>商品房销售占比61.09%；工程建设业务占比29.87%；其他业务占比9.04%</v>
      </c>
      <c r="GG149" s="36" t="s">
        <v>2698</v>
      </c>
      <c r="GH149" s="36" t="s">
        <v>2690</v>
      </c>
      <c r="GJ149" s="36">
        <v>0</v>
      </c>
      <c r="GK149" s="5" t="s">
        <v>2699</v>
      </c>
      <c r="GN149" s="36" t="s">
        <v>2699</v>
      </c>
      <c r="GO149" s="36" t="s">
        <v>1192</v>
      </c>
      <c r="GS149" s="38">
        <v>21.446584000000001</v>
      </c>
      <c r="GT149" s="36" t="s">
        <v>2700</v>
      </c>
      <c r="GV149" s="36">
        <f t="shared" si="185"/>
        <v>1</v>
      </c>
      <c r="GW149" s="5">
        <f>HA149/HE149*100%</f>
        <v>0.14692277063821677</v>
      </c>
      <c r="HA149" s="36">
        <v>27.52</v>
      </c>
      <c r="HB149" s="36" t="s">
        <v>2690</v>
      </c>
      <c r="HE149" s="38">
        <v>187.309291</v>
      </c>
      <c r="HF149" s="36" t="s">
        <v>2700</v>
      </c>
      <c r="HH149" s="36">
        <f t="shared" si="186"/>
        <v>4</v>
      </c>
      <c r="HI149" s="5">
        <f>HM149/HQ149</f>
        <v>0.64440814098352461</v>
      </c>
      <c r="HM149" s="36">
        <v>8.74</v>
      </c>
      <c r="HN149" s="36" t="s">
        <v>2689</v>
      </c>
      <c r="HQ149" s="83">
        <v>13.562832999999999</v>
      </c>
      <c r="HR149" s="36" t="s">
        <v>2700</v>
      </c>
      <c r="HT149" s="36">
        <f t="shared" ref="HT149:HT155" si="200">IF(HU149="数据缺失",0,IF(HU149&lt;5%,4,IF(HU149&lt;=10%,3,IF(HU149&lt;30%,2,IF(HU149&lt;=100%,1,0)))))</f>
        <v>4</v>
      </c>
      <c r="HU149" s="36">
        <f t="shared" si="196"/>
        <v>0</v>
      </c>
      <c r="HY149" s="36">
        <v>0</v>
      </c>
      <c r="HZ149" s="36" t="s">
        <v>2690</v>
      </c>
      <c r="IC149" s="36">
        <v>28.93</v>
      </c>
      <c r="ID149" s="36" t="s">
        <v>2701</v>
      </c>
      <c r="IR149" s="3">
        <f t="shared" si="197"/>
        <v>4</v>
      </c>
      <c r="IS149" s="5">
        <f>IW149/JA149</f>
        <v>0.30673895081777064</v>
      </c>
      <c r="IW149" s="36">
        <v>32.76</v>
      </c>
      <c r="IX149" s="36" t="s">
        <v>2690</v>
      </c>
      <c r="JA149" s="38">
        <v>106.80091299999999</v>
      </c>
      <c r="JB149" s="36" t="s">
        <v>2700</v>
      </c>
      <c r="JD149" s="36">
        <f t="shared" si="191"/>
        <v>3</v>
      </c>
      <c r="JE149" s="41">
        <f t="shared" si="192"/>
        <v>6.5644433729620449E-2</v>
      </c>
      <c r="JI149" s="36">
        <v>6.78</v>
      </c>
      <c r="JJ149" s="36" t="s">
        <v>2690</v>
      </c>
      <c r="JM149" s="36">
        <v>2.13</v>
      </c>
      <c r="JN149" s="36" t="s">
        <v>2690</v>
      </c>
      <c r="JQ149" s="36">
        <v>47.84</v>
      </c>
      <c r="JR149" s="36" t="s">
        <v>2690</v>
      </c>
      <c r="JU149" s="36">
        <v>49.14</v>
      </c>
      <c r="JV149" s="36" t="s">
        <v>2690</v>
      </c>
      <c r="JX149" s="36">
        <v>2</v>
      </c>
      <c r="JY149" s="36" t="s">
        <v>2702</v>
      </c>
      <c r="KB149" s="36">
        <v>26</v>
      </c>
      <c r="KC149" s="36" t="s">
        <v>2702</v>
      </c>
      <c r="KD149" s="36" t="s">
        <v>2690</v>
      </c>
      <c r="KF149" s="36">
        <f t="shared" si="180"/>
        <v>1</v>
      </c>
      <c r="KG149" s="5">
        <f t="shared" ref="KG149:KG154" si="201">KK149/KO149</f>
        <v>0</v>
      </c>
      <c r="KK149" s="3">
        <v>0</v>
      </c>
      <c r="KL149" s="36" t="s">
        <v>2690</v>
      </c>
      <c r="KO149" s="38">
        <v>106.80091299999999</v>
      </c>
      <c r="KP149" s="36" t="s">
        <v>2701</v>
      </c>
    </row>
    <row r="150" spans="2:302" s="36" customFormat="1" ht="13" hidden="1" x14ac:dyDescent="0.35">
      <c r="B150" s="36" t="s">
        <v>2703</v>
      </c>
      <c r="C150" s="36" t="s">
        <v>2205</v>
      </c>
      <c r="D150" s="36" t="s">
        <v>2205</v>
      </c>
      <c r="E150" s="36" t="s">
        <v>197</v>
      </c>
      <c r="F150" s="36" t="s">
        <v>2704</v>
      </c>
      <c r="G150" s="3" t="s">
        <v>174</v>
      </c>
      <c r="H150" s="41">
        <v>0.99480000000000002</v>
      </c>
      <c r="I150" s="192"/>
      <c r="L150" s="3">
        <v>2</v>
      </c>
      <c r="M150" s="36" t="s">
        <v>2705</v>
      </c>
      <c r="P150" s="233" t="s">
        <v>2900</v>
      </c>
      <c r="Q150" s="36" t="s">
        <v>2706</v>
      </c>
      <c r="R150" s="36" t="s">
        <v>146</v>
      </c>
      <c r="T150" s="119" t="s">
        <v>203</v>
      </c>
      <c r="U150" s="41">
        <v>0.53320000000000001</v>
      </c>
      <c r="X150" s="36">
        <f t="shared" si="150"/>
        <v>1</v>
      </c>
      <c r="Y150" s="5">
        <f>((AC150-AG150)/AG150+(AG150-AK150)/AK150)/2*100%</f>
        <v>1.275107204116638</v>
      </c>
      <c r="AC150" s="36">
        <v>17.25</v>
      </c>
      <c r="AD150" s="36" t="s">
        <v>2707</v>
      </c>
      <c r="AG150" s="36">
        <v>4.24</v>
      </c>
      <c r="AH150" s="36" t="s">
        <v>2708</v>
      </c>
      <c r="AK150" s="36">
        <v>8.8000000000000007</v>
      </c>
      <c r="AL150" s="36" t="s">
        <v>2708</v>
      </c>
      <c r="AN150" s="36">
        <f t="shared" si="152"/>
        <v>1</v>
      </c>
      <c r="AO150" s="5">
        <f>((AS150-AW150)/AW150+(AW150-BA150)/BA150)/2*100%</f>
        <v>1.0746258195307108</v>
      </c>
      <c r="AS150" s="36">
        <v>21.61</v>
      </c>
      <c r="AT150" s="36" t="s">
        <v>2707</v>
      </c>
      <c r="AW150" s="36">
        <v>5.76</v>
      </c>
      <c r="AX150" s="36" t="s">
        <v>2708</v>
      </c>
      <c r="BA150" s="36">
        <v>14.49</v>
      </c>
      <c r="BB150" s="36" t="s">
        <v>2708</v>
      </c>
      <c r="BD150" s="2">
        <f t="shared" si="149"/>
        <v>5</v>
      </c>
      <c r="BE150" s="36">
        <f t="shared" si="154"/>
        <v>17.25</v>
      </c>
      <c r="BI150" s="36">
        <v>17.25</v>
      </c>
      <c r="BJ150" s="36" t="s">
        <v>2707</v>
      </c>
      <c r="BL150" s="2">
        <f t="shared" si="155"/>
        <v>5</v>
      </c>
      <c r="BM150" s="36">
        <f t="shared" si="156"/>
        <v>21.61</v>
      </c>
      <c r="BQ150" s="36">
        <v>21.61</v>
      </c>
      <c r="BR150" s="36" t="s">
        <v>2708</v>
      </c>
      <c r="BT150" s="8">
        <f t="shared" si="157"/>
        <v>4</v>
      </c>
      <c r="BU150" s="36">
        <f t="shared" si="193"/>
        <v>500</v>
      </c>
      <c r="BY150" s="36">
        <v>500</v>
      </c>
      <c r="BZ150" s="36" t="s">
        <v>234</v>
      </c>
      <c r="CB150" s="36">
        <v>2</v>
      </c>
      <c r="CC150" s="36" t="s">
        <v>2709</v>
      </c>
      <c r="CF150" s="36" t="s">
        <v>2352</v>
      </c>
      <c r="CG150" s="36" t="s">
        <v>2710</v>
      </c>
      <c r="CH150" s="36" t="s">
        <v>2711</v>
      </c>
      <c r="CJ150" s="36">
        <f>IF(CK150="数据缺失",0,IF(CK150&lt;0,0,IF(CK150&lt;2,2,IF(CK150&lt;=5,1,3))))</f>
        <v>1</v>
      </c>
      <c r="CK150" s="53">
        <f t="shared" si="198"/>
        <v>2.9182608695652177</v>
      </c>
      <c r="CO150" s="36">
        <v>50.34</v>
      </c>
      <c r="CP150" s="36" t="s">
        <v>2712</v>
      </c>
      <c r="CS150" s="36">
        <v>17.25</v>
      </c>
      <c r="CT150" s="36" t="s">
        <v>2708</v>
      </c>
      <c r="CV150" s="36">
        <f t="shared" si="159"/>
        <v>4</v>
      </c>
      <c r="CW150" s="36">
        <f t="shared" si="194"/>
        <v>162.43</v>
      </c>
      <c r="DA150" s="36">
        <v>162.43</v>
      </c>
      <c r="DB150" s="36" t="s">
        <v>2712</v>
      </c>
      <c r="DC150" s="36" t="s">
        <v>2713</v>
      </c>
      <c r="DD150" s="36">
        <f t="shared" si="195"/>
        <v>2</v>
      </c>
      <c r="DE150" s="53">
        <f t="shared" si="199"/>
        <v>7.516427579824156</v>
      </c>
      <c r="DI150" s="36">
        <v>21.61</v>
      </c>
      <c r="DJ150" s="36" t="s">
        <v>2707</v>
      </c>
      <c r="DM150" s="36">
        <v>162.43</v>
      </c>
      <c r="DN150" s="36" t="s">
        <v>146</v>
      </c>
      <c r="DO150" s="36" t="s">
        <v>2714</v>
      </c>
      <c r="DP150" s="36">
        <v>3</v>
      </c>
      <c r="DQ150" s="36" t="s">
        <v>2715</v>
      </c>
      <c r="DU150" s="86">
        <v>0</v>
      </c>
      <c r="DV150" s="36" t="s">
        <v>2712</v>
      </c>
      <c r="DY150" s="86">
        <v>1</v>
      </c>
      <c r="DZ150" s="36" t="s">
        <v>146</v>
      </c>
      <c r="EC150" s="86">
        <v>0</v>
      </c>
      <c r="ED150" s="36" t="s">
        <v>2712</v>
      </c>
      <c r="EG150" s="86">
        <v>0</v>
      </c>
      <c r="EH150" s="36" t="s">
        <v>2712</v>
      </c>
      <c r="EJ150" s="36">
        <f t="shared" si="163"/>
        <v>4</v>
      </c>
      <c r="EK150" s="36">
        <f t="shared" si="182"/>
        <v>14.1</v>
      </c>
      <c r="EO150" s="36">
        <v>14.1</v>
      </c>
      <c r="EP150" s="36" t="s">
        <v>2707</v>
      </c>
      <c r="ER150" s="36">
        <f t="shared" si="165"/>
        <v>3</v>
      </c>
      <c r="ES150" s="36">
        <f t="shared" si="188"/>
        <v>28.44</v>
      </c>
      <c r="EW150" s="36">
        <v>28.44</v>
      </c>
      <c r="EX150" s="36" t="s">
        <v>2707</v>
      </c>
      <c r="EZ150" s="3">
        <f t="shared" si="189"/>
        <v>1</v>
      </c>
      <c r="FA150" s="36">
        <f t="shared" si="190"/>
        <v>218.51</v>
      </c>
      <c r="FE150" s="36">
        <v>218.51</v>
      </c>
      <c r="FF150" s="36" t="s">
        <v>146</v>
      </c>
      <c r="FG150" s="36" t="s">
        <v>2716</v>
      </c>
      <c r="FH150" s="36">
        <v>3</v>
      </c>
      <c r="FI150" s="36" t="s">
        <v>2717</v>
      </c>
      <c r="FM150" s="86">
        <v>0</v>
      </c>
      <c r="FN150" s="36" t="s">
        <v>146</v>
      </c>
      <c r="FQ150" s="86">
        <v>1</v>
      </c>
      <c r="FR150" s="36" t="s">
        <v>146</v>
      </c>
      <c r="FU150" s="86">
        <v>0</v>
      </c>
      <c r="FV150" s="36" t="s">
        <v>146</v>
      </c>
      <c r="FY150" s="86">
        <v>0</v>
      </c>
      <c r="FZ150" s="36" t="s">
        <v>2712</v>
      </c>
      <c r="GB150" s="36">
        <v>2</v>
      </c>
      <c r="GC150" s="36" t="s">
        <v>2718</v>
      </c>
      <c r="GG150" s="36" t="s">
        <v>2718</v>
      </c>
      <c r="GH150" s="36" t="s">
        <v>146</v>
      </c>
      <c r="GJ150" s="36">
        <f>IF(GK150="数据缺失",0,IF(GK150&lt;0%,0,IF(GK150&lt;=5%,4,IF(GK150&lt;10%,3,IF(GK150&lt;20%,2,1)))))</f>
        <v>4</v>
      </c>
      <c r="GK150" s="5">
        <f>GN150/GS150</f>
        <v>3.8659704155038978E-2</v>
      </c>
      <c r="GN150" s="36">
        <v>0.43</v>
      </c>
      <c r="GO150" s="36" t="s">
        <v>2719</v>
      </c>
      <c r="GP150" s="36" t="s">
        <v>2712</v>
      </c>
      <c r="GS150" s="38">
        <v>11.1226924623</v>
      </c>
      <c r="GT150" s="36" t="s">
        <v>2720</v>
      </c>
      <c r="GV150" s="36">
        <f t="shared" si="185"/>
        <v>2</v>
      </c>
      <c r="GW150" s="5">
        <f>HA150/HE150*100%</f>
        <v>0.26356790111535999</v>
      </c>
      <c r="HA150" s="36">
        <v>21.42</v>
      </c>
      <c r="HB150" s="36" t="s">
        <v>146</v>
      </c>
      <c r="HE150" s="38">
        <v>81.269380335600005</v>
      </c>
      <c r="HF150" s="36" t="s">
        <v>2720</v>
      </c>
      <c r="HH150" s="36">
        <f t="shared" si="186"/>
        <v>1</v>
      </c>
      <c r="HI150" s="5">
        <f>HM150/HQ150</f>
        <v>0.16326386703846107</v>
      </c>
      <c r="HM150" s="36">
        <v>1.08</v>
      </c>
      <c r="HN150" s="36" t="s">
        <v>2712</v>
      </c>
      <c r="HQ150" s="83">
        <v>6.6150583077</v>
      </c>
      <c r="HR150" s="36" t="s">
        <v>2721</v>
      </c>
      <c r="HT150" s="36">
        <f t="shared" si="200"/>
        <v>4</v>
      </c>
      <c r="HU150" s="36">
        <f t="shared" si="196"/>
        <v>0</v>
      </c>
      <c r="HY150" s="36">
        <v>0</v>
      </c>
      <c r="HZ150" s="36" t="s">
        <v>146</v>
      </c>
      <c r="IC150" s="36">
        <v>10.77</v>
      </c>
      <c r="ID150" s="36" t="s">
        <v>2721</v>
      </c>
      <c r="IR150" s="3">
        <f t="shared" si="197"/>
        <v>4</v>
      </c>
      <c r="IS150" s="5">
        <f>IW150/JA150</f>
        <v>0</v>
      </c>
      <c r="IW150" s="36">
        <v>0</v>
      </c>
      <c r="IX150" s="36" t="s">
        <v>146</v>
      </c>
      <c r="JA150" s="38">
        <v>29.714979028200002</v>
      </c>
      <c r="JB150" s="36" t="s">
        <v>2721</v>
      </c>
      <c r="JD150" s="36">
        <f t="shared" si="191"/>
        <v>3</v>
      </c>
      <c r="JE150" s="41">
        <f t="shared" si="192"/>
        <v>7.9834695219310595E-2</v>
      </c>
      <c r="JI150" s="36">
        <v>0.85</v>
      </c>
      <c r="JJ150" s="36" t="s">
        <v>146</v>
      </c>
      <c r="JM150" s="36">
        <v>0.39</v>
      </c>
      <c r="JN150" s="36" t="s">
        <v>2712</v>
      </c>
      <c r="JQ150" s="36">
        <v>32.1</v>
      </c>
      <c r="JR150" s="36" t="s">
        <v>2722</v>
      </c>
      <c r="JU150" s="36">
        <v>22.5</v>
      </c>
      <c r="JV150" s="36" t="s">
        <v>2722</v>
      </c>
      <c r="JX150" s="36">
        <v>2</v>
      </c>
      <c r="JY150" s="36" t="s">
        <v>155</v>
      </c>
      <c r="KB150" s="36">
        <v>2</v>
      </c>
      <c r="KC150" s="36" t="s">
        <v>155</v>
      </c>
      <c r="KD150" s="36" t="s">
        <v>2712</v>
      </c>
      <c r="KF150" s="36">
        <f t="shared" si="180"/>
        <v>2</v>
      </c>
      <c r="KG150" s="5">
        <f t="shared" si="201"/>
        <v>0.34494387461194509</v>
      </c>
      <c r="KK150" s="3">
        <v>10.25</v>
      </c>
      <c r="KL150" s="36" t="s">
        <v>2712</v>
      </c>
      <c r="KM150" s="36" t="s">
        <v>2723</v>
      </c>
      <c r="KO150" s="38">
        <v>29.714979028200002</v>
      </c>
      <c r="KP150" s="36" t="s">
        <v>2720</v>
      </c>
    </row>
    <row r="151" spans="2:302" s="36" customFormat="1" ht="13.5" customHeight="1" x14ac:dyDescent="0.35">
      <c r="B151" s="36" t="s">
        <v>2724</v>
      </c>
      <c r="C151" s="36" t="s">
        <v>2205</v>
      </c>
      <c r="D151" s="36" t="s">
        <v>170</v>
      </c>
      <c r="E151" s="36" t="s">
        <v>197</v>
      </c>
      <c r="F151" s="36" t="s">
        <v>2725</v>
      </c>
      <c r="G151" s="3" t="s">
        <v>249</v>
      </c>
      <c r="H151" s="117">
        <v>0.71630000000000005</v>
      </c>
      <c r="L151" s="3">
        <v>4</v>
      </c>
      <c r="M151" s="36" t="s">
        <v>2899</v>
      </c>
      <c r="P151" s="36" t="s">
        <v>126</v>
      </c>
      <c r="Q151" s="36" t="s">
        <v>2726</v>
      </c>
      <c r="R151" s="36" t="s">
        <v>2727</v>
      </c>
      <c r="T151" s="36" t="s">
        <v>129</v>
      </c>
      <c r="U151" s="41">
        <v>0.29570000000000002</v>
      </c>
      <c r="X151" s="36">
        <f t="shared" si="150"/>
        <v>0</v>
      </c>
      <c r="Y151" s="5" t="s">
        <v>2699</v>
      </c>
      <c r="AC151" s="36">
        <v>58.91</v>
      </c>
      <c r="AD151" s="36" t="s">
        <v>310</v>
      </c>
      <c r="AG151" s="36">
        <v>41.54</v>
      </c>
      <c r="AH151" s="36" t="s">
        <v>310</v>
      </c>
      <c r="AK151" s="5" t="s">
        <v>2699</v>
      </c>
      <c r="AN151" s="36">
        <f t="shared" si="152"/>
        <v>0</v>
      </c>
      <c r="AO151" s="5" t="s">
        <v>2699</v>
      </c>
      <c r="AS151" s="36">
        <v>65.02</v>
      </c>
      <c r="AT151" s="36" t="s">
        <v>310</v>
      </c>
      <c r="AW151" s="36">
        <v>49.09</v>
      </c>
      <c r="AX151" s="36" t="s">
        <v>2729</v>
      </c>
      <c r="BA151" s="5" t="s">
        <v>2699</v>
      </c>
      <c r="BD151" s="2">
        <f t="shared" si="149"/>
        <v>4</v>
      </c>
      <c r="BE151" s="36">
        <f t="shared" si="154"/>
        <v>58.91</v>
      </c>
      <c r="BI151" s="36">
        <v>58.91</v>
      </c>
      <c r="BJ151" s="36" t="s">
        <v>2729</v>
      </c>
      <c r="BL151" s="2">
        <f t="shared" si="155"/>
        <v>4</v>
      </c>
      <c r="BM151" s="36">
        <f t="shared" si="156"/>
        <v>65.02</v>
      </c>
      <c r="BQ151" s="36">
        <v>65.02</v>
      </c>
      <c r="BR151" s="36" t="s">
        <v>310</v>
      </c>
      <c r="BT151" s="8">
        <f t="shared" si="157"/>
        <v>5</v>
      </c>
      <c r="BU151" s="36" t="str">
        <f t="shared" si="193"/>
        <v>未上榜</v>
      </c>
      <c r="BY151" s="36" t="s">
        <v>2730</v>
      </c>
      <c r="BZ151" s="39" t="s">
        <v>1161</v>
      </c>
      <c r="CB151" s="36">
        <v>1</v>
      </c>
      <c r="CC151" s="36" t="str">
        <f>CF151</f>
        <v>一级</v>
      </c>
      <c r="CF151" s="36" t="s">
        <v>132</v>
      </c>
      <c r="CG151" s="36" t="s">
        <v>2731</v>
      </c>
      <c r="CH151" s="36" t="s">
        <v>2732</v>
      </c>
      <c r="CJ151" s="36">
        <v>2</v>
      </c>
      <c r="CK151" s="53">
        <f t="shared" si="198"/>
        <v>0.2296723815990494</v>
      </c>
      <c r="CO151" s="36">
        <v>13.53</v>
      </c>
      <c r="CP151" s="36" t="s">
        <v>2733</v>
      </c>
      <c r="CQ151" s="36" t="s">
        <v>2734</v>
      </c>
      <c r="CS151" s="36">
        <v>58.91</v>
      </c>
      <c r="CT151" s="36" t="s">
        <v>310</v>
      </c>
      <c r="CV151" s="36">
        <f t="shared" si="159"/>
        <v>4</v>
      </c>
      <c r="CW151" s="36">
        <v>139.24</v>
      </c>
      <c r="DA151" s="36">
        <v>139.24</v>
      </c>
      <c r="DB151" s="36" t="s">
        <v>2727</v>
      </c>
      <c r="DD151" s="36">
        <f t="shared" si="195"/>
        <v>1</v>
      </c>
      <c r="DE151" s="53">
        <f t="shared" si="199"/>
        <v>2.141494924638573</v>
      </c>
      <c r="DI151" s="36">
        <v>65.02</v>
      </c>
      <c r="DJ151" s="36" t="s">
        <v>310</v>
      </c>
      <c r="DM151" s="36">
        <v>139.24</v>
      </c>
      <c r="DN151" s="36" t="s">
        <v>366</v>
      </c>
      <c r="DP151" s="36">
        <v>3</v>
      </c>
      <c r="DQ151" s="36" t="s">
        <v>2735</v>
      </c>
      <c r="DU151" s="86">
        <v>0</v>
      </c>
      <c r="DV151" s="36" t="s">
        <v>2727</v>
      </c>
      <c r="DY151" s="86">
        <v>1</v>
      </c>
      <c r="DZ151" s="36" t="s">
        <v>366</v>
      </c>
      <c r="EC151" s="86">
        <v>0</v>
      </c>
      <c r="ED151" s="36" t="s">
        <v>2727</v>
      </c>
      <c r="EG151" s="86">
        <v>0</v>
      </c>
      <c r="EH151" s="36" t="s">
        <v>366</v>
      </c>
      <c r="EJ151" s="36">
        <f t="shared" si="163"/>
        <v>3</v>
      </c>
      <c r="EK151" s="36">
        <f t="shared" si="182"/>
        <v>26.73</v>
      </c>
      <c r="EO151" s="36">
        <v>26.73</v>
      </c>
      <c r="EP151" s="36" t="s">
        <v>2736</v>
      </c>
      <c r="EQ151" s="36" t="s">
        <v>2737</v>
      </c>
      <c r="ER151" s="36">
        <f t="shared" si="165"/>
        <v>2</v>
      </c>
      <c r="ES151" s="36">
        <f t="shared" si="188"/>
        <v>58.62</v>
      </c>
      <c r="EW151" s="36">
        <v>58.62</v>
      </c>
      <c r="EX151" s="36" t="s">
        <v>2736</v>
      </c>
      <c r="EZ151" s="3">
        <f t="shared" si="189"/>
        <v>3</v>
      </c>
      <c r="FA151" s="36">
        <f t="shared" si="190"/>
        <v>96.08</v>
      </c>
      <c r="FE151" s="36">
        <v>96.08</v>
      </c>
      <c r="FF151" s="36" t="s">
        <v>2727</v>
      </c>
      <c r="FH151" s="36">
        <v>3</v>
      </c>
      <c r="FI151" s="36" t="s">
        <v>1148</v>
      </c>
      <c r="FM151" s="86">
        <v>0</v>
      </c>
      <c r="FN151" s="36" t="s">
        <v>2727</v>
      </c>
      <c r="FQ151" s="86">
        <v>1</v>
      </c>
      <c r="FR151" s="36" t="s">
        <v>366</v>
      </c>
      <c r="FU151" s="86">
        <v>0</v>
      </c>
      <c r="FV151" s="36" t="s">
        <v>366</v>
      </c>
      <c r="FY151" s="86">
        <v>0</v>
      </c>
      <c r="FZ151" s="36" t="s">
        <v>366</v>
      </c>
      <c r="GB151" s="36">
        <v>1</v>
      </c>
      <c r="GC151" s="36" t="s">
        <v>2738</v>
      </c>
      <c r="GG151" s="36" t="s">
        <v>2738</v>
      </c>
      <c r="GH151" s="36" t="s">
        <v>366</v>
      </c>
      <c r="GJ151" s="36">
        <v>0</v>
      </c>
      <c r="GK151" s="82" t="s">
        <v>37</v>
      </c>
      <c r="GL151" s="3"/>
      <c r="GM151" s="3"/>
      <c r="GN151" s="3" t="s">
        <v>2699</v>
      </c>
      <c r="GO151" s="36" t="s">
        <v>1192</v>
      </c>
      <c r="GS151" s="38">
        <v>30.498433092700001</v>
      </c>
      <c r="GT151" s="36" t="s">
        <v>2701</v>
      </c>
      <c r="GV151" s="36">
        <f t="shared" si="185"/>
        <v>0</v>
      </c>
      <c r="GW151" s="36" t="s">
        <v>2672</v>
      </c>
      <c r="HA151" s="36" t="s">
        <v>2699</v>
      </c>
      <c r="HE151" s="38">
        <v>118.08539037790001</v>
      </c>
      <c r="HF151" s="36" t="s">
        <v>144</v>
      </c>
      <c r="HH151" s="36">
        <f t="shared" si="186"/>
        <v>3</v>
      </c>
      <c r="HI151" s="5">
        <f>HM151/HQ151</f>
        <v>0.54734840577103994</v>
      </c>
      <c r="HM151" s="36">
        <v>7.87</v>
      </c>
      <c r="HN151" s="36" t="s">
        <v>366</v>
      </c>
      <c r="HQ151" s="83">
        <v>14.3784103818</v>
      </c>
      <c r="HR151" s="36" t="s">
        <v>2700</v>
      </c>
      <c r="HT151" s="36">
        <f t="shared" si="200"/>
        <v>4</v>
      </c>
      <c r="HU151" s="41">
        <f t="shared" si="196"/>
        <v>2.8851873884592507E-2</v>
      </c>
      <c r="HY151" s="36">
        <v>0.97</v>
      </c>
      <c r="HZ151" s="36" t="s">
        <v>2728</v>
      </c>
      <c r="IC151" s="36">
        <v>33.619999999999997</v>
      </c>
      <c r="ID151" s="36" t="s">
        <v>144</v>
      </c>
      <c r="IR151" s="3">
        <f t="shared" si="197"/>
        <v>0</v>
      </c>
      <c r="IS151" s="36" t="s">
        <v>2672</v>
      </c>
      <c r="IW151" s="36" t="s">
        <v>2672</v>
      </c>
      <c r="JA151" s="38">
        <v>19.1026345591</v>
      </c>
      <c r="JB151" s="36" t="s">
        <v>144</v>
      </c>
      <c r="JD151" s="36">
        <f t="shared" si="191"/>
        <v>3</v>
      </c>
      <c r="JE151" s="117">
        <f t="shared" si="192"/>
        <v>7.4947267990851996E-2</v>
      </c>
      <c r="JI151" s="36">
        <v>6.41</v>
      </c>
      <c r="JJ151" s="36" t="s">
        <v>2739</v>
      </c>
      <c r="JM151" s="36">
        <v>1.46</v>
      </c>
      <c r="JN151" s="36" t="s">
        <v>2739</v>
      </c>
      <c r="JQ151" s="36">
        <v>72.900000000000006</v>
      </c>
      <c r="JR151" s="36" t="s">
        <v>2729</v>
      </c>
      <c r="JU151" s="36">
        <v>44.26</v>
      </c>
      <c r="JV151" s="36" t="s">
        <v>2739</v>
      </c>
      <c r="JX151" s="36">
        <v>2</v>
      </c>
      <c r="JY151" s="36" t="s">
        <v>754</v>
      </c>
      <c r="KB151" s="36">
        <v>4</v>
      </c>
      <c r="KC151" s="36" t="s">
        <v>754</v>
      </c>
      <c r="KD151" s="36" t="s">
        <v>366</v>
      </c>
      <c r="KF151" s="36">
        <f t="shared" si="180"/>
        <v>1</v>
      </c>
      <c r="KG151" s="5">
        <f t="shared" si="201"/>
        <v>0</v>
      </c>
      <c r="KK151" s="3">
        <v>0</v>
      </c>
      <c r="KL151" s="36" t="s">
        <v>2740</v>
      </c>
      <c r="KO151" s="38">
        <v>19.1026345591</v>
      </c>
      <c r="KP151" s="36" t="s">
        <v>2700</v>
      </c>
    </row>
    <row r="152" spans="2:302" s="36" customFormat="1" ht="13.5" hidden="1" customHeight="1" x14ac:dyDescent="0.35">
      <c r="B152" s="36" t="s">
        <v>2741</v>
      </c>
      <c r="C152" s="36" t="s">
        <v>2205</v>
      </c>
      <c r="D152" s="36" t="s">
        <v>170</v>
      </c>
      <c r="E152" s="36" t="s">
        <v>2520</v>
      </c>
      <c r="F152" s="36" t="s">
        <v>2742</v>
      </c>
      <c r="G152" s="3" t="s">
        <v>174</v>
      </c>
      <c r="H152" s="117">
        <v>0.79579999999999995</v>
      </c>
      <c r="L152" s="3">
        <v>3</v>
      </c>
      <c r="M152" s="36" t="s">
        <v>2812</v>
      </c>
      <c r="P152" s="190" t="s">
        <v>2814</v>
      </c>
      <c r="Q152" s="36" t="s">
        <v>2813</v>
      </c>
      <c r="R152" s="36" t="s">
        <v>146</v>
      </c>
      <c r="T152" s="36" t="s">
        <v>111</v>
      </c>
      <c r="U152" s="41">
        <v>0.63190000000000002</v>
      </c>
      <c r="X152" s="36">
        <f t="shared" si="150"/>
        <v>6</v>
      </c>
      <c r="Y152" s="5">
        <f>((AC152-AG152)/AG152+(AG152-AK152)/AK152)/2*100%</f>
        <v>-0.31471745154879754</v>
      </c>
      <c r="AC152" s="36">
        <v>3.99</v>
      </c>
      <c r="AD152" s="36" t="s">
        <v>2743</v>
      </c>
      <c r="AG152" s="36">
        <v>3.89</v>
      </c>
      <c r="AH152" s="36" t="s">
        <v>2743</v>
      </c>
      <c r="AK152" s="36">
        <v>11.28</v>
      </c>
      <c r="AL152" s="36" t="s">
        <v>2743</v>
      </c>
      <c r="AN152" s="36">
        <f t="shared" si="152"/>
        <v>5</v>
      </c>
      <c r="AO152" s="5">
        <f>((AS152-AW152)/AW152+(AW152-BA152)/BA152)/2*100%</f>
        <v>-0.15645596778152529</v>
      </c>
      <c r="AS152" s="36">
        <v>7.91</v>
      </c>
      <c r="AT152" s="36" t="s">
        <v>2743</v>
      </c>
      <c r="AW152" s="36">
        <v>6.94</v>
      </c>
      <c r="AX152" s="36" t="s">
        <v>2743</v>
      </c>
      <c r="BA152" s="36">
        <v>12.68</v>
      </c>
      <c r="BB152" s="36" t="s">
        <v>2743</v>
      </c>
      <c r="BD152" s="2">
        <f t="shared" si="149"/>
        <v>5</v>
      </c>
      <c r="BE152" s="36">
        <f t="shared" si="154"/>
        <v>3.99</v>
      </c>
      <c r="BI152" s="36">
        <v>3.99</v>
      </c>
      <c r="BJ152" s="36" t="s">
        <v>2743</v>
      </c>
      <c r="BL152" s="2">
        <f t="shared" si="155"/>
        <v>5</v>
      </c>
      <c r="BM152" s="36">
        <f t="shared" si="156"/>
        <v>7.91</v>
      </c>
      <c r="BQ152" s="36">
        <v>7.91</v>
      </c>
      <c r="BR152" s="36" t="s">
        <v>2743</v>
      </c>
      <c r="BT152" s="8">
        <f t="shared" si="157"/>
        <v>5</v>
      </c>
      <c r="BU152" s="36" t="str">
        <f t="shared" si="193"/>
        <v>未上榜</v>
      </c>
      <c r="BY152" s="36" t="s">
        <v>179</v>
      </c>
      <c r="BZ152" s="36" t="s">
        <v>234</v>
      </c>
      <c r="CB152" s="36">
        <v>1</v>
      </c>
      <c r="CC152" s="36" t="s">
        <v>133</v>
      </c>
      <c r="CF152" s="36" t="s">
        <v>132</v>
      </c>
      <c r="CG152" s="36" t="s">
        <v>2744</v>
      </c>
      <c r="CH152" s="36" t="s">
        <v>2745</v>
      </c>
      <c r="CJ152" s="36">
        <v>1</v>
      </c>
      <c r="CK152" s="53">
        <f t="shared" si="198"/>
        <v>0</v>
      </c>
      <c r="CO152" s="36">
        <v>0</v>
      </c>
      <c r="CP152" s="36" t="s">
        <v>2745</v>
      </c>
      <c r="CS152" s="36">
        <v>3.99</v>
      </c>
      <c r="CT152" s="36" t="s">
        <v>2743</v>
      </c>
      <c r="CV152" s="36">
        <f t="shared" si="159"/>
        <v>5</v>
      </c>
      <c r="CW152" s="36">
        <f>DA152</f>
        <v>62.31</v>
      </c>
      <c r="DA152" s="191">
        <v>62.31</v>
      </c>
      <c r="DB152" s="36" t="s">
        <v>2743</v>
      </c>
      <c r="DC152" s="36" t="s">
        <v>775</v>
      </c>
      <c r="DD152" s="36">
        <f t="shared" si="195"/>
        <v>2</v>
      </c>
      <c r="DE152" s="53">
        <f t="shared" si="199"/>
        <v>7.8773704171934265</v>
      </c>
      <c r="DI152" s="36">
        <v>7.91</v>
      </c>
      <c r="DJ152" s="36" t="s">
        <v>2743</v>
      </c>
      <c r="DM152" s="191">
        <v>62.31</v>
      </c>
      <c r="DN152" s="36" t="s">
        <v>2746</v>
      </c>
      <c r="DO152" s="36" t="s">
        <v>2072</v>
      </c>
      <c r="DP152" s="36">
        <v>3</v>
      </c>
      <c r="DQ152" s="36" t="s">
        <v>1148</v>
      </c>
      <c r="DU152" s="86">
        <v>0</v>
      </c>
      <c r="DV152" s="36" t="s">
        <v>2743</v>
      </c>
      <c r="DY152" s="86">
        <v>1</v>
      </c>
      <c r="DZ152" s="36" t="s">
        <v>2743</v>
      </c>
      <c r="EC152" s="86">
        <v>0</v>
      </c>
      <c r="ED152" s="36" t="s">
        <v>2743</v>
      </c>
      <c r="EG152" s="86">
        <v>0</v>
      </c>
      <c r="EH152" s="36" t="s">
        <v>2743</v>
      </c>
      <c r="EJ152" s="36">
        <f t="shared" si="163"/>
        <v>4</v>
      </c>
      <c r="EK152" s="36">
        <f t="shared" si="182"/>
        <v>17.100000000000001</v>
      </c>
      <c r="EO152" s="36">
        <v>17.100000000000001</v>
      </c>
      <c r="EP152" s="36" t="s">
        <v>2745</v>
      </c>
      <c r="ER152" s="36">
        <f t="shared" si="165"/>
        <v>3</v>
      </c>
      <c r="ES152" s="36">
        <f t="shared" si="188"/>
        <v>32.89</v>
      </c>
      <c r="EW152" s="36">
        <v>32.89</v>
      </c>
      <c r="EX152" s="36" t="s">
        <v>2745</v>
      </c>
      <c r="EZ152" s="3">
        <v>3</v>
      </c>
      <c r="FA152" s="36">
        <v>61.6</v>
      </c>
      <c r="FE152" s="36">
        <v>61.6</v>
      </c>
      <c r="FF152" s="36" t="s">
        <v>2745</v>
      </c>
      <c r="FG152" s="36" t="s">
        <v>2747</v>
      </c>
      <c r="FH152" s="36">
        <v>3</v>
      </c>
      <c r="FI152" s="36" t="s">
        <v>1148</v>
      </c>
      <c r="FM152" s="86">
        <v>0</v>
      </c>
      <c r="FN152" s="36" t="s">
        <v>2745</v>
      </c>
      <c r="FQ152" s="86">
        <v>1</v>
      </c>
      <c r="FR152" s="36" t="s">
        <v>2745</v>
      </c>
      <c r="FU152" s="86">
        <v>0</v>
      </c>
      <c r="FV152" s="36" t="s">
        <v>2745</v>
      </c>
      <c r="FY152" s="86">
        <v>0</v>
      </c>
      <c r="FZ152" s="36" t="s">
        <v>2745</v>
      </c>
      <c r="GB152" s="36">
        <v>1</v>
      </c>
      <c r="GC152" s="36" t="s">
        <v>2748</v>
      </c>
      <c r="GG152" s="36" t="s">
        <v>2748</v>
      </c>
      <c r="GH152" s="36" t="s">
        <v>146</v>
      </c>
      <c r="GJ152" s="36">
        <f>IF(GK152="数据缺失",0,IF(GK152&lt;0%,0,IF(GK152&lt;=5%,4,IF(GK152&lt;10%,3,IF(GK152&lt;20%,2,1)))))</f>
        <v>3</v>
      </c>
      <c r="GK152" s="5">
        <f>GN152/GS152</f>
        <v>5.7660340034584263E-2</v>
      </c>
      <c r="GN152" s="36">
        <v>0.66600000000000004</v>
      </c>
      <c r="GO152" s="36" t="s">
        <v>2749</v>
      </c>
      <c r="GP152" s="36" t="s">
        <v>146</v>
      </c>
      <c r="GS152" s="38">
        <v>11.550400146800001</v>
      </c>
      <c r="GT152" s="36" t="s">
        <v>144</v>
      </c>
      <c r="GV152" s="36">
        <f t="shared" si="185"/>
        <v>1</v>
      </c>
      <c r="GW152" s="5">
        <f>HA152/HE152*100%</f>
        <v>0.18944942943817089</v>
      </c>
      <c r="HA152" s="36">
        <v>13.94</v>
      </c>
      <c r="HB152" s="36" t="s">
        <v>146</v>
      </c>
      <c r="HE152" s="38">
        <v>73.581641503699998</v>
      </c>
      <c r="HF152" s="36" t="s">
        <v>144</v>
      </c>
      <c r="HH152" s="36">
        <f t="shared" si="186"/>
        <v>1</v>
      </c>
      <c r="HI152" s="5">
        <f>HM152/HQ152</f>
        <v>2.2634973228704142E-2</v>
      </c>
      <c r="HM152" s="36">
        <v>0.14699999999999999</v>
      </c>
      <c r="HN152" s="36" t="s">
        <v>146</v>
      </c>
      <c r="HQ152" s="83">
        <v>6.4943748116999993</v>
      </c>
      <c r="HR152" s="36" t="s">
        <v>144</v>
      </c>
      <c r="HT152" s="36">
        <f t="shared" si="200"/>
        <v>4</v>
      </c>
      <c r="HU152" s="36">
        <f t="shared" si="196"/>
        <v>0</v>
      </c>
      <c r="HY152" s="36">
        <v>0</v>
      </c>
      <c r="HZ152" s="36" t="s">
        <v>146</v>
      </c>
      <c r="IC152" s="36">
        <v>3.88</v>
      </c>
      <c r="ID152" s="36" t="s">
        <v>144</v>
      </c>
      <c r="IR152" s="3">
        <f t="shared" si="197"/>
        <v>4</v>
      </c>
      <c r="IS152" s="5">
        <f>IW152/JA152</f>
        <v>0.13369493125082671</v>
      </c>
      <c r="IW152" s="36">
        <v>4.45</v>
      </c>
      <c r="IX152" s="36" t="s">
        <v>146</v>
      </c>
      <c r="JA152" s="38">
        <v>33.2847323258</v>
      </c>
      <c r="JB152" s="36" t="s">
        <v>144</v>
      </c>
      <c r="JD152" s="36">
        <f t="shared" si="191"/>
        <v>3</v>
      </c>
      <c r="JE152" s="117">
        <f t="shared" si="192"/>
        <v>7.7387143017764781E-2</v>
      </c>
      <c r="JI152" s="36">
        <v>1.762</v>
      </c>
      <c r="JJ152" s="36" t="s">
        <v>146</v>
      </c>
      <c r="JM152" s="36">
        <v>1.024</v>
      </c>
      <c r="JN152" s="36" t="s">
        <v>146</v>
      </c>
      <c r="JQ152" s="36">
        <v>21.25</v>
      </c>
      <c r="JR152" s="36" t="s">
        <v>2743</v>
      </c>
      <c r="JU152" s="36">
        <v>23.22</v>
      </c>
      <c r="JV152" s="36" t="s">
        <v>2743</v>
      </c>
      <c r="JX152" s="36">
        <v>2</v>
      </c>
      <c r="JY152" s="36" t="s">
        <v>2331</v>
      </c>
      <c r="KB152" s="36">
        <v>7</v>
      </c>
      <c r="KC152" s="36" t="s">
        <v>2331</v>
      </c>
      <c r="KD152" s="36" t="s">
        <v>146</v>
      </c>
      <c r="KF152" s="36">
        <f t="shared" si="180"/>
        <v>1</v>
      </c>
      <c r="KG152" s="5">
        <f t="shared" si="201"/>
        <v>0</v>
      </c>
      <c r="KK152" s="3">
        <v>0</v>
      </c>
      <c r="KL152" s="36" t="s">
        <v>146</v>
      </c>
      <c r="KO152" s="38">
        <v>33.2847323258</v>
      </c>
      <c r="KP152" s="36" t="s">
        <v>144</v>
      </c>
    </row>
    <row r="153" spans="2:302" s="36" customFormat="1" ht="13.5" customHeight="1" x14ac:dyDescent="0.35">
      <c r="B153" s="36" t="s">
        <v>2750</v>
      </c>
      <c r="C153" s="36" t="s">
        <v>2205</v>
      </c>
      <c r="D153" s="36" t="s">
        <v>170</v>
      </c>
      <c r="E153" s="36" t="s">
        <v>197</v>
      </c>
      <c r="F153" s="36" t="s">
        <v>2751</v>
      </c>
      <c r="G153" s="3" t="s">
        <v>199</v>
      </c>
      <c r="H153" s="117">
        <v>0.97270000000000001</v>
      </c>
      <c r="L153" s="3">
        <v>3</v>
      </c>
      <c r="M153" s="36" t="s">
        <v>2752</v>
      </c>
      <c r="P153" s="36" t="s">
        <v>864</v>
      </c>
      <c r="Q153" s="36" t="s">
        <v>2753</v>
      </c>
      <c r="R153" s="36" t="s">
        <v>1068</v>
      </c>
      <c r="T153" s="36" t="s">
        <v>203</v>
      </c>
      <c r="U153" s="41">
        <v>0.51939999999999997</v>
      </c>
      <c r="X153" s="36">
        <f t="shared" si="150"/>
        <v>0</v>
      </c>
      <c r="Y153" s="5" t="s">
        <v>37</v>
      </c>
      <c r="AC153" s="36">
        <v>14.22</v>
      </c>
      <c r="AD153" s="36" t="s">
        <v>2755</v>
      </c>
      <c r="AG153" s="5" t="s">
        <v>2572</v>
      </c>
      <c r="AK153" s="5" t="s">
        <v>37</v>
      </c>
      <c r="AN153" s="36">
        <f t="shared" si="152"/>
        <v>0</v>
      </c>
      <c r="AO153" s="5" t="s">
        <v>37</v>
      </c>
      <c r="AS153" s="36">
        <v>7.35</v>
      </c>
      <c r="AT153" s="36" t="s">
        <v>329</v>
      </c>
      <c r="AW153" s="5" t="s">
        <v>37</v>
      </c>
      <c r="BA153" s="5" t="s">
        <v>2572</v>
      </c>
      <c r="BD153" s="2">
        <f t="shared" si="149"/>
        <v>5</v>
      </c>
      <c r="BE153" s="36">
        <f t="shared" si="154"/>
        <v>14.22</v>
      </c>
      <c r="BI153" s="36">
        <v>14.22</v>
      </c>
      <c r="BJ153" s="36" t="s">
        <v>329</v>
      </c>
      <c r="BL153" s="2">
        <f t="shared" si="155"/>
        <v>5</v>
      </c>
      <c r="BM153" s="36">
        <f t="shared" si="156"/>
        <v>7.35</v>
      </c>
      <c r="BQ153" s="36">
        <v>7.35</v>
      </c>
      <c r="BR153" s="36" t="s">
        <v>329</v>
      </c>
      <c r="BT153" s="8">
        <f t="shared" si="157"/>
        <v>3</v>
      </c>
      <c r="BU153" s="36">
        <f t="shared" si="193"/>
        <v>237</v>
      </c>
      <c r="BY153" s="36">
        <v>237</v>
      </c>
      <c r="BZ153" s="36" t="s">
        <v>398</v>
      </c>
      <c r="CA153" s="36" t="s">
        <v>2756</v>
      </c>
      <c r="CB153" s="36">
        <v>1</v>
      </c>
      <c r="CC153" s="36" t="s">
        <v>133</v>
      </c>
      <c r="CF153" s="36" t="s">
        <v>132</v>
      </c>
      <c r="CG153" s="36" t="s">
        <v>2757</v>
      </c>
      <c r="CH153" s="36" t="s">
        <v>2754</v>
      </c>
      <c r="CJ153" s="36">
        <f>IF(CK153="数据缺失",0,IF(CK153&lt;0,0,IF(CK153&lt;2,2,IF(CK153&lt;=5,1,3))))</f>
        <v>2</v>
      </c>
      <c r="CK153" s="53">
        <f t="shared" si="198"/>
        <v>0.43094233473980309</v>
      </c>
      <c r="CO153" s="36">
        <v>6.1280000000000001</v>
      </c>
      <c r="CP153" s="36" t="s">
        <v>1084</v>
      </c>
      <c r="CS153" s="36">
        <v>14.22</v>
      </c>
      <c r="CT153" s="36" t="s">
        <v>329</v>
      </c>
      <c r="CV153" s="36">
        <f t="shared" si="159"/>
        <v>4</v>
      </c>
      <c r="CW153" s="36">
        <f>DA153</f>
        <v>148.84</v>
      </c>
      <c r="DA153" s="36">
        <v>148.84</v>
      </c>
      <c r="DB153" s="36" t="s">
        <v>1068</v>
      </c>
      <c r="DD153" s="36">
        <f t="shared" si="195"/>
        <v>2</v>
      </c>
      <c r="DE153" s="53">
        <f t="shared" si="199"/>
        <v>20.250340136054422</v>
      </c>
      <c r="DI153" s="36">
        <v>7.35</v>
      </c>
      <c r="DJ153" s="36" t="s">
        <v>2758</v>
      </c>
      <c r="DM153" s="36">
        <v>148.84</v>
      </c>
      <c r="DN153" s="36" t="s">
        <v>1068</v>
      </c>
      <c r="DP153" s="36">
        <v>6</v>
      </c>
      <c r="DQ153" s="36" t="s">
        <v>2759</v>
      </c>
      <c r="DU153" s="41">
        <v>3.4500000000000003E-2</v>
      </c>
      <c r="DV153" s="36" t="s">
        <v>2754</v>
      </c>
      <c r="DY153" s="86">
        <v>0</v>
      </c>
      <c r="DZ153" s="36" t="s">
        <v>2760</v>
      </c>
      <c r="EC153" s="41">
        <v>0.96550000000000002</v>
      </c>
      <c r="ED153" s="36" t="s">
        <v>1068</v>
      </c>
      <c r="EG153" s="86">
        <v>0</v>
      </c>
      <c r="EH153" s="36" t="s">
        <v>1068</v>
      </c>
      <c r="EJ153" s="36">
        <f t="shared" si="163"/>
        <v>3</v>
      </c>
      <c r="EK153" s="36">
        <f t="shared" si="182"/>
        <v>27.61</v>
      </c>
      <c r="EO153" s="36">
        <v>27.61</v>
      </c>
      <c r="EP153" s="36" t="s">
        <v>1084</v>
      </c>
      <c r="ER153" s="36">
        <f t="shared" si="165"/>
        <v>3</v>
      </c>
      <c r="ES153" s="36">
        <f t="shared" si="188"/>
        <v>27.04</v>
      </c>
      <c r="EW153" s="36">
        <v>27.04</v>
      </c>
      <c r="EX153" s="36" t="s">
        <v>2761</v>
      </c>
      <c r="EZ153" s="3">
        <f>IF(FA153="数据缺失",0,IF(FA153&lt;0%,0,IF(FA153&lt;=50,4,IF(FA153&lt;100,3,IF(FA153&lt;200,2,1)))))</f>
        <v>3</v>
      </c>
      <c r="FA153" s="36">
        <f>FE153</f>
        <v>91.05</v>
      </c>
      <c r="FE153" s="36">
        <v>91.05</v>
      </c>
      <c r="FF153" s="36" t="s">
        <v>1084</v>
      </c>
      <c r="FH153" s="36">
        <v>6</v>
      </c>
      <c r="FI153" s="36" t="s">
        <v>2762</v>
      </c>
      <c r="FM153" s="86">
        <v>0</v>
      </c>
      <c r="FN153" s="36" t="s">
        <v>1084</v>
      </c>
      <c r="FQ153" s="86">
        <v>0</v>
      </c>
      <c r="FR153" s="36" t="s">
        <v>2761</v>
      </c>
      <c r="FU153" s="86">
        <v>1</v>
      </c>
      <c r="FV153" s="36" t="s">
        <v>1084</v>
      </c>
      <c r="FY153" s="86">
        <v>0</v>
      </c>
      <c r="FZ153" s="36" t="s">
        <v>1084</v>
      </c>
      <c r="GB153" s="36">
        <v>2</v>
      </c>
      <c r="GC153" s="36" t="s">
        <v>2763</v>
      </c>
      <c r="GG153" s="36" t="s">
        <v>2764</v>
      </c>
      <c r="GH153" s="36" t="s">
        <v>146</v>
      </c>
      <c r="GJ153" s="36">
        <f>IF(GK153="数据缺失",0,IF(GK153&lt;0%,0,IF(GK153&lt;=5%,4,IF(GK153&lt;10%,3,IF(GK153&lt;20%,2,1)))))</f>
        <v>4</v>
      </c>
      <c r="GK153" s="5">
        <f>GN153/GS153</f>
        <v>1.9109869090242952E-3</v>
      </c>
      <c r="GN153" s="36">
        <v>2.8000000000000001E-2</v>
      </c>
      <c r="GO153" s="36" t="s">
        <v>2765</v>
      </c>
      <c r="GP153" s="36" t="s">
        <v>146</v>
      </c>
      <c r="GS153" s="38">
        <v>14.6521150238</v>
      </c>
      <c r="GT153" s="36" t="s">
        <v>144</v>
      </c>
      <c r="GV153" s="36">
        <f t="shared" si="185"/>
        <v>0</v>
      </c>
      <c r="GW153" s="36" t="s">
        <v>2572</v>
      </c>
      <c r="HA153" s="36" t="s">
        <v>37</v>
      </c>
      <c r="HE153" s="38">
        <v>166.75334271309998</v>
      </c>
      <c r="HF153" s="36" t="s">
        <v>144</v>
      </c>
      <c r="HH153" s="36">
        <f t="shared" si="186"/>
        <v>0</v>
      </c>
      <c r="HI153" s="36" t="s">
        <v>2572</v>
      </c>
      <c r="HM153" s="36" t="s">
        <v>2680</v>
      </c>
      <c r="HQ153" s="83">
        <v>13.752624837999999</v>
      </c>
      <c r="HR153" s="36" t="s">
        <v>144</v>
      </c>
      <c r="HT153" s="36">
        <f t="shared" si="200"/>
        <v>4</v>
      </c>
      <c r="HU153" s="36">
        <f t="shared" si="196"/>
        <v>0</v>
      </c>
      <c r="HY153" s="36">
        <v>0</v>
      </c>
      <c r="HZ153" s="36" t="s">
        <v>2754</v>
      </c>
      <c r="IC153" s="36">
        <v>47.79</v>
      </c>
      <c r="ID153" s="36" t="s">
        <v>2578</v>
      </c>
      <c r="IR153" s="3">
        <f t="shared" si="197"/>
        <v>1</v>
      </c>
      <c r="IS153" s="5">
        <f>IW153/JA153</f>
        <v>4.8135086970363048</v>
      </c>
      <c r="IW153" s="36">
        <v>93.6</v>
      </c>
      <c r="IX153" s="36" t="s">
        <v>1068</v>
      </c>
      <c r="IY153" s="36" t="s">
        <v>2766</v>
      </c>
      <c r="JA153" s="38">
        <v>19.445274931700002</v>
      </c>
      <c r="JB153" s="36" t="s">
        <v>144</v>
      </c>
      <c r="JD153" s="36">
        <f t="shared" si="191"/>
        <v>4</v>
      </c>
      <c r="JE153" s="117">
        <f t="shared" si="192"/>
        <v>9.9625798729287451E-2</v>
      </c>
      <c r="JI153" s="36">
        <v>4.944</v>
      </c>
      <c r="JJ153" s="36" t="s">
        <v>2767</v>
      </c>
      <c r="JM153" s="36">
        <v>0.83</v>
      </c>
      <c r="JN153" s="36" t="s">
        <v>2758</v>
      </c>
      <c r="JQ153" s="36">
        <v>67.92</v>
      </c>
      <c r="JR153" s="36" t="s">
        <v>1068</v>
      </c>
      <c r="JU153" s="36">
        <v>51.66</v>
      </c>
      <c r="JV153" s="36" t="s">
        <v>1068</v>
      </c>
      <c r="JX153" s="36">
        <v>2</v>
      </c>
      <c r="JY153" s="36" t="s">
        <v>1307</v>
      </c>
      <c r="KB153" s="36">
        <v>4</v>
      </c>
      <c r="KC153" s="36" t="s">
        <v>155</v>
      </c>
      <c r="KD153" s="36" t="s">
        <v>2754</v>
      </c>
      <c r="KF153" s="36">
        <f t="shared" si="180"/>
        <v>2</v>
      </c>
      <c r="KG153" s="5">
        <f t="shared" si="201"/>
        <v>0.26057744196456151</v>
      </c>
      <c r="KK153" s="3">
        <v>5.0670000000000002</v>
      </c>
      <c r="KL153" s="36" t="s">
        <v>1068</v>
      </c>
      <c r="KM153" s="36" t="s">
        <v>2768</v>
      </c>
      <c r="KO153" s="38">
        <v>19.445274931700002</v>
      </c>
      <c r="KP153" s="36" t="s">
        <v>144</v>
      </c>
    </row>
    <row r="154" spans="2:302" s="36" customFormat="1" ht="13.5" hidden="1" customHeight="1" x14ac:dyDescent="0.35">
      <c r="B154" s="36" t="s">
        <v>2769</v>
      </c>
      <c r="C154" s="36" t="s">
        <v>2205</v>
      </c>
      <c r="D154" s="36" t="s">
        <v>2770</v>
      </c>
      <c r="E154" s="36" t="s">
        <v>2552</v>
      </c>
      <c r="F154" s="36" t="s">
        <v>2771</v>
      </c>
      <c r="G154" s="3" t="s">
        <v>174</v>
      </c>
      <c r="H154" s="193">
        <v>1</v>
      </c>
      <c r="L154" s="3">
        <v>4</v>
      </c>
      <c r="M154" s="36" t="s">
        <v>2772</v>
      </c>
      <c r="P154" s="36" t="s">
        <v>2773</v>
      </c>
      <c r="Q154" s="36" t="s">
        <v>2774</v>
      </c>
      <c r="R154" s="36" t="s">
        <v>2775</v>
      </c>
      <c r="T154" s="36" t="s">
        <v>129</v>
      </c>
      <c r="U154" s="41">
        <v>0.26819999999999999</v>
      </c>
      <c r="X154" s="36">
        <f t="shared" si="150"/>
        <v>1</v>
      </c>
      <c r="Y154" s="5">
        <f>((AC154-AG154)/AG154+(AG154-AK154)/AK154)/2*100%</f>
        <v>0.33375972899303535</v>
      </c>
      <c r="AC154" s="36">
        <v>133</v>
      </c>
      <c r="AD154" s="36" t="s">
        <v>2776</v>
      </c>
      <c r="AG154" s="38">
        <v>80.347999999999999</v>
      </c>
      <c r="AH154" s="36" t="s">
        <v>2777</v>
      </c>
      <c r="AK154" s="38">
        <v>79.378</v>
      </c>
      <c r="AL154" s="36" t="s">
        <v>2777</v>
      </c>
      <c r="AN154" s="36">
        <f t="shared" si="152"/>
        <v>2</v>
      </c>
      <c r="AO154" s="5">
        <f>((AS154-AW154)/AW154+(AW154-BA154)/BA154)/2*100%</f>
        <v>0.15055603973182036</v>
      </c>
      <c r="AS154" s="36">
        <v>79.77</v>
      </c>
      <c r="AT154" s="36" t="s">
        <v>2777</v>
      </c>
      <c r="AW154" s="36">
        <v>84.07</v>
      </c>
      <c r="AX154" s="36" t="s">
        <v>2777</v>
      </c>
      <c r="BA154" s="36">
        <v>62.17</v>
      </c>
      <c r="BB154" s="36" t="s">
        <v>2777</v>
      </c>
      <c r="BD154" s="2">
        <f t="shared" si="149"/>
        <v>3</v>
      </c>
      <c r="BE154" s="36">
        <f t="shared" si="154"/>
        <v>133</v>
      </c>
      <c r="BI154" s="36">
        <v>133</v>
      </c>
      <c r="BJ154" s="36" t="s">
        <v>2776</v>
      </c>
      <c r="BL154" s="2">
        <f t="shared" si="155"/>
        <v>4</v>
      </c>
      <c r="BM154" s="36">
        <f t="shared" si="156"/>
        <v>79.77</v>
      </c>
      <c r="BQ154" s="36">
        <v>79.77</v>
      </c>
      <c r="BR154" s="36" t="s">
        <v>2777</v>
      </c>
      <c r="BT154" s="8">
        <f t="shared" si="157"/>
        <v>3</v>
      </c>
      <c r="BU154" s="36">
        <f t="shared" si="193"/>
        <v>125</v>
      </c>
      <c r="BY154" s="36">
        <v>125</v>
      </c>
      <c r="BZ154" s="36" t="s">
        <v>234</v>
      </c>
      <c r="CB154" s="36">
        <v>1</v>
      </c>
      <c r="CC154" s="36" t="s">
        <v>133</v>
      </c>
      <c r="CF154" s="36" t="s">
        <v>132</v>
      </c>
      <c r="CG154" s="36" t="s">
        <v>2778</v>
      </c>
      <c r="CH154" s="36" t="s">
        <v>2776</v>
      </c>
      <c r="CJ154" s="36">
        <f>IF(CK154="数据缺失",0,IF(CK154&lt;0,0,IF(CK154&lt;2,2,IF(CK154&lt;=5,1,3))))</f>
        <v>2</v>
      </c>
      <c r="CK154" s="53">
        <f t="shared" si="198"/>
        <v>1.3012503082706768</v>
      </c>
      <c r="CO154" s="36">
        <v>173.06629100000001</v>
      </c>
      <c r="CP154" s="36" t="s">
        <v>2776</v>
      </c>
      <c r="CQ154" s="36" t="s">
        <v>2779</v>
      </c>
      <c r="CS154" s="36">
        <v>133</v>
      </c>
      <c r="CT154" s="36" t="s">
        <v>2780</v>
      </c>
      <c r="CV154" s="36">
        <f t="shared" si="159"/>
        <v>3</v>
      </c>
      <c r="CW154" s="36">
        <f>DA154</f>
        <v>836.03</v>
      </c>
      <c r="DA154" s="36">
        <v>836.03</v>
      </c>
      <c r="DB154" s="36" t="s">
        <v>146</v>
      </c>
      <c r="DC154" s="36" t="s">
        <v>2781</v>
      </c>
      <c r="DD154" s="36">
        <f t="shared" si="195"/>
        <v>2</v>
      </c>
      <c r="DE154" s="53">
        <f t="shared" si="199"/>
        <v>10.480506456061176</v>
      </c>
      <c r="DI154" s="36">
        <v>79.77</v>
      </c>
      <c r="DJ154" s="36" t="s">
        <v>2777</v>
      </c>
      <c r="DM154" s="191">
        <f>DA154</f>
        <v>836.03</v>
      </c>
      <c r="DN154" s="36" t="s">
        <v>2620</v>
      </c>
      <c r="DO154" s="36" t="s">
        <v>2782</v>
      </c>
      <c r="DP154" s="36">
        <v>4</v>
      </c>
      <c r="DQ154" s="36" t="s">
        <v>2783</v>
      </c>
      <c r="DS154" s="36" t="s">
        <v>2784</v>
      </c>
      <c r="DU154" s="41">
        <v>3.0499999999999999E-2</v>
      </c>
      <c r="DV154" s="36" t="s">
        <v>2785</v>
      </c>
      <c r="DY154" s="41">
        <v>0.28129999999999999</v>
      </c>
      <c r="DZ154" s="36" t="s">
        <v>2620</v>
      </c>
      <c r="EC154" s="41">
        <v>0.45140000000000002</v>
      </c>
      <c r="ED154" s="36" t="s">
        <v>146</v>
      </c>
      <c r="EG154" s="41">
        <v>0.23680000000000001</v>
      </c>
      <c r="EH154" s="36" t="s">
        <v>2775</v>
      </c>
      <c r="EJ154" s="36">
        <f t="shared" si="163"/>
        <v>1</v>
      </c>
      <c r="EK154" s="36">
        <f t="shared" si="182"/>
        <v>219.72</v>
      </c>
      <c r="EO154" s="36">
        <v>219.72</v>
      </c>
      <c r="EP154" s="36" t="s">
        <v>2786</v>
      </c>
      <c r="ER154" s="36">
        <f t="shared" si="165"/>
        <v>1</v>
      </c>
      <c r="ES154" s="36">
        <f t="shared" si="188"/>
        <v>106.05</v>
      </c>
      <c r="EW154" s="36">
        <v>106.05</v>
      </c>
      <c r="EX154" s="36" t="s">
        <v>2780</v>
      </c>
      <c r="EZ154" s="3">
        <f>IF(FA154="数据缺失",0,IF(FA154&lt;0%,0,IF(FA154&lt;=50,4,IF(FA154&lt;100,3,IF(FA154&lt;200,2,1)))))</f>
        <v>1</v>
      </c>
      <c r="FA154" s="36">
        <f>FE154</f>
        <v>451.53</v>
      </c>
      <c r="FE154" s="36">
        <v>451.53</v>
      </c>
      <c r="FF154" s="36" t="s">
        <v>146</v>
      </c>
      <c r="FG154" s="36" t="s">
        <v>2787</v>
      </c>
      <c r="FH154" s="36">
        <v>5</v>
      </c>
      <c r="FI154" s="36" t="s">
        <v>2788</v>
      </c>
      <c r="FM154" s="41">
        <v>9.4299999999999995E-2</v>
      </c>
      <c r="FN154" s="36" t="s">
        <v>2620</v>
      </c>
      <c r="FQ154" s="41">
        <v>0.2024</v>
      </c>
      <c r="FR154" s="36" t="s">
        <v>2775</v>
      </c>
      <c r="FU154" s="41">
        <v>0.70330000000000004</v>
      </c>
      <c r="FV154" s="36" t="s">
        <v>146</v>
      </c>
      <c r="FY154" s="86">
        <v>0</v>
      </c>
      <c r="FZ154" s="36" t="s">
        <v>146</v>
      </c>
      <c r="GB154" s="36">
        <v>2</v>
      </c>
      <c r="GC154" s="36" t="str">
        <f>GG154</f>
        <v>房地产：100%</v>
      </c>
      <c r="GG154" s="36" t="s">
        <v>2789</v>
      </c>
      <c r="GH154" s="36" t="s">
        <v>146</v>
      </c>
      <c r="GJ154" s="36">
        <f>IF(GK154="数据缺失",0,IF(GK154&lt;0%,0,IF(GK154&lt;=5%,4,IF(GK154&lt;10%,3,IF(GK154&lt;20%,2,1)))))</f>
        <v>0</v>
      </c>
      <c r="GK154" s="5" t="s">
        <v>2699</v>
      </c>
      <c r="GN154" s="36" t="s">
        <v>37</v>
      </c>
      <c r="GO154" s="36" t="s">
        <v>1192</v>
      </c>
      <c r="GS154" s="38">
        <v>83.423391362900006</v>
      </c>
      <c r="GT154" s="36" t="s">
        <v>2700</v>
      </c>
      <c r="GV154" s="36">
        <f t="shared" si="185"/>
        <v>3</v>
      </c>
      <c r="GW154" s="5">
        <f>HA154/HE154*100%</f>
        <v>0.45420975655181434</v>
      </c>
      <c r="HA154" s="36">
        <v>416.22</v>
      </c>
      <c r="HB154" s="36" t="s">
        <v>2790</v>
      </c>
      <c r="HE154" s="38">
        <v>916.36076503460004</v>
      </c>
      <c r="HF154" s="36" t="s">
        <v>144</v>
      </c>
      <c r="HH154" s="36">
        <f t="shared" si="186"/>
        <v>1</v>
      </c>
      <c r="HI154" s="5">
        <f>HM154/HQ154</f>
        <v>0.1158008200892421</v>
      </c>
      <c r="HM154" s="36">
        <v>10.38</v>
      </c>
      <c r="HN154" s="36" t="s">
        <v>2775</v>
      </c>
      <c r="HQ154" s="83">
        <v>89.636670897499997</v>
      </c>
      <c r="HR154" s="36" t="s">
        <v>144</v>
      </c>
      <c r="HT154" s="36">
        <f t="shared" si="200"/>
        <v>2</v>
      </c>
      <c r="HU154" s="41">
        <f t="shared" si="196"/>
        <v>0.15012842844911578</v>
      </c>
      <c r="HY154" s="36">
        <v>50.85</v>
      </c>
      <c r="HZ154" s="36" t="s">
        <v>2791</v>
      </c>
      <c r="IC154" s="36">
        <v>338.71</v>
      </c>
      <c r="ID154" s="36" t="s">
        <v>2681</v>
      </c>
      <c r="IR154" s="3">
        <f t="shared" si="197"/>
        <v>4</v>
      </c>
      <c r="IS154" s="5">
        <f>IW154/JA154</f>
        <v>0.15814659642027026</v>
      </c>
      <c r="IW154" s="36">
        <v>30</v>
      </c>
      <c r="IX154" s="36" t="s">
        <v>2791</v>
      </c>
      <c r="JA154" s="38">
        <v>189.6974116362</v>
      </c>
      <c r="JB154" s="36" t="s">
        <v>2681</v>
      </c>
      <c r="JD154" s="36">
        <f t="shared" si="191"/>
        <v>4</v>
      </c>
      <c r="JE154" s="117">
        <f t="shared" si="192"/>
        <v>9.2352445539862826E-2</v>
      </c>
      <c r="JI154" s="36">
        <v>11.385999999999999</v>
      </c>
      <c r="JJ154" s="36" t="s">
        <v>2791</v>
      </c>
      <c r="JM154" s="36">
        <v>0.25</v>
      </c>
      <c r="JN154" s="36" t="s">
        <v>2791</v>
      </c>
      <c r="JQ154" s="36">
        <v>573.86500000000001</v>
      </c>
      <c r="JR154" s="36" t="s">
        <v>1435</v>
      </c>
      <c r="JU154" s="36">
        <v>412.44347800000003</v>
      </c>
      <c r="JV154" s="36" t="s">
        <v>2792</v>
      </c>
      <c r="JX154" s="36">
        <v>2</v>
      </c>
      <c r="JY154" s="36" t="s">
        <v>193</v>
      </c>
      <c r="KB154" s="36">
        <v>10</v>
      </c>
      <c r="KC154" s="36" t="s">
        <v>226</v>
      </c>
      <c r="KD154" s="36" t="s">
        <v>146</v>
      </c>
      <c r="KF154" s="36">
        <f t="shared" si="180"/>
        <v>2</v>
      </c>
      <c r="KG154" s="5">
        <f t="shared" si="201"/>
        <v>0.27902331161749683</v>
      </c>
      <c r="KK154" s="3">
        <v>52.93</v>
      </c>
      <c r="KL154" s="36" t="s">
        <v>2791</v>
      </c>
      <c r="KM154" s="36" t="s">
        <v>2793</v>
      </c>
      <c r="KO154" s="38">
        <v>189.6974116362</v>
      </c>
      <c r="KP154" s="36" t="s">
        <v>144</v>
      </c>
    </row>
    <row r="155" spans="2:302" s="119" customFormat="1" ht="13" hidden="1" x14ac:dyDescent="0.35">
      <c r="B155" s="36" t="s">
        <v>2794</v>
      </c>
      <c r="C155" s="36" t="s">
        <v>2205</v>
      </c>
      <c r="D155" s="36" t="s">
        <v>2795</v>
      </c>
      <c r="E155" s="36" t="s">
        <v>197</v>
      </c>
      <c r="F155" s="36" t="s">
        <v>2796</v>
      </c>
      <c r="G155" s="3" t="s">
        <v>199</v>
      </c>
      <c r="H155" s="194">
        <v>1</v>
      </c>
      <c r="L155" s="130">
        <v>4</v>
      </c>
      <c r="M155" s="36" t="s">
        <v>2797</v>
      </c>
      <c r="P155" s="36" t="s">
        <v>2798</v>
      </c>
      <c r="Q155" s="36" t="s">
        <v>2799</v>
      </c>
      <c r="R155" s="36" t="s">
        <v>2800</v>
      </c>
      <c r="T155" s="36" t="s">
        <v>129</v>
      </c>
      <c r="U155" s="41">
        <v>0.24279999999999999</v>
      </c>
      <c r="V155" s="36"/>
      <c r="X155" s="31">
        <f t="shared" si="150"/>
        <v>1</v>
      </c>
      <c r="Y155" s="189">
        <f>((AC155-AG155)/AG155+(AG155-AK155)/AK155)/2*100%</f>
        <v>0.31629723739422688</v>
      </c>
      <c r="Z155" s="31"/>
      <c r="AA155" s="31"/>
      <c r="AB155" s="31"/>
      <c r="AC155" s="196">
        <v>80.348175999999995</v>
      </c>
      <c r="AD155" s="31" t="s">
        <v>2776</v>
      </c>
      <c r="AE155" s="31"/>
      <c r="AF155" s="31"/>
      <c r="AG155" s="196">
        <v>79.378202999999999</v>
      </c>
      <c r="AH155" s="31" t="s">
        <v>2776</v>
      </c>
      <c r="AI155" s="31"/>
      <c r="AJ155" s="31"/>
      <c r="AK155" s="196">
        <v>48.987555999999998</v>
      </c>
      <c r="AL155" s="31" t="s">
        <v>2801</v>
      </c>
      <c r="AN155" s="36">
        <f t="shared" si="152"/>
        <v>1</v>
      </c>
      <c r="AO155" s="5">
        <f>((AS155-AW155)/AW155+(AW155-BA155)/BA155)/2*100%</f>
        <v>0.4324560002849106</v>
      </c>
      <c r="AS155" s="36">
        <v>84.07</v>
      </c>
      <c r="AT155" s="36" t="s">
        <v>2777</v>
      </c>
      <c r="AW155" s="36">
        <v>62.17</v>
      </c>
      <c r="AX155" s="36" t="s">
        <v>2777</v>
      </c>
      <c r="BA155" s="36">
        <v>41.1</v>
      </c>
      <c r="BB155" s="36" t="s">
        <v>2801</v>
      </c>
      <c r="BD155" s="2">
        <f t="shared" si="149"/>
        <v>4</v>
      </c>
      <c r="BE155" s="36">
        <f t="shared" si="154"/>
        <v>80.349999999999994</v>
      </c>
      <c r="BI155" s="119">
        <v>80.349999999999994</v>
      </c>
      <c r="BJ155" s="36" t="s">
        <v>2780</v>
      </c>
      <c r="BL155" s="2">
        <f t="shared" si="155"/>
        <v>4</v>
      </c>
      <c r="BM155" s="36">
        <f t="shared" si="156"/>
        <v>84.07</v>
      </c>
      <c r="BQ155" s="36">
        <v>84.07</v>
      </c>
      <c r="BR155" s="36" t="s">
        <v>2777</v>
      </c>
      <c r="BT155" s="8">
        <f t="shared" si="157"/>
        <v>3</v>
      </c>
      <c r="BU155" s="36">
        <f t="shared" si="193"/>
        <v>123</v>
      </c>
      <c r="BY155" s="36">
        <v>123</v>
      </c>
      <c r="BZ155" s="36" t="s">
        <v>398</v>
      </c>
      <c r="CB155" s="36">
        <v>1</v>
      </c>
      <c r="CC155" s="36" t="s">
        <v>133</v>
      </c>
      <c r="CF155" s="36" t="s">
        <v>132</v>
      </c>
      <c r="CG155" s="36" t="s">
        <v>2778</v>
      </c>
      <c r="CH155" s="36" t="s">
        <v>2777</v>
      </c>
      <c r="CJ155" s="36">
        <f>IF(CK155="数据缺失",0,IF(CK155&lt;0,0,IF(CK155&lt;2,2,IF(CK155&lt;=5,1,3))))</f>
        <v>2</v>
      </c>
      <c r="CK155" s="53">
        <f t="shared" si="198"/>
        <v>1.7424201493466087</v>
      </c>
      <c r="CO155" s="36">
        <v>140.00345899999999</v>
      </c>
      <c r="CP155" s="36" t="s">
        <v>2802</v>
      </c>
      <c r="CQ155" s="36" t="s">
        <v>2803</v>
      </c>
      <c r="CS155" s="119">
        <v>80.349999999999994</v>
      </c>
      <c r="CT155" s="36" t="s">
        <v>2802</v>
      </c>
      <c r="CV155" s="36">
        <f>IF(CW155="数据缺失",0,IF(CW155&lt;0,0,IF(CW155&lt;100,5,IF(CW155&lt;500,4,IF(CW155&lt;1000,3,IF(CW155&lt;2000,2,1))))))</f>
        <v>4</v>
      </c>
      <c r="CW155" s="36">
        <f>DA155</f>
        <v>132.16</v>
      </c>
      <c r="DA155" s="36">
        <v>132.16</v>
      </c>
      <c r="DB155" s="36" t="s">
        <v>2804</v>
      </c>
      <c r="DD155" s="36">
        <f t="shared" si="195"/>
        <v>3</v>
      </c>
      <c r="DE155" s="53">
        <f t="shared" si="199"/>
        <v>1.5720233139050792</v>
      </c>
      <c r="DI155" s="36">
        <v>84.07</v>
      </c>
      <c r="DJ155" s="36" t="s">
        <v>2777</v>
      </c>
      <c r="DM155" s="191">
        <v>132.16</v>
      </c>
      <c r="DN155" s="36" t="s">
        <v>2805</v>
      </c>
      <c r="DP155" s="119">
        <v>4</v>
      </c>
      <c r="DQ155" s="36" t="s">
        <v>2806</v>
      </c>
      <c r="DU155" s="41">
        <v>0.34029999999999999</v>
      </c>
      <c r="DV155" s="36" t="s">
        <v>2804</v>
      </c>
      <c r="DY155" s="41">
        <v>0.21640000000000001</v>
      </c>
      <c r="DZ155" s="36" t="s">
        <v>2804</v>
      </c>
      <c r="EC155" s="41">
        <v>0.44330000000000003</v>
      </c>
      <c r="ED155" s="36" t="s">
        <v>2807</v>
      </c>
      <c r="EG155" s="86">
        <v>0</v>
      </c>
      <c r="EH155" s="36" t="s">
        <v>2805</v>
      </c>
      <c r="EJ155" s="36">
        <f t="shared" si="163"/>
        <v>1</v>
      </c>
      <c r="EK155" s="36">
        <f t="shared" si="182"/>
        <v>149.38</v>
      </c>
      <c r="EO155" s="36">
        <v>149.38</v>
      </c>
      <c r="EP155" s="36" t="s">
        <v>2777</v>
      </c>
      <c r="ER155" s="36">
        <f t="shared" si="165"/>
        <v>2</v>
      </c>
      <c r="ES155" s="36">
        <f t="shared" si="188"/>
        <v>68.680000000000007</v>
      </c>
      <c r="EW155" s="36">
        <v>68.680000000000007</v>
      </c>
      <c r="EX155" s="36" t="s">
        <v>2777</v>
      </c>
      <c r="EZ155" s="3">
        <f>IF(FA155="数据缺失",0,IF(FA155&lt;0%,0,IF(FA155&lt;=50,4,IF(FA155&lt;100,3,IF(FA155&lt;200,2,1)))))</f>
        <v>1</v>
      </c>
      <c r="FA155" s="36">
        <f>FE155</f>
        <v>923.5</v>
      </c>
      <c r="FE155" s="36">
        <v>923.5</v>
      </c>
      <c r="FF155" s="36" t="s">
        <v>2804</v>
      </c>
      <c r="FH155" s="119">
        <v>5</v>
      </c>
      <c r="FI155" s="36" t="s">
        <v>2808</v>
      </c>
      <c r="FM155" s="41">
        <v>3.4299999999999997E-2</v>
      </c>
      <c r="FN155" s="36" t="s">
        <v>2809</v>
      </c>
      <c r="FQ155" s="41">
        <v>0.21970000000000001</v>
      </c>
      <c r="FR155" s="36" t="s">
        <v>2809</v>
      </c>
      <c r="FU155" s="41">
        <v>0.62470000000000003</v>
      </c>
      <c r="FV155" s="36" t="s">
        <v>2805</v>
      </c>
      <c r="FY155" s="41">
        <v>0.12139999999999999</v>
      </c>
      <c r="FZ155" s="36" t="s">
        <v>2805</v>
      </c>
      <c r="GB155" s="36">
        <v>2</v>
      </c>
      <c r="GC155" s="36" t="str">
        <f>GG155</f>
        <v>房地产：100%</v>
      </c>
      <c r="GG155" s="36" t="s">
        <v>2810</v>
      </c>
      <c r="GH155" s="36" t="s">
        <v>411</v>
      </c>
      <c r="GJ155" s="36">
        <f>IF(GK155="数据缺失",0,IF(GK155&lt;0%,0,IF(GK155&lt;=5%,4,IF(GK155&lt;10%,3,IF(GK155&lt;20%,2,1)))))</f>
        <v>0</v>
      </c>
      <c r="GK155" s="5" t="s">
        <v>2572</v>
      </c>
      <c r="GN155" s="36" t="s">
        <v>37</v>
      </c>
      <c r="GO155" s="36" t="s">
        <v>1192</v>
      </c>
      <c r="GQ155" s="36"/>
      <c r="GS155" s="38">
        <v>71.043020254799998</v>
      </c>
      <c r="GT155" s="36" t="s">
        <v>2578</v>
      </c>
      <c r="GV155" s="36">
        <f t="shared" si="185"/>
        <v>2</v>
      </c>
      <c r="GW155" s="5">
        <f>HA155/HE155*100%</f>
        <v>0.39243025154652378</v>
      </c>
      <c r="HA155" s="119">
        <v>264.62</v>
      </c>
      <c r="HB155" s="36" t="s">
        <v>411</v>
      </c>
      <c r="HE155" s="38">
        <v>674.31090991880001</v>
      </c>
      <c r="HF155" s="36" t="s">
        <v>144</v>
      </c>
      <c r="HH155" s="36">
        <f t="shared" si="186"/>
        <v>1</v>
      </c>
      <c r="HI155" s="5">
        <f>HM155/HQ155</f>
        <v>3.4612564245124419E-2</v>
      </c>
      <c r="HM155" s="119">
        <v>2.2999999999999998</v>
      </c>
      <c r="HN155" s="36" t="s">
        <v>411</v>
      </c>
      <c r="HQ155" s="83">
        <v>66.449858603699994</v>
      </c>
      <c r="HR155" s="36" t="s">
        <v>144</v>
      </c>
      <c r="HT155" s="36">
        <f t="shared" si="200"/>
        <v>3</v>
      </c>
      <c r="HU155" s="41">
        <f t="shared" si="196"/>
        <v>7.7780658542908998E-2</v>
      </c>
      <c r="HY155" s="36">
        <v>15</v>
      </c>
      <c r="HZ155" s="36" t="s">
        <v>2800</v>
      </c>
      <c r="IC155" s="119">
        <v>192.85</v>
      </c>
      <c r="ID155" s="36" t="s">
        <v>2578</v>
      </c>
      <c r="IR155" s="3">
        <f t="shared" si="197"/>
        <v>0</v>
      </c>
      <c r="IS155" s="36" t="s">
        <v>2572</v>
      </c>
      <c r="IW155" s="36" t="s">
        <v>37</v>
      </c>
      <c r="JA155" s="38">
        <v>129.8589479092</v>
      </c>
      <c r="JB155" s="36" t="s">
        <v>2578</v>
      </c>
      <c r="JD155" s="36">
        <f t="shared" si="191"/>
        <v>4</v>
      </c>
      <c r="JE155" s="117">
        <f t="shared" si="192"/>
        <v>9.7911937172473526E-2</v>
      </c>
      <c r="JI155" s="119">
        <v>10.196</v>
      </c>
      <c r="JJ155" s="36" t="s">
        <v>146</v>
      </c>
      <c r="JM155" s="36">
        <v>0.32</v>
      </c>
      <c r="JN155" s="36" t="s">
        <v>2606</v>
      </c>
      <c r="JQ155" s="36">
        <v>412.44299999999998</v>
      </c>
      <c r="JR155" s="36" t="s">
        <v>2804</v>
      </c>
      <c r="JU155" s="36">
        <v>238.39694700000001</v>
      </c>
      <c r="JV155" s="36" t="s">
        <v>2805</v>
      </c>
      <c r="JX155" s="36">
        <v>2</v>
      </c>
      <c r="JY155" s="36" t="s">
        <v>226</v>
      </c>
      <c r="JZ155" s="36"/>
      <c r="KA155" s="36"/>
      <c r="KB155" s="36">
        <v>11</v>
      </c>
      <c r="KC155" s="36" t="s">
        <v>226</v>
      </c>
      <c r="KD155" s="36" t="s">
        <v>2800</v>
      </c>
      <c r="KF155" s="36">
        <f>IF(KG155="数据缺失",0,IF(KG155&lt;0%,0,IF(KG155&lt;20%,1,IF(KG155&lt;50%,2,IF(KG155&lt;100%,3,4)))))</f>
        <v>1</v>
      </c>
      <c r="KG155" s="195">
        <f>KK155/KO155</f>
        <v>4.6057665615634255E-5</v>
      </c>
      <c r="KK155" s="3">
        <v>5.9810000000000002E-3</v>
      </c>
      <c r="KL155" s="36" t="s">
        <v>2800</v>
      </c>
      <c r="KM155" s="36" t="s">
        <v>2811</v>
      </c>
      <c r="KO155" s="38">
        <v>129.8589479092</v>
      </c>
      <c r="KP155" s="36" t="s">
        <v>2578</v>
      </c>
    </row>
    <row r="156" spans="2:302" s="67" customFormat="1" ht="18.75" hidden="1" customHeight="1" x14ac:dyDescent="0.35">
      <c r="B156" s="234" t="s">
        <v>2082</v>
      </c>
      <c r="C156" s="14" t="s">
        <v>171</v>
      </c>
      <c r="D156" s="67" t="s">
        <v>906</v>
      </c>
      <c r="E156" s="67" t="s">
        <v>197</v>
      </c>
      <c r="F156" s="235" t="s">
        <v>2901</v>
      </c>
      <c r="G156" s="42" t="s">
        <v>163</v>
      </c>
      <c r="H156" s="98">
        <f>(15.04+0.21)/15.3</f>
        <v>0.99673202614379075</v>
      </c>
      <c r="L156" s="67">
        <v>4</v>
      </c>
      <c r="M156" s="39" t="s">
        <v>2902</v>
      </c>
      <c r="P156" s="67" t="s">
        <v>722</v>
      </c>
      <c r="Q156" s="39" t="s">
        <v>2903</v>
      </c>
      <c r="R156" s="39" t="s">
        <v>146</v>
      </c>
      <c r="T156" s="39" t="s">
        <v>129</v>
      </c>
      <c r="U156" s="120">
        <v>0.34889999999999999</v>
      </c>
      <c r="X156" s="67">
        <f t="shared" ref="X156:X163" si="202">IF(Y156="数据缺失",0,IF(Y156&lt;-30%,6,IF(Y156&lt;-10%,5,IF(Y156&lt;0%,4,IF(Y156&lt;10%,3,IF(Y156&lt;30%,2,1))))))</f>
        <v>1</v>
      </c>
      <c r="Y156" s="1">
        <f t="shared" ref="Y156:Y163" si="203">((AC156-AG156)/AG156+(AG156-AK156)/AK156)/2*100%</f>
        <v>0.30775807871243555</v>
      </c>
      <c r="AC156" s="67">
        <v>16.7</v>
      </c>
      <c r="AD156" s="67" t="s">
        <v>2904</v>
      </c>
      <c r="AG156" s="67">
        <v>14.46</v>
      </c>
      <c r="AH156" s="67" t="s">
        <v>2904</v>
      </c>
      <c r="AK156" s="67">
        <v>9.9</v>
      </c>
      <c r="AL156" s="67" t="s">
        <v>2109</v>
      </c>
      <c r="AN156" s="39">
        <f t="shared" ref="AN156:AN163" si="204">IF(AO156="数据缺失",0,IF(AO156&lt;-30%,6,IF(AO156&lt;-10%,5,IF(AO156&lt;0%,4,IF(AO156&lt;10%,3,IF(AO156&lt;30%,2,1))))))</f>
        <v>1</v>
      </c>
      <c r="AO156" s="43">
        <f t="shared" ref="AO156:AO163" si="205">((AS156-AW156)/AW156+(AW156-BA156)/BA156)/2*100%</f>
        <v>0.32967027789053516</v>
      </c>
      <c r="AS156" s="67">
        <v>25.4</v>
      </c>
      <c r="AT156" s="67" t="s">
        <v>2904</v>
      </c>
      <c r="AW156" s="67">
        <v>19.91</v>
      </c>
      <c r="AX156" s="67" t="s">
        <v>2904</v>
      </c>
      <c r="BA156" s="67">
        <v>14.39</v>
      </c>
      <c r="BB156" s="67" t="s">
        <v>2109</v>
      </c>
      <c r="BD156" s="67">
        <f t="shared" ref="BD156:BD163" si="206">IF(BE156="数据缺失",0,IF(BE156&lt;50,5,IF(BE156&lt;100,4,IF(BE156&lt;300,3,IF(BE156&lt;500,2,1)))))</f>
        <v>5</v>
      </c>
      <c r="BE156" s="67">
        <f t="shared" ref="BE156:BE163" si="207">BI156</f>
        <v>16.7</v>
      </c>
      <c r="BI156" s="67">
        <f>AC156</f>
        <v>16.7</v>
      </c>
      <c r="BJ156" s="67" t="str">
        <f>AD156</f>
        <v>评级20160609</v>
      </c>
      <c r="BL156" s="67">
        <f t="shared" ref="BL156:BL163" si="208">IF(BM156="数据缺失",0,IF(BM156&lt;50,5,IF(BM156&lt;100,4,IF(BM156&lt;300,3,IF(BM156&lt;500,2,1)))))</f>
        <v>5</v>
      </c>
      <c r="BM156" s="67">
        <f t="shared" ref="BM156:BM163" si="209">BQ156</f>
        <v>25.4</v>
      </c>
      <c r="BQ156" s="67">
        <f>AS156</f>
        <v>25.4</v>
      </c>
      <c r="BR156" s="67" t="str">
        <f>AT156</f>
        <v>评级20160609</v>
      </c>
      <c r="BT156" s="8">
        <f t="shared" ref="BT156:BT167" si="210">IF(BU156="未上榜",5,IF(BU156&lt;21,1,IF(BU156&lt;101,2,IF(BU156&lt;301,3,IF(BU156&lt;=500,4,5)))))</f>
        <v>4</v>
      </c>
      <c r="BU156" s="39">
        <f>BY156</f>
        <v>322</v>
      </c>
      <c r="BV156" s="14"/>
      <c r="BW156" s="14"/>
      <c r="BX156" s="14"/>
      <c r="BY156" s="14">
        <v>322</v>
      </c>
      <c r="BZ156" s="39" t="s">
        <v>234</v>
      </c>
      <c r="CB156" s="67">
        <v>1</v>
      </c>
      <c r="CC156" s="67" t="str">
        <f>CF156</f>
        <v>一级</v>
      </c>
      <c r="CF156" s="67" t="s">
        <v>132</v>
      </c>
      <c r="CG156" s="67" t="s">
        <v>2905</v>
      </c>
      <c r="CH156" s="201" t="s">
        <v>895</v>
      </c>
      <c r="CJ156" s="67">
        <f t="shared" ref="CJ156:CJ163" si="211">IF(CK156="数据缺失",0,IF(CK156&lt;0,0,IF(CK156&lt;2,2,IF(CK156&lt;=5,1,3))))</f>
        <v>0</v>
      </c>
      <c r="CK156" s="125" t="s">
        <v>297</v>
      </c>
      <c r="CO156" s="67" t="s">
        <v>2906</v>
      </c>
      <c r="CS156" s="67">
        <f t="shared" ref="CS156:CT159" si="212">AC156</f>
        <v>16.7</v>
      </c>
      <c r="CT156" s="67" t="str">
        <f t="shared" si="212"/>
        <v>评级20160609</v>
      </c>
      <c r="CV156" s="67">
        <f t="shared" ref="CV156:CV163" si="213">IF(CW156="数据缺失",0,IF(CW156&lt;0,0,IF(CW156&lt;100,5,IF(CW156&lt;500,4,IF(CW156&lt;1000,3,IF(CW156&lt;2000,2,1))))))</f>
        <v>5</v>
      </c>
      <c r="CW156" s="67">
        <f t="shared" ref="CW156:CW163" si="214">DA156</f>
        <v>92.181399999999996</v>
      </c>
      <c r="DA156" s="126">
        <v>92.181399999999996</v>
      </c>
      <c r="DB156" s="67" t="s">
        <v>146</v>
      </c>
      <c r="DC156" s="67" t="s">
        <v>2907</v>
      </c>
      <c r="DD156" s="67">
        <f>IF(DE156="数据缺失",0,IF(DE156&lt;0,0,IF(DE156&lt;2,3,IF(DE156&lt;=5,1,2))))</f>
        <v>1</v>
      </c>
      <c r="DE156" s="125">
        <f t="shared" si="199"/>
        <v>3.6291889763779528</v>
      </c>
      <c r="DI156" s="67">
        <f t="shared" ref="DI156:DJ163" si="215">AS156</f>
        <v>25.4</v>
      </c>
      <c r="DJ156" s="67" t="str">
        <f t="shared" si="215"/>
        <v>评级20160609</v>
      </c>
      <c r="DM156" s="155">
        <f t="shared" ref="DM156:DO160" si="216">DA156</f>
        <v>92.181399999999996</v>
      </c>
      <c r="DN156" s="67" t="str">
        <f>DB156</f>
        <v>年报2015</v>
      </c>
      <c r="DO156" s="67" t="str">
        <f>DC156</f>
        <v>规划计容建筑面积</v>
      </c>
      <c r="DP156" s="67">
        <v>6</v>
      </c>
      <c r="DQ156" s="36" t="s">
        <v>2908</v>
      </c>
      <c r="DU156" s="67">
        <v>0</v>
      </c>
      <c r="DV156" s="67" t="s">
        <v>146</v>
      </c>
      <c r="DY156" s="120">
        <v>0.17699999999999999</v>
      </c>
      <c r="DZ156" s="67" t="s">
        <v>146</v>
      </c>
      <c r="EC156" s="120">
        <v>8.4400000000000003E-2</v>
      </c>
      <c r="ED156" s="67" t="s">
        <v>146</v>
      </c>
      <c r="EG156" s="120">
        <v>0.73860000000000003</v>
      </c>
      <c r="EH156" s="67" t="s">
        <v>146</v>
      </c>
      <c r="EJ156" s="67">
        <f t="shared" ref="EJ156:EJ163" si="217">IF(EK156="数据缺失",0,IF(EK156&lt;0,0,IF(EK156&lt;=5,5,IF(EK156&lt;=20,4,IF(EK156&lt;=50,3,IF(EK156&lt;=100,2,1))))))</f>
        <v>3</v>
      </c>
      <c r="EK156" s="67">
        <f t="shared" ref="EK156:EK163" si="218">EO156</f>
        <v>41.96</v>
      </c>
      <c r="EO156" s="67">
        <v>41.96</v>
      </c>
      <c r="EP156" s="67" t="s">
        <v>2904</v>
      </c>
      <c r="ER156" s="67">
        <f t="shared" ref="ER156:ER163" si="219">IF(ES156="数据缺失",0,IF(ES156&lt;0,0,IF(ES156&lt;=5,5,IF(ES156&lt;=20,4,IF(ES156&lt;=50,3,IF(ES156&lt;=100,2,1))))))</f>
        <v>3</v>
      </c>
      <c r="ES156" s="67">
        <f t="shared" ref="ES156:ES163" si="220">EW156</f>
        <v>33.11</v>
      </c>
      <c r="EW156" s="67">
        <v>33.11</v>
      </c>
      <c r="EX156" s="67" t="s">
        <v>2904</v>
      </c>
      <c r="EZ156" s="67">
        <f t="shared" ref="EZ156:EZ163" si="221">IF(FA156="数据缺失",0,IF(FA156&lt;0%,0,IF(FA156&lt;=50,4,IF(FA156&lt;100,3,IF(FA156&lt;200,2,1)))))</f>
        <v>3</v>
      </c>
      <c r="FA156" s="67">
        <f t="shared" ref="FA156:FA163" si="222">FE156</f>
        <v>87.548000000000002</v>
      </c>
      <c r="FE156" s="67">
        <v>87.548000000000002</v>
      </c>
      <c r="FF156" s="67" t="s">
        <v>146</v>
      </c>
      <c r="FH156" s="67">
        <v>4</v>
      </c>
      <c r="FI156" s="36" t="s">
        <v>2909</v>
      </c>
      <c r="FM156" s="36">
        <v>0</v>
      </c>
      <c r="FN156" s="67" t="s">
        <v>146</v>
      </c>
      <c r="FQ156" s="120">
        <v>0.34949999999999998</v>
      </c>
      <c r="FR156" s="67" t="s">
        <v>146</v>
      </c>
      <c r="FU156" s="120">
        <v>0.29670000000000002</v>
      </c>
      <c r="FV156" s="67" t="s">
        <v>146</v>
      </c>
      <c r="FY156" s="120">
        <v>0.3538</v>
      </c>
      <c r="FZ156" s="67" t="s">
        <v>146</v>
      </c>
      <c r="GB156" s="14">
        <v>2</v>
      </c>
      <c r="GC156" s="14" t="str">
        <f>GG156</f>
        <v>房地产：98.56%</v>
      </c>
      <c r="GD156" s="14"/>
      <c r="GE156" s="14"/>
      <c r="GF156" s="14"/>
      <c r="GG156" s="14" t="s">
        <v>2910</v>
      </c>
      <c r="GH156" s="39" t="s">
        <v>2911</v>
      </c>
      <c r="GJ156" s="39">
        <f>IF(GK156="数据缺失",0,IF(GK156&lt;0%,0,IF(GK156&lt;=5%,4,IF(GK156&lt;10%,3,IF(GK156&lt;20%,2,1)))))</f>
        <v>4</v>
      </c>
      <c r="GK156" s="43">
        <f>GN156/GS156</f>
        <v>1.3725334831657408E-2</v>
      </c>
      <c r="GL156" s="14"/>
      <c r="GM156" s="14"/>
      <c r="GN156" s="14">
        <v>0.21</v>
      </c>
      <c r="GO156" s="14" t="s">
        <v>2912</v>
      </c>
      <c r="GP156" s="39" t="s">
        <v>146</v>
      </c>
      <c r="GQ156" s="14"/>
      <c r="GR156" s="14"/>
      <c r="GS156" s="69">
        <v>15.300173188900001</v>
      </c>
      <c r="GT156" s="39" t="s">
        <v>2913</v>
      </c>
      <c r="GV156" s="39">
        <f t="shared" ref="GV156:GV163" si="223">IF(GW156="数据缺失",0,IF(GW156&lt;20%,1,IF(GW156&lt;40%,2,IF(GW156&lt;60%,3,IF(GW156&lt;80%,4,IF(GW156&lt;=100%,5,0))))))</f>
        <v>2</v>
      </c>
      <c r="GW156" s="43">
        <f t="shared" ref="GW156:GW163" si="224">HA156/HE156*100%</f>
        <v>0.21900283291720415</v>
      </c>
      <c r="GX156" s="39"/>
      <c r="GY156" s="39"/>
      <c r="GZ156" s="39"/>
      <c r="HA156" s="39">
        <v>9.64</v>
      </c>
      <c r="HB156" s="39" t="s">
        <v>146</v>
      </c>
      <c r="HC156" s="39"/>
      <c r="HD156" s="39"/>
      <c r="HE156" s="69">
        <v>44.017695440699995</v>
      </c>
      <c r="HF156" s="39" t="s">
        <v>285</v>
      </c>
      <c r="HH156" s="39">
        <f t="shared" ref="HH156:HH163" si="225">IF(HI156="数据缺失",0,IF(HI156&lt;20%,1,IF(HI156&lt;40%,2,IF(HI156&lt;60%,3,IF(HI156&lt;80%,4,IF(HI156&lt;=100%,5,0))))))</f>
        <v>1</v>
      </c>
      <c r="HI156" s="43">
        <f t="shared" ref="HI156:HI163" si="226">HM156/HQ156</f>
        <v>5.3155746078653273E-4</v>
      </c>
      <c r="HJ156" s="39"/>
      <c r="HK156" s="39"/>
      <c r="HL156" s="39"/>
      <c r="HM156" s="39">
        <v>5.1000000000000004E-3</v>
      </c>
      <c r="HN156" s="39" t="s">
        <v>146</v>
      </c>
      <c r="HO156" s="39"/>
      <c r="HP156" s="39"/>
      <c r="HQ156" s="69">
        <v>9.594447216399999</v>
      </c>
      <c r="HR156" s="39" t="s">
        <v>285</v>
      </c>
      <c r="HT156" s="67">
        <f t="shared" ref="HT156:HT163" si="227">IF(HU156="数据缺失",0,IF(HU156&lt;5%,4,IF(HU156&lt;=10%,3,IF(HU156&lt;30%,2,IF(HU156&lt;=100%,1,0)))))</f>
        <v>4</v>
      </c>
      <c r="HU156" s="67">
        <f t="shared" si="196"/>
        <v>0</v>
      </c>
      <c r="HY156" s="67">
        <v>0</v>
      </c>
      <c r="HZ156" s="67" t="s">
        <v>146</v>
      </c>
      <c r="IC156" s="126">
        <v>6.06</v>
      </c>
      <c r="ID156" s="67" t="s">
        <v>285</v>
      </c>
      <c r="IG156" s="39"/>
      <c r="IR156" s="67">
        <f t="shared" ref="IR156:IR163" si="228">IF(IS156="数据缺失",0,IF(IS156&lt;0%,0,IF(IS156&lt;=100%,4,IF(IS156&lt;200%,3,IF(IS156&lt;300%,2,1)))))</f>
        <v>4</v>
      </c>
      <c r="IS156" s="1">
        <f t="shared" ref="IS156:IS163" si="229">IW156/JA156</f>
        <v>0.37152530519657545</v>
      </c>
      <c r="IW156" s="36">
        <v>6.06</v>
      </c>
      <c r="IX156" s="36" t="s">
        <v>146</v>
      </c>
      <c r="JA156" s="126">
        <v>16.3111365908</v>
      </c>
      <c r="JB156" s="67" t="s">
        <v>285</v>
      </c>
      <c r="JD156" s="39">
        <f t="shared" ref="JD156:JD163" si="230">IF(JE156="数据缺失",0,IF(JE156&lt;0%,0,IF(JE156&lt;4%,1,IF(JE156&lt;6%,2,IF(JE156&lt;8%,3,4)))))</f>
        <v>3</v>
      </c>
      <c r="JE156" s="1">
        <f t="shared" ref="JE156:JE163" si="231">JI156/JM156/(JQ156+JU156)*2</f>
        <v>6.2911883206989011E-2</v>
      </c>
      <c r="JI156" s="36">
        <v>1.41</v>
      </c>
      <c r="JJ156" s="36" t="s">
        <v>2904</v>
      </c>
      <c r="JK156" s="36"/>
      <c r="JL156" s="36"/>
      <c r="JM156" s="36">
        <v>1.58</v>
      </c>
      <c r="JN156" s="36" t="s">
        <v>2904</v>
      </c>
      <c r="JO156" s="36"/>
      <c r="JP156" s="36"/>
      <c r="JQ156" s="36">
        <v>13</v>
      </c>
      <c r="JR156" s="36" t="s">
        <v>2914</v>
      </c>
      <c r="JS156" s="36"/>
      <c r="JT156" s="36"/>
      <c r="JU156" s="36">
        <v>15.37</v>
      </c>
      <c r="JV156" s="36" t="s">
        <v>2904</v>
      </c>
      <c r="JX156" s="67">
        <v>2</v>
      </c>
      <c r="JY156" s="36" t="str">
        <f>KC156</f>
        <v xml:space="preserve">立信会计师事务所（特殊普通合伙） </v>
      </c>
      <c r="JZ156" s="36"/>
      <c r="KA156" s="36"/>
      <c r="KB156" s="36">
        <v>4</v>
      </c>
      <c r="KC156" s="36" t="s">
        <v>2915</v>
      </c>
      <c r="KD156" s="67" t="s">
        <v>146</v>
      </c>
      <c r="KF156" s="67">
        <f t="shared" ref="KF156:KF163" si="232">IF(KG156="数据缺失",0,IF(KG156&lt;0%,0,IF(KG156&lt;20%,1,IF(KG156&lt;50%,2,IF(KG156&lt;100%,3,4)))))</f>
        <v>3</v>
      </c>
      <c r="KG156" s="1">
        <f t="shared" ref="KG156:KG163" si="233">KK156/KO156</f>
        <v>0.98399028851568271</v>
      </c>
      <c r="KK156" s="126">
        <v>16.05</v>
      </c>
      <c r="KL156" s="67" t="s">
        <v>146</v>
      </c>
      <c r="KM156" s="39" t="s">
        <v>2290</v>
      </c>
      <c r="KO156" s="126">
        <v>16.3111365908</v>
      </c>
      <c r="KP156" s="67" t="s">
        <v>2916</v>
      </c>
    </row>
    <row r="157" spans="2:302" s="67" customFormat="1" ht="18.75" hidden="1" customHeight="1" x14ac:dyDescent="0.35">
      <c r="B157" s="236" t="s">
        <v>1411</v>
      </c>
      <c r="C157" s="39" t="s">
        <v>1202</v>
      </c>
      <c r="D157" s="67" t="s">
        <v>346</v>
      </c>
      <c r="E157" s="67" t="s">
        <v>197</v>
      </c>
      <c r="F157" s="237" t="s">
        <v>2917</v>
      </c>
      <c r="G157" s="42" t="s">
        <v>163</v>
      </c>
      <c r="H157" s="40">
        <f>51.05/51.68</f>
        <v>0.98780959752321973</v>
      </c>
      <c r="L157" s="39">
        <v>4</v>
      </c>
      <c r="M157" s="39" t="s">
        <v>2918</v>
      </c>
      <c r="N157" s="39"/>
      <c r="O157" s="39"/>
      <c r="P157" s="39" t="s">
        <v>126</v>
      </c>
      <c r="Q157" s="39" t="s">
        <v>1415</v>
      </c>
      <c r="R157" s="39" t="s">
        <v>146</v>
      </c>
      <c r="S157" s="39"/>
      <c r="T157" s="39" t="s">
        <v>1235</v>
      </c>
      <c r="U157" s="40">
        <v>9.9500000000000005E-2</v>
      </c>
      <c r="X157" s="39">
        <f t="shared" si="202"/>
        <v>1</v>
      </c>
      <c r="Y157" s="43">
        <f t="shared" si="203"/>
        <v>0.35245064193106684</v>
      </c>
      <c r="Z157" s="39"/>
      <c r="AA157" s="39"/>
      <c r="AB157" s="39"/>
      <c r="AC157" s="39">
        <v>68.900000000000006</v>
      </c>
      <c r="AD157" s="39" t="s">
        <v>2919</v>
      </c>
      <c r="AE157" s="39"/>
      <c r="AF157" s="39"/>
      <c r="AG157" s="39">
        <v>57.83</v>
      </c>
      <c r="AH157" s="39" t="s">
        <v>2919</v>
      </c>
      <c r="AI157" s="39"/>
      <c r="AJ157" s="39"/>
      <c r="AK157" s="39">
        <v>38.21</v>
      </c>
      <c r="AL157" s="39" t="s">
        <v>2919</v>
      </c>
      <c r="AN157" s="39">
        <f t="shared" si="204"/>
        <v>1</v>
      </c>
      <c r="AO157" s="43">
        <f t="shared" si="205"/>
        <v>0.72295386311435617</v>
      </c>
      <c r="AP157" s="39"/>
      <c r="AQ157" s="39"/>
      <c r="AR157" s="39"/>
      <c r="AS157" s="39">
        <v>87.63</v>
      </c>
      <c r="AT157" s="39" t="s">
        <v>2919</v>
      </c>
      <c r="AU157" s="39"/>
      <c r="AV157" s="39"/>
      <c r="AW157" s="39">
        <v>66.12</v>
      </c>
      <c r="AX157" s="39" t="s">
        <v>2919</v>
      </c>
      <c r="AY157" s="39"/>
      <c r="AZ157" s="39"/>
      <c r="BA157" s="39">
        <v>31.18</v>
      </c>
      <c r="BB157" s="39" t="s">
        <v>2919</v>
      </c>
      <c r="BD157" s="39">
        <f t="shared" si="206"/>
        <v>4</v>
      </c>
      <c r="BE157" s="39">
        <f t="shared" si="207"/>
        <v>68.900000000000006</v>
      </c>
      <c r="BF157" s="39"/>
      <c r="BG157" s="39"/>
      <c r="BH157" s="39"/>
      <c r="BI157" s="39">
        <f>AC157</f>
        <v>68.900000000000006</v>
      </c>
      <c r="BJ157" s="39" t="s">
        <v>2919</v>
      </c>
      <c r="BK157" s="39"/>
      <c r="BL157" s="39">
        <f t="shared" si="208"/>
        <v>4</v>
      </c>
      <c r="BM157" s="39">
        <f t="shared" si="209"/>
        <v>87.63</v>
      </c>
      <c r="BN157" s="39"/>
      <c r="BO157" s="39"/>
      <c r="BP157" s="39"/>
      <c r="BQ157" s="39">
        <f>AS157</f>
        <v>87.63</v>
      </c>
      <c r="BR157" s="39" t="s">
        <v>2919</v>
      </c>
      <c r="BT157" s="8">
        <f t="shared" si="210"/>
        <v>3</v>
      </c>
      <c r="BU157" s="39">
        <f>BY157</f>
        <v>188</v>
      </c>
      <c r="BV157" s="39"/>
      <c r="BW157" s="39"/>
      <c r="BX157" s="39"/>
      <c r="BY157" s="39">
        <v>188</v>
      </c>
      <c r="BZ157" s="39" t="s">
        <v>180</v>
      </c>
      <c r="CB157" s="39">
        <v>1</v>
      </c>
      <c r="CC157" s="39" t="s">
        <v>711</v>
      </c>
      <c r="CD157" s="39"/>
      <c r="CE157" s="39"/>
      <c r="CF157" s="39" t="s">
        <v>711</v>
      </c>
      <c r="CG157" s="39" t="s">
        <v>2920</v>
      </c>
      <c r="CH157" s="39" t="s">
        <v>2921</v>
      </c>
      <c r="CJ157" s="39">
        <f t="shared" si="211"/>
        <v>2</v>
      </c>
      <c r="CK157" s="48">
        <f>CO157/CS157</f>
        <v>0.83047895500725677</v>
      </c>
      <c r="CL157" s="39"/>
      <c r="CM157" s="39"/>
      <c r="CN157" s="39"/>
      <c r="CO157" s="39">
        <v>57.22</v>
      </c>
      <c r="CP157" s="39" t="s">
        <v>2922</v>
      </c>
      <c r="CS157" s="39">
        <f t="shared" si="212"/>
        <v>68.900000000000006</v>
      </c>
      <c r="CT157" s="39" t="str">
        <f t="shared" si="212"/>
        <v>募集20160825</v>
      </c>
      <c r="CV157" s="39">
        <f t="shared" si="213"/>
        <v>1</v>
      </c>
      <c r="CW157" s="39">
        <f t="shared" si="214"/>
        <v>2397.4699999999998</v>
      </c>
      <c r="CX157" s="39"/>
      <c r="CY157" s="39"/>
      <c r="CZ157" s="39"/>
      <c r="DA157" s="39">
        <v>2397.4699999999998</v>
      </c>
      <c r="DB157" s="39" t="s">
        <v>595</v>
      </c>
      <c r="DC157" s="39" t="s">
        <v>2923</v>
      </c>
      <c r="DD157" s="39">
        <f>IF(DE157="数据缺失",0,IF(DE157&lt;0,0,IF(DE157&lt;2,3,IF(DE157&lt;=5,1,2))))</f>
        <v>2</v>
      </c>
      <c r="DE157" s="48">
        <f t="shared" si="199"/>
        <v>27.359009471642132</v>
      </c>
      <c r="DF157" s="39"/>
      <c r="DG157" s="39"/>
      <c r="DH157" s="39"/>
      <c r="DI157" s="39">
        <f t="shared" si="215"/>
        <v>87.63</v>
      </c>
      <c r="DJ157" s="39" t="str">
        <f t="shared" si="215"/>
        <v>募集20160825</v>
      </c>
      <c r="DK157" s="39"/>
      <c r="DL157" s="39"/>
      <c r="DM157" s="118">
        <f t="shared" si="216"/>
        <v>2397.4699999999998</v>
      </c>
      <c r="DN157" s="39" t="s">
        <v>595</v>
      </c>
      <c r="DO157" s="39" t="s">
        <v>2923</v>
      </c>
      <c r="DP157" s="39">
        <v>6</v>
      </c>
      <c r="DQ157" s="39" t="s">
        <v>2924</v>
      </c>
      <c r="DR157" s="39"/>
      <c r="DS157" s="39"/>
      <c r="DT157" s="39"/>
      <c r="DU157" s="40">
        <v>3.0000000000000001E-3</v>
      </c>
      <c r="DV157" s="39" t="s">
        <v>146</v>
      </c>
      <c r="DW157" s="39"/>
      <c r="DX157" s="39"/>
      <c r="DY157" s="40">
        <v>0.21429999999999999</v>
      </c>
      <c r="DZ157" s="39" t="s">
        <v>146</v>
      </c>
      <c r="EA157" s="39"/>
      <c r="EB157" s="39"/>
      <c r="EC157" s="40">
        <v>0.78269999999999995</v>
      </c>
      <c r="ED157" s="39" t="s">
        <v>146</v>
      </c>
      <c r="EE157" s="39"/>
      <c r="EF157" s="39"/>
      <c r="EG157" s="39">
        <v>0</v>
      </c>
      <c r="EH157" s="39" t="s">
        <v>146</v>
      </c>
      <c r="EJ157" s="39">
        <f t="shared" si="217"/>
        <v>1</v>
      </c>
      <c r="EK157" s="39">
        <f t="shared" si="218"/>
        <v>162.57</v>
      </c>
      <c r="EL157" s="39"/>
      <c r="EM157" s="39"/>
      <c r="EN157" s="39"/>
      <c r="EO157" s="39">
        <v>162.57</v>
      </c>
      <c r="EP157" s="39" t="s">
        <v>2919</v>
      </c>
      <c r="EQ157" s="39"/>
      <c r="ER157" s="39">
        <f t="shared" si="219"/>
        <v>1</v>
      </c>
      <c r="ES157" s="39">
        <f t="shared" si="220"/>
        <v>250.2</v>
      </c>
      <c r="ET157" s="39"/>
      <c r="EU157" s="39"/>
      <c r="EV157" s="39"/>
      <c r="EW157" s="39">
        <v>250.2</v>
      </c>
      <c r="EX157" s="39" t="s">
        <v>2919</v>
      </c>
      <c r="EZ157" s="39">
        <f t="shared" si="221"/>
        <v>1</v>
      </c>
      <c r="FA157" s="39">
        <f t="shared" si="222"/>
        <v>241.9</v>
      </c>
      <c r="FB157" s="39"/>
      <c r="FC157" s="39"/>
      <c r="FD157" s="39"/>
      <c r="FE157" s="39">
        <v>241.9</v>
      </c>
      <c r="FF157" s="39" t="s">
        <v>146</v>
      </c>
      <c r="FH157" s="39">
        <v>6</v>
      </c>
      <c r="FI157" s="39" t="s">
        <v>2925</v>
      </c>
      <c r="FJ157" s="39"/>
      <c r="FK157" s="39"/>
      <c r="FL157" s="39"/>
      <c r="FM157" s="40">
        <v>0.108</v>
      </c>
      <c r="FN157" s="39" t="s">
        <v>146</v>
      </c>
      <c r="FO157" s="39"/>
      <c r="FP157" s="39"/>
      <c r="FQ157" s="40">
        <v>0.34889999999999999</v>
      </c>
      <c r="FR157" s="39" t="s">
        <v>146</v>
      </c>
      <c r="FS157" s="39"/>
      <c r="FT157" s="39"/>
      <c r="FU157" s="40">
        <v>0.54300000000000004</v>
      </c>
      <c r="FV157" s="39" t="s">
        <v>146</v>
      </c>
      <c r="FW157" s="39"/>
      <c r="FX157" s="39"/>
      <c r="FY157" s="39">
        <v>0</v>
      </c>
      <c r="FZ157" s="39" t="s">
        <v>146</v>
      </c>
      <c r="GB157" s="39">
        <v>2</v>
      </c>
      <c r="GC157" s="39" t="s">
        <v>2926</v>
      </c>
      <c r="GD157" s="39"/>
      <c r="GE157" s="39"/>
      <c r="GF157" s="39"/>
      <c r="GG157" s="39" t="s">
        <v>2926</v>
      </c>
      <c r="GH157" s="39" t="s">
        <v>595</v>
      </c>
      <c r="GJ157" s="39">
        <v>0</v>
      </c>
      <c r="GK157" s="43" t="s">
        <v>297</v>
      </c>
      <c r="GL157" s="39"/>
      <c r="GM157" s="39"/>
      <c r="GN157" s="39" t="s">
        <v>297</v>
      </c>
      <c r="GO157" s="39" t="s">
        <v>297</v>
      </c>
      <c r="GS157" s="69">
        <v>51.675718837600002</v>
      </c>
      <c r="GT157" s="39" t="s">
        <v>2927</v>
      </c>
      <c r="GV157" s="39">
        <f t="shared" si="223"/>
        <v>2</v>
      </c>
      <c r="GW157" s="43">
        <f t="shared" si="224"/>
        <v>0.30395009190485889</v>
      </c>
      <c r="GX157" s="39"/>
      <c r="GY157" s="39"/>
      <c r="GZ157" s="39"/>
      <c r="HA157" s="39">
        <v>110.87</v>
      </c>
      <c r="HB157" s="39" t="s">
        <v>595</v>
      </c>
      <c r="HC157" s="39"/>
      <c r="HD157" s="39"/>
      <c r="HE157" s="69">
        <v>364.76383114470002</v>
      </c>
      <c r="HF157" s="39" t="s">
        <v>2105</v>
      </c>
      <c r="HH157" s="39">
        <f t="shared" si="225"/>
        <v>1</v>
      </c>
      <c r="HI157" s="43">
        <f t="shared" si="226"/>
        <v>8.7932918224397534E-3</v>
      </c>
      <c r="HJ157" s="39"/>
      <c r="HK157" s="39"/>
      <c r="HL157" s="39"/>
      <c r="HM157" s="39">
        <v>0.28999999999999998</v>
      </c>
      <c r="HN157" s="39" t="s">
        <v>595</v>
      </c>
      <c r="HO157" s="39"/>
      <c r="HP157" s="39"/>
      <c r="HQ157" s="69">
        <v>32.979685634900001</v>
      </c>
      <c r="HR157" s="39" t="s">
        <v>2105</v>
      </c>
      <c r="HT157" s="67">
        <f t="shared" si="227"/>
        <v>2</v>
      </c>
      <c r="HU157" s="120">
        <f t="shared" si="196"/>
        <v>0.21954649323255404</v>
      </c>
      <c r="HY157" s="39">
        <v>12.49</v>
      </c>
      <c r="HZ157" s="39" t="s">
        <v>595</v>
      </c>
      <c r="IA157" s="39"/>
      <c r="IB157" s="39"/>
      <c r="IC157" s="69">
        <v>56.89</v>
      </c>
      <c r="ID157" s="39" t="s">
        <v>2105</v>
      </c>
      <c r="IG157" s="39"/>
      <c r="IR157" s="39">
        <f t="shared" si="228"/>
        <v>2</v>
      </c>
      <c r="IS157" s="43">
        <f t="shared" si="229"/>
        <v>2.5556475323100152</v>
      </c>
      <c r="IT157" s="39"/>
      <c r="IU157" s="39"/>
      <c r="IV157" s="39"/>
      <c r="IW157" s="39">
        <v>251.39</v>
      </c>
      <c r="IX157" s="39" t="s">
        <v>595</v>
      </c>
      <c r="IY157" s="39"/>
      <c r="IZ157" s="39"/>
      <c r="JA157" s="69">
        <v>98.366459702200004</v>
      </c>
      <c r="JB157" s="39" t="s">
        <v>2105</v>
      </c>
      <c r="JD157" s="39">
        <f t="shared" si="230"/>
        <v>4</v>
      </c>
      <c r="JE157" s="43">
        <f t="shared" si="231"/>
        <v>0.23022923772507334</v>
      </c>
      <c r="JF157" s="39"/>
      <c r="JG157" s="39"/>
      <c r="JH157" s="39"/>
      <c r="JI157" s="39">
        <v>11.61</v>
      </c>
      <c r="JJ157" s="39" t="s">
        <v>2928</v>
      </c>
      <c r="JK157" s="39"/>
      <c r="JL157" s="39"/>
      <c r="JM157" s="39">
        <v>0.56000000000000005</v>
      </c>
      <c r="JN157" s="39" t="s">
        <v>2928</v>
      </c>
      <c r="JO157" s="39"/>
      <c r="JP157" s="39"/>
      <c r="JQ157" s="39">
        <v>113.89</v>
      </c>
      <c r="JR157" s="39" t="s">
        <v>2928</v>
      </c>
      <c r="JS157" s="39"/>
      <c r="JT157" s="39"/>
      <c r="JU157" s="39">
        <v>66.209999999999994</v>
      </c>
      <c r="JV157" s="39" t="s">
        <v>2928</v>
      </c>
      <c r="JX157" s="39">
        <v>2</v>
      </c>
      <c r="JY157" s="39" t="s">
        <v>1430</v>
      </c>
      <c r="JZ157" s="39"/>
      <c r="KA157" s="39"/>
      <c r="KB157" s="39">
        <v>9</v>
      </c>
      <c r="KC157" s="39" t="s">
        <v>1430</v>
      </c>
      <c r="KD157" s="39" t="s">
        <v>595</v>
      </c>
      <c r="KF157" s="39">
        <f t="shared" si="232"/>
        <v>3</v>
      </c>
      <c r="KG157" s="43">
        <f t="shared" si="233"/>
        <v>0.79264822822790038</v>
      </c>
      <c r="KH157" s="39"/>
      <c r="KI157" s="39"/>
      <c r="KJ157" s="39"/>
      <c r="KK157" s="39">
        <v>77.97</v>
      </c>
      <c r="KL157" s="39" t="s">
        <v>595</v>
      </c>
      <c r="KM157" s="39" t="s">
        <v>2290</v>
      </c>
      <c r="KN157" s="39"/>
      <c r="KO157" s="69">
        <v>98.366459702200004</v>
      </c>
      <c r="KP157" s="39" t="s">
        <v>2105</v>
      </c>
    </row>
    <row r="158" spans="2:302" s="67" customFormat="1" ht="17.25" hidden="1" customHeight="1" x14ac:dyDescent="0.35">
      <c r="B158" s="234" t="s">
        <v>858</v>
      </c>
      <c r="C158" s="14" t="s">
        <v>171</v>
      </c>
      <c r="D158" s="67" t="s">
        <v>906</v>
      </c>
      <c r="E158" s="67" t="s">
        <v>2929</v>
      </c>
      <c r="F158" s="235" t="s">
        <v>2930</v>
      </c>
      <c r="G158" s="42" t="s">
        <v>163</v>
      </c>
      <c r="H158" s="120">
        <f>97.78%+1.24%</f>
        <v>0.99019999999999997</v>
      </c>
      <c r="L158" s="67">
        <v>3</v>
      </c>
      <c r="M158" s="39" t="s">
        <v>2931</v>
      </c>
      <c r="P158" s="67" t="s">
        <v>1061</v>
      </c>
      <c r="Q158" s="67" t="s">
        <v>2932</v>
      </c>
      <c r="R158" s="67" t="s">
        <v>298</v>
      </c>
      <c r="T158" s="67" t="s">
        <v>278</v>
      </c>
      <c r="U158" s="120">
        <v>0.70689999999999997</v>
      </c>
      <c r="X158" s="67">
        <f t="shared" si="202"/>
        <v>1</v>
      </c>
      <c r="Y158" s="1">
        <f t="shared" si="203"/>
        <v>0.37707179035032828</v>
      </c>
      <c r="AC158" s="67">
        <v>184.93</v>
      </c>
      <c r="AD158" s="67" t="s">
        <v>298</v>
      </c>
      <c r="AG158" s="67">
        <v>98.62</v>
      </c>
      <c r="AH158" s="67" t="s">
        <v>298</v>
      </c>
      <c r="AK158" s="67">
        <v>112.2</v>
      </c>
      <c r="AL158" s="67" t="s">
        <v>2933</v>
      </c>
      <c r="AN158" s="67">
        <f t="shared" si="204"/>
        <v>1</v>
      </c>
      <c r="AO158" s="1">
        <f t="shared" si="205"/>
        <v>0.3655733723099962</v>
      </c>
      <c r="AS158" s="67">
        <v>117.16</v>
      </c>
      <c r="AT158" s="67" t="s">
        <v>2934</v>
      </c>
      <c r="AW158" s="67">
        <v>59.94</v>
      </c>
      <c r="AX158" s="67" t="s">
        <v>298</v>
      </c>
      <c r="BA158" s="67">
        <v>77.19</v>
      </c>
      <c r="BB158" s="67" t="s">
        <v>2935</v>
      </c>
      <c r="BD158" s="67">
        <f t="shared" si="206"/>
        <v>3</v>
      </c>
      <c r="BE158" s="67">
        <f t="shared" si="207"/>
        <v>184.93</v>
      </c>
      <c r="BI158" s="67">
        <f>AC158</f>
        <v>184.93</v>
      </c>
      <c r="BJ158" s="67" t="str">
        <f>AD158</f>
        <v>评级20160627</v>
      </c>
      <c r="BL158" s="67">
        <f t="shared" si="208"/>
        <v>3</v>
      </c>
      <c r="BM158" s="67">
        <f t="shared" si="209"/>
        <v>117.16</v>
      </c>
      <c r="BQ158" s="67">
        <f t="shared" ref="BQ158:BR163" si="234">AS158</f>
        <v>117.16</v>
      </c>
      <c r="BR158" s="67" t="str">
        <f t="shared" si="234"/>
        <v>评级20160627</v>
      </c>
      <c r="BT158" s="8">
        <f t="shared" si="210"/>
        <v>2</v>
      </c>
      <c r="BU158" s="14">
        <f>BY158</f>
        <v>35</v>
      </c>
      <c r="BV158" s="14"/>
      <c r="BW158" s="14"/>
      <c r="BX158" s="14"/>
      <c r="BY158" s="14">
        <v>35</v>
      </c>
      <c r="BZ158" s="39" t="s">
        <v>234</v>
      </c>
      <c r="CB158" s="67">
        <v>1</v>
      </c>
      <c r="CC158" s="67" t="str">
        <f>CF158</f>
        <v>一级</v>
      </c>
      <c r="CF158" s="67" t="s">
        <v>132</v>
      </c>
      <c r="CG158" s="67" t="s">
        <v>2936</v>
      </c>
      <c r="CH158" s="67" t="s">
        <v>2937</v>
      </c>
      <c r="CJ158" s="67">
        <f t="shared" si="211"/>
        <v>0</v>
      </c>
      <c r="CK158" s="125" t="s">
        <v>297</v>
      </c>
      <c r="CO158" s="67" t="s">
        <v>297</v>
      </c>
      <c r="CS158" s="67">
        <f t="shared" si="212"/>
        <v>184.93</v>
      </c>
      <c r="CT158" s="67" t="str">
        <f t="shared" si="212"/>
        <v>评级20160627</v>
      </c>
      <c r="CV158" s="67">
        <f t="shared" si="213"/>
        <v>0</v>
      </c>
      <c r="CW158" s="67" t="str">
        <f t="shared" si="214"/>
        <v>数据缺失</v>
      </c>
      <c r="DA158" s="67" t="s">
        <v>297</v>
      </c>
      <c r="DD158" s="67">
        <f>IF(DE158="数据缺失",0,IF(DE158&lt;0,0,IF(DE158&lt;2,3,IF(DE158&lt;=5,1,2))))</f>
        <v>0</v>
      </c>
      <c r="DE158" s="125" t="s">
        <v>297</v>
      </c>
      <c r="DI158" s="67">
        <f t="shared" si="215"/>
        <v>117.16</v>
      </c>
      <c r="DJ158" s="67" t="str">
        <f t="shared" si="215"/>
        <v>评级20160627</v>
      </c>
      <c r="DM158" s="118" t="str">
        <f t="shared" si="216"/>
        <v>数据缺失</v>
      </c>
      <c r="DP158" s="67">
        <v>4</v>
      </c>
      <c r="DQ158" s="67" t="s">
        <v>2938</v>
      </c>
      <c r="DR158" s="14" t="s">
        <v>298</v>
      </c>
      <c r="DS158" s="67" t="s">
        <v>2939</v>
      </c>
      <c r="DU158" s="67" t="s">
        <v>297</v>
      </c>
      <c r="DY158" s="67" t="s">
        <v>297</v>
      </c>
      <c r="EC158" s="67" t="s">
        <v>297</v>
      </c>
      <c r="EG158" s="67" t="s">
        <v>297</v>
      </c>
      <c r="EJ158" s="67">
        <f t="shared" si="217"/>
        <v>0</v>
      </c>
      <c r="EK158" s="67" t="str">
        <f t="shared" si="218"/>
        <v>数据缺失</v>
      </c>
      <c r="EO158" s="67" t="s">
        <v>297</v>
      </c>
      <c r="ER158" s="67">
        <f t="shared" si="219"/>
        <v>1</v>
      </c>
      <c r="ES158" s="67">
        <f t="shared" si="220"/>
        <v>194.06</v>
      </c>
      <c r="EW158" s="67">
        <v>194.06</v>
      </c>
      <c r="EX158" s="67" t="s">
        <v>298</v>
      </c>
      <c r="EZ158" s="67">
        <f t="shared" si="221"/>
        <v>1</v>
      </c>
      <c r="FA158" s="67">
        <f t="shared" si="222"/>
        <v>442.49</v>
      </c>
      <c r="FE158" s="67">
        <v>442.49</v>
      </c>
      <c r="FF158" s="67" t="s">
        <v>298</v>
      </c>
      <c r="FG158" s="14" t="s">
        <v>2940</v>
      </c>
      <c r="FH158" s="14">
        <v>3</v>
      </c>
      <c r="FI158" s="14" t="s">
        <v>2941</v>
      </c>
      <c r="FJ158" s="67" t="s">
        <v>298</v>
      </c>
      <c r="FK158" s="14" t="s">
        <v>2940</v>
      </c>
      <c r="FL158" s="14"/>
      <c r="FM158" s="98">
        <v>5.2699999999999997E-2</v>
      </c>
      <c r="FN158" s="14" t="s">
        <v>298</v>
      </c>
      <c r="FO158" s="14"/>
      <c r="FP158" s="14"/>
      <c r="FQ158" s="98">
        <v>0.53059999999999996</v>
      </c>
      <c r="FR158" s="14" t="s">
        <v>298</v>
      </c>
      <c r="FS158" s="14"/>
      <c r="FT158" s="14"/>
      <c r="FU158" s="238">
        <v>0.13</v>
      </c>
      <c r="FV158" s="14" t="s">
        <v>298</v>
      </c>
      <c r="FW158" s="14"/>
      <c r="FX158" s="14"/>
      <c r="FY158" s="98">
        <v>0.28670000000000001</v>
      </c>
      <c r="FZ158" s="14" t="s">
        <v>298</v>
      </c>
      <c r="GB158" s="14">
        <v>2</v>
      </c>
      <c r="GC158" s="14" t="str">
        <f>GG158</f>
        <v>房地产开发业务：100%</v>
      </c>
      <c r="GD158" s="14"/>
      <c r="GE158" s="14"/>
      <c r="GF158" s="14"/>
      <c r="GG158" s="14" t="s">
        <v>2942</v>
      </c>
      <c r="GH158" s="14" t="s">
        <v>2911</v>
      </c>
      <c r="GJ158" s="67">
        <f t="shared" ref="GJ158:GJ163" si="235">IF(GK158="数据缺失",0,IF(GK158&lt;0%,0,IF(GK158&lt;=5%,4,IF(GK158&lt;10%,3,IF(GK158&lt;20%,2,1)))))</f>
        <v>4</v>
      </c>
      <c r="GK158" s="1">
        <f t="shared" ref="GK158:GK163" si="236">GN158/GS158</f>
        <v>1.2442409730550226E-2</v>
      </c>
      <c r="GN158" s="67">
        <v>1.78</v>
      </c>
      <c r="GO158" s="67" t="s">
        <v>2943</v>
      </c>
      <c r="GP158" s="67" t="s">
        <v>298</v>
      </c>
      <c r="GS158" s="126">
        <v>143.05910499230001</v>
      </c>
      <c r="GT158" s="67" t="s">
        <v>1097</v>
      </c>
      <c r="GV158" s="67">
        <f t="shared" si="223"/>
        <v>2</v>
      </c>
      <c r="GW158" s="1">
        <f t="shared" si="224"/>
        <v>0.35053373739152871</v>
      </c>
      <c r="HA158" s="67">
        <v>162.91999999999999</v>
      </c>
      <c r="HB158" s="67" t="s">
        <v>146</v>
      </c>
      <c r="HE158" s="126">
        <v>464.77694618599998</v>
      </c>
      <c r="HF158" s="67" t="s">
        <v>285</v>
      </c>
      <c r="HH158" s="67">
        <f t="shared" si="225"/>
        <v>1</v>
      </c>
      <c r="HI158" s="1">
        <f t="shared" si="226"/>
        <v>1.2968472546359319E-2</v>
      </c>
      <c r="HM158" s="39">
        <v>0.55000000000000004</v>
      </c>
      <c r="HN158" s="67" t="s">
        <v>146</v>
      </c>
      <c r="HQ158" s="126">
        <v>42.410545886100003</v>
      </c>
      <c r="HR158" s="67" t="s">
        <v>285</v>
      </c>
      <c r="HT158" s="67">
        <f t="shared" si="227"/>
        <v>4</v>
      </c>
      <c r="HU158" s="67">
        <f t="shared" si="196"/>
        <v>0</v>
      </c>
      <c r="HY158" s="67">
        <v>0</v>
      </c>
      <c r="HZ158" s="67" t="s">
        <v>146</v>
      </c>
      <c r="IC158" s="126">
        <v>86.544499999999999</v>
      </c>
      <c r="ID158" s="67" t="s">
        <v>285</v>
      </c>
      <c r="IG158" s="39"/>
      <c r="IR158" s="67">
        <f t="shared" si="228"/>
        <v>3</v>
      </c>
      <c r="IS158" s="1">
        <f t="shared" si="229"/>
        <v>1.2936965097806932</v>
      </c>
      <c r="IW158" s="67">
        <v>153.01</v>
      </c>
      <c r="IX158" s="67" t="s">
        <v>298</v>
      </c>
      <c r="IY158" s="67" t="s">
        <v>1395</v>
      </c>
      <c r="JA158" s="126">
        <v>118.27348906270001</v>
      </c>
      <c r="JB158" s="67" t="s">
        <v>285</v>
      </c>
      <c r="JD158" s="39">
        <f t="shared" si="230"/>
        <v>3</v>
      </c>
      <c r="JE158" s="1">
        <f t="shared" si="231"/>
        <v>6.3143207457707851E-2</v>
      </c>
      <c r="JI158" s="67">
        <v>30.23</v>
      </c>
      <c r="JJ158" s="67" t="s">
        <v>298</v>
      </c>
      <c r="JM158" s="67">
        <v>3.55</v>
      </c>
      <c r="JN158" s="67" t="s">
        <v>298</v>
      </c>
      <c r="JQ158" s="67">
        <v>127.55</v>
      </c>
      <c r="JR158" s="67" t="s">
        <v>298</v>
      </c>
      <c r="JS158" s="36"/>
      <c r="JU158" s="67">
        <v>142.16999999999999</v>
      </c>
      <c r="JV158" s="67" t="s">
        <v>298</v>
      </c>
      <c r="JX158" s="67">
        <v>2</v>
      </c>
      <c r="JY158" s="36" t="str">
        <f>KC158</f>
        <v xml:space="preserve">致同会计师事务所（特殊普通合伙） </v>
      </c>
      <c r="KB158" s="67">
        <v>11</v>
      </c>
      <c r="KC158" s="36" t="s">
        <v>2944</v>
      </c>
      <c r="KD158" s="67" t="s">
        <v>146</v>
      </c>
      <c r="KF158" s="67">
        <f t="shared" si="232"/>
        <v>3</v>
      </c>
      <c r="KG158" s="1">
        <f t="shared" si="233"/>
        <v>0.86291527212742669</v>
      </c>
      <c r="KK158" s="67">
        <v>102.06</v>
      </c>
      <c r="KL158" s="67" t="s">
        <v>146</v>
      </c>
      <c r="KM158" s="39" t="s">
        <v>2290</v>
      </c>
      <c r="KO158" s="126">
        <v>118.27348906270001</v>
      </c>
      <c r="KP158" s="67" t="s">
        <v>2916</v>
      </c>
    </row>
    <row r="159" spans="2:302" s="67" customFormat="1" ht="18.75" hidden="1" customHeight="1" x14ac:dyDescent="0.35">
      <c r="B159" s="234" t="s">
        <v>2945</v>
      </c>
      <c r="C159" s="14" t="s">
        <v>171</v>
      </c>
      <c r="D159" s="67" t="s">
        <v>906</v>
      </c>
      <c r="E159" s="67" t="s">
        <v>197</v>
      </c>
      <c r="F159" s="235" t="s">
        <v>2946</v>
      </c>
      <c r="G159" s="42" t="s">
        <v>163</v>
      </c>
      <c r="H159" s="98">
        <f>(30.03+0.44+0.31)/33.91</f>
        <v>0.9076968445886171</v>
      </c>
      <c r="L159" s="67">
        <v>2</v>
      </c>
      <c r="M159" s="39" t="s">
        <v>2947</v>
      </c>
      <c r="P159" s="233" t="s">
        <v>970</v>
      </c>
      <c r="Q159" s="67" t="s">
        <v>971</v>
      </c>
      <c r="R159" s="67" t="s">
        <v>329</v>
      </c>
      <c r="T159" s="67" t="s">
        <v>673</v>
      </c>
      <c r="U159" s="239">
        <v>1</v>
      </c>
      <c r="X159" s="67">
        <f t="shared" si="202"/>
        <v>1</v>
      </c>
      <c r="Y159" s="1">
        <f t="shared" si="203"/>
        <v>0.4835532189374343</v>
      </c>
      <c r="AC159" s="67">
        <v>62.66</v>
      </c>
      <c r="AD159" s="67" t="s">
        <v>329</v>
      </c>
      <c r="AG159" s="67">
        <v>31.03</v>
      </c>
      <c r="AH159" s="67" t="s">
        <v>329</v>
      </c>
      <c r="AK159" s="67">
        <v>32.74</v>
      </c>
      <c r="AL159" s="67" t="s">
        <v>2948</v>
      </c>
      <c r="AN159" s="67">
        <f t="shared" si="204"/>
        <v>2</v>
      </c>
      <c r="AO159" s="1">
        <f t="shared" si="205"/>
        <v>0.25947208340577177</v>
      </c>
      <c r="AS159" s="67">
        <v>90.22</v>
      </c>
      <c r="AT159" s="67" t="s">
        <v>329</v>
      </c>
      <c r="AW159" s="67">
        <v>67.319999999999993</v>
      </c>
      <c r="AX159" s="67" t="s">
        <v>329</v>
      </c>
      <c r="BA159" s="67">
        <v>57.11</v>
      </c>
      <c r="BB159" s="67" t="s">
        <v>2948</v>
      </c>
      <c r="BD159" s="67">
        <f t="shared" si="206"/>
        <v>4</v>
      </c>
      <c r="BE159" s="67">
        <f t="shared" si="207"/>
        <v>62.66</v>
      </c>
      <c r="BI159" s="67">
        <f>AC159</f>
        <v>62.66</v>
      </c>
      <c r="BJ159" s="67" t="str">
        <f>AD159</f>
        <v>评级20160629</v>
      </c>
      <c r="BL159" s="67">
        <f t="shared" si="208"/>
        <v>4</v>
      </c>
      <c r="BM159" s="67">
        <f t="shared" si="209"/>
        <v>90.22</v>
      </c>
      <c r="BQ159" s="67">
        <f t="shared" si="234"/>
        <v>90.22</v>
      </c>
      <c r="BR159" s="67" t="str">
        <f t="shared" si="234"/>
        <v>评级20160629</v>
      </c>
      <c r="BT159" s="8">
        <f t="shared" si="210"/>
        <v>5</v>
      </c>
      <c r="BU159" s="67" t="str">
        <f>BY159</f>
        <v>未上榜</v>
      </c>
      <c r="BY159" s="67" t="s">
        <v>626</v>
      </c>
      <c r="BZ159" s="39" t="s">
        <v>234</v>
      </c>
      <c r="CB159" s="67">
        <v>2</v>
      </c>
      <c r="CC159" s="67" t="s">
        <v>914</v>
      </c>
      <c r="CF159" s="67" t="s">
        <v>914</v>
      </c>
      <c r="CG159" s="67" t="s">
        <v>2949</v>
      </c>
      <c r="CH159" s="67" t="s">
        <v>2503</v>
      </c>
      <c r="CJ159" s="67">
        <f t="shared" si="211"/>
        <v>0</v>
      </c>
      <c r="CK159" s="125" t="s">
        <v>297</v>
      </c>
      <c r="CO159" s="67" t="s">
        <v>297</v>
      </c>
      <c r="CS159" s="67">
        <f t="shared" si="212"/>
        <v>62.66</v>
      </c>
      <c r="CT159" s="67" t="str">
        <f t="shared" si="212"/>
        <v>评级20160629</v>
      </c>
      <c r="CV159" s="67">
        <f t="shared" si="213"/>
        <v>4</v>
      </c>
      <c r="CW159" s="67">
        <f t="shared" si="214"/>
        <v>315.86</v>
      </c>
      <c r="DA159" s="67">
        <v>315.86</v>
      </c>
      <c r="DB159" s="67" t="s">
        <v>2950</v>
      </c>
      <c r="DD159" s="67">
        <f>IF(DE159="数据缺失",0,IF(DE159&lt;0,0,IF(DE159&lt;2,3,IF(DE159&lt;=5,1,2))))</f>
        <v>1</v>
      </c>
      <c r="DE159" s="125">
        <f>DM159/DI159</f>
        <v>3.5009975615162938</v>
      </c>
      <c r="DI159" s="67">
        <f t="shared" si="215"/>
        <v>90.22</v>
      </c>
      <c r="DJ159" s="67" t="str">
        <f t="shared" si="215"/>
        <v>评级20160629</v>
      </c>
      <c r="DM159" s="118">
        <f t="shared" si="216"/>
        <v>315.86</v>
      </c>
      <c r="DN159" s="67" t="s">
        <v>329</v>
      </c>
      <c r="DP159" s="67">
        <v>4</v>
      </c>
      <c r="DQ159" s="36" t="s">
        <v>2951</v>
      </c>
      <c r="DU159" s="67">
        <v>0</v>
      </c>
      <c r="DV159" s="67" t="s">
        <v>329</v>
      </c>
      <c r="DY159" s="120">
        <v>0.44690000000000002</v>
      </c>
      <c r="DZ159" s="67" t="s">
        <v>329</v>
      </c>
      <c r="EC159" s="120">
        <v>0.2286</v>
      </c>
      <c r="ED159" s="67" t="s">
        <v>329</v>
      </c>
      <c r="EG159" s="120">
        <v>0.32440000000000002</v>
      </c>
      <c r="EH159" s="67" t="s">
        <v>329</v>
      </c>
      <c r="EJ159" s="67">
        <f t="shared" si="217"/>
        <v>1</v>
      </c>
      <c r="EK159" s="67">
        <f t="shared" si="218"/>
        <v>116.5</v>
      </c>
      <c r="EO159" s="67">
        <v>116.5</v>
      </c>
      <c r="EP159" s="67" t="s">
        <v>2950</v>
      </c>
      <c r="ER159" s="67">
        <f t="shared" si="219"/>
        <v>2</v>
      </c>
      <c r="ES159" s="67">
        <f t="shared" si="220"/>
        <v>67.88</v>
      </c>
      <c r="EW159" s="67">
        <v>67.88</v>
      </c>
      <c r="EX159" s="67" t="s">
        <v>329</v>
      </c>
      <c r="EZ159" s="67">
        <f t="shared" si="221"/>
        <v>1</v>
      </c>
      <c r="FA159" s="67">
        <f t="shared" si="222"/>
        <v>377.73</v>
      </c>
      <c r="FE159" s="67">
        <v>377.73</v>
      </c>
      <c r="FF159" s="67" t="s">
        <v>2950</v>
      </c>
      <c r="FH159" s="67">
        <v>3</v>
      </c>
      <c r="FI159" s="36" t="s">
        <v>2952</v>
      </c>
      <c r="FM159" s="67">
        <v>0</v>
      </c>
      <c r="FN159" s="67" t="s">
        <v>329</v>
      </c>
      <c r="FQ159" s="120">
        <v>0.50829999999999997</v>
      </c>
      <c r="FR159" s="67" t="s">
        <v>329</v>
      </c>
      <c r="FU159" s="120">
        <v>0.29270000000000002</v>
      </c>
      <c r="FV159" s="67" t="s">
        <v>329</v>
      </c>
      <c r="FY159" s="120">
        <v>0.19900000000000001</v>
      </c>
      <c r="FZ159" s="67" t="s">
        <v>329</v>
      </c>
      <c r="GB159" s="67">
        <v>2</v>
      </c>
      <c r="GC159" s="67" t="s">
        <v>2953</v>
      </c>
      <c r="GD159" s="120"/>
      <c r="GE159" s="120"/>
      <c r="GG159" s="67" t="s">
        <v>2953</v>
      </c>
      <c r="GH159" s="67" t="s">
        <v>146</v>
      </c>
      <c r="GJ159" s="67">
        <f t="shared" si="235"/>
        <v>4</v>
      </c>
      <c r="GK159" s="1">
        <f t="shared" si="236"/>
        <v>2.2411957490030054E-2</v>
      </c>
      <c r="GN159" s="67">
        <v>0.76</v>
      </c>
      <c r="GO159" s="67" t="s">
        <v>2954</v>
      </c>
      <c r="GP159" s="67" t="s">
        <v>2911</v>
      </c>
      <c r="GS159" s="126">
        <v>33.910469459799998</v>
      </c>
      <c r="GT159" s="67" t="s">
        <v>1097</v>
      </c>
      <c r="GV159" s="39">
        <f t="shared" si="223"/>
        <v>1</v>
      </c>
      <c r="GW159" s="43">
        <f t="shared" si="224"/>
        <v>0.19030248908836161</v>
      </c>
      <c r="GX159" s="39"/>
      <c r="GY159" s="39"/>
      <c r="GZ159" s="39"/>
      <c r="HA159" s="39">
        <v>52.55</v>
      </c>
      <c r="HB159" s="39" t="s">
        <v>146</v>
      </c>
      <c r="HC159" s="39"/>
      <c r="HD159" s="39"/>
      <c r="HE159" s="69">
        <v>276.13932036169996</v>
      </c>
      <c r="HF159" s="39" t="s">
        <v>2916</v>
      </c>
      <c r="HH159" s="39">
        <f t="shared" si="225"/>
        <v>1</v>
      </c>
      <c r="HI159" s="43">
        <f t="shared" si="226"/>
        <v>6.7545180941950042E-2</v>
      </c>
      <c r="HJ159" s="39"/>
      <c r="HK159" s="39"/>
      <c r="HL159" s="39"/>
      <c r="HM159" s="39">
        <v>2.4500000000000002</v>
      </c>
      <c r="HN159" s="39" t="s">
        <v>2911</v>
      </c>
      <c r="HO159" s="39"/>
      <c r="HP159" s="39"/>
      <c r="HQ159" s="69">
        <v>36.272017719600001</v>
      </c>
      <c r="HR159" s="39" t="s">
        <v>285</v>
      </c>
      <c r="HT159" s="67">
        <f t="shared" si="227"/>
        <v>0</v>
      </c>
      <c r="HU159" s="67" t="s">
        <v>297</v>
      </c>
      <c r="HY159" s="67" t="s">
        <v>297</v>
      </c>
      <c r="HZ159" s="67" t="s">
        <v>146</v>
      </c>
      <c r="IC159" s="126">
        <v>93.649000000000001</v>
      </c>
      <c r="ID159" s="67" t="s">
        <v>285</v>
      </c>
      <c r="IG159" s="39"/>
      <c r="IR159" s="67">
        <f t="shared" si="228"/>
        <v>4</v>
      </c>
      <c r="IS159" s="1">
        <f t="shared" si="229"/>
        <v>0.58593023626268326</v>
      </c>
      <c r="IW159" s="67">
        <v>46.64</v>
      </c>
      <c r="IX159" s="67" t="s">
        <v>146</v>
      </c>
      <c r="JA159" s="126">
        <v>79.599920115900005</v>
      </c>
      <c r="JB159" s="67" t="s">
        <v>285</v>
      </c>
      <c r="JD159" s="39">
        <f t="shared" si="230"/>
        <v>4</v>
      </c>
      <c r="JE159" s="1">
        <f t="shared" si="231"/>
        <v>0.13271400132714004</v>
      </c>
      <c r="JI159" s="67">
        <v>4.96</v>
      </c>
      <c r="JJ159" s="67" t="s">
        <v>2955</v>
      </c>
      <c r="JM159" s="67">
        <v>0.44</v>
      </c>
      <c r="JN159" s="67" t="s">
        <v>329</v>
      </c>
      <c r="JQ159" s="67">
        <v>105.8</v>
      </c>
      <c r="JR159" s="67" t="s">
        <v>329</v>
      </c>
      <c r="JS159" s="36"/>
      <c r="JU159" s="67">
        <v>64.08</v>
      </c>
      <c r="JV159" s="67" t="s">
        <v>329</v>
      </c>
      <c r="JX159" s="67">
        <v>2</v>
      </c>
      <c r="JY159" s="36" t="str">
        <f>KC159</f>
        <v>瑞华会计师事务所（特殊普通合伙）</v>
      </c>
      <c r="KB159" s="67">
        <v>2</v>
      </c>
      <c r="KC159" s="67" t="s">
        <v>155</v>
      </c>
      <c r="KD159" s="67" t="s">
        <v>146</v>
      </c>
      <c r="KF159" s="67">
        <f t="shared" si="232"/>
        <v>1</v>
      </c>
      <c r="KG159" s="1">
        <f t="shared" si="233"/>
        <v>0</v>
      </c>
      <c r="KK159" s="67">
        <v>0</v>
      </c>
      <c r="KL159" s="67" t="s">
        <v>146</v>
      </c>
      <c r="KO159" s="126">
        <v>79.599920115900005</v>
      </c>
      <c r="KP159" s="67" t="s">
        <v>2916</v>
      </c>
    </row>
    <row r="160" spans="2:302" s="67" customFormat="1" ht="18.75" hidden="1" customHeight="1" x14ac:dyDescent="0.35">
      <c r="B160" s="234" t="s">
        <v>2956</v>
      </c>
      <c r="C160" s="14" t="s">
        <v>171</v>
      </c>
      <c r="D160" s="67" t="s">
        <v>906</v>
      </c>
      <c r="E160" s="67" t="s">
        <v>197</v>
      </c>
      <c r="F160" s="235" t="s">
        <v>2957</v>
      </c>
      <c r="G160" s="42" t="s">
        <v>163</v>
      </c>
      <c r="H160" s="120">
        <f>92.96%+3.04%</f>
        <v>0.96</v>
      </c>
      <c r="L160" s="67">
        <v>4</v>
      </c>
      <c r="M160" s="39" t="s">
        <v>2958</v>
      </c>
      <c r="P160" s="67" t="s">
        <v>722</v>
      </c>
      <c r="Q160" s="67" t="s">
        <v>2959</v>
      </c>
      <c r="R160" s="67" t="s">
        <v>146</v>
      </c>
      <c r="T160" s="39" t="s">
        <v>129</v>
      </c>
      <c r="U160" s="120">
        <v>0.30349999999999999</v>
      </c>
      <c r="X160" s="67">
        <f t="shared" si="202"/>
        <v>3</v>
      </c>
      <c r="Y160" s="1">
        <f t="shared" si="203"/>
        <v>3.0998168498168499E-2</v>
      </c>
      <c r="AC160" s="67">
        <v>221</v>
      </c>
      <c r="AD160" s="67" t="s">
        <v>2960</v>
      </c>
      <c r="AG160" s="67">
        <v>210</v>
      </c>
      <c r="AH160" s="67" t="s">
        <v>2960</v>
      </c>
      <c r="AK160" s="67">
        <v>208</v>
      </c>
      <c r="AL160" s="67" t="s">
        <v>2960</v>
      </c>
      <c r="AN160" s="39">
        <f t="shared" si="204"/>
        <v>2</v>
      </c>
      <c r="AO160" s="43">
        <f t="shared" si="205"/>
        <v>0.12769525069078713</v>
      </c>
      <c r="AP160" s="14"/>
      <c r="AQ160" s="14"/>
      <c r="AR160" s="14"/>
      <c r="AS160" s="14">
        <v>332</v>
      </c>
      <c r="AT160" s="14" t="s">
        <v>2960</v>
      </c>
      <c r="AU160" s="14"/>
      <c r="AV160" s="14"/>
      <c r="AW160" s="14">
        <v>322</v>
      </c>
      <c r="AX160" s="14" t="s">
        <v>2960</v>
      </c>
      <c r="AY160" s="14"/>
      <c r="AZ160" s="14"/>
      <c r="BA160" s="14">
        <v>263</v>
      </c>
      <c r="BB160" s="14" t="s">
        <v>2960</v>
      </c>
      <c r="BD160" s="39">
        <f t="shared" si="206"/>
        <v>3</v>
      </c>
      <c r="BE160" s="39">
        <f t="shared" si="207"/>
        <v>221</v>
      </c>
      <c r="BF160" s="14"/>
      <c r="BG160" s="14"/>
      <c r="BH160" s="14"/>
      <c r="BI160" s="14">
        <f>AC160</f>
        <v>221</v>
      </c>
      <c r="BJ160" s="14" t="s">
        <v>2960</v>
      </c>
      <c r="BK160" s="14"/>
      <c r="BL160" s="39">
        <f t="shared" si="208"/>
        <v>2</v>
      </c>
      <c r="BM160" s="39">
        <f t="shared" si="209"/>
        <v>332</v>
      </c>
      <c r="BN160" s="14"/>
      <c r="BO160" s="14"/>
      <c r="BP160" s="14"/>
      <c r="BQ160" s="14">
        <f t="shared" si="234"/>
        <v>332</v>
      </c>
      <c r="BR160" s="14" t="s">
        <v>2961</v>
      </c>
      <c r="BT160" s="8">
        <f t="shared" si="210"/>
        <v>1</v>
      </c>
      <c r="BU160" s="14">
        <v>20</v>
      </c>
      <c r="BV160" s="14"/>
      <c r="BW160" s="14"/>
      <c r="BX160" s="14"/>
      <c r="BY160" s="14">
        <v>20</v>
      </c>
      <c r="BZ160" s="39" t="s">
        <v>234</v>
      </c>
      <c r="CB160" s="39">
        <v>1</v>
      </c>
      <c r="CC160" s="39" t="s">
        <v>2962</v>
      </c>
      <c r="CD160" s="39"/>
      <c r="CE160" s="39"/>
      <c r="CF160" s="39" t="s">
        <v>132</v>
      </c>
      <c r="CG160" s="14" t="s">
        <v>2963</v>
      </c>
      <c r="CH160" s="14" t="s">
        <v>2960</v>
      </c>
      <c r="CJ160" s="39">
        <f t="shared" si="211"/>
        <v>2</v>
      </c>
      <c r="CK160" s="48">
        <f>CO160/CS160</f>
        <v>0.25158371040723981</v>
      </c>
      <c r="CL160" s="14"/>
      <c r="CM160" s="14"/>
      <c r="CN160" s="14"/>
      <c r="CO160" s="14">
        <v>55.6</v>
      </c>
      <c r="CP160" s="14" t="s">
        <v>2960</v>
      </c>
      <c r="CQ160" s="14" t="s">
        <v>2964</v>
      </c>
      <c r="CR160" s="14"/>
      <c r="CS160" s="14">
        <v>221</v>
      </c>
      <c r="CT160" s="14" t="s">
        <v>2960</v>
      </c>
      <c r="CV160" s="67">
        <f t="shared" si="213"/>
        <v>2</v>
      </c>
      <c r="CW160" s="67">
        <f t="shared" si="214"/>
        <v>1847</v>
      </c>
      <c r="DA160" s="67">
        <v>1847</v>
      </c>
      <c r="DB160" s="67" t="s">
        <v>2960</v>
      </c>
      <c r="DC160" s="67" t="s">
        <v>1395</v>
      </c>
      <c r="DD160" s="67">
        <f>IF(DE160="数据缺失",0,IF(DE160&lt;0,0,IF(DE160&lt;2,3,IF(DE160&lt;=5,1,2))))</f>
        <v>2</v>
      </c>
      <c r="DE160" s="125">
        <f>DM160/DI160</f>
        <v>5.5632530120481931</v>
      </c>
      <c r="DI160" s="67">
        <f t="shared" si="215"/>
        <v>332</v>
      </c>
      <c r="DJ160" s="67" t="str">
        <f t="shared" si="215"/>
        <v>评级20160528</v>
      </c>
      <c r="DM160" s="118">
        <f t="shared" si="216"/>
        <v>1847</v>
      </c>
      <c r="DN160" s="67" t="str">
        <f t="shared" si="216"/>
        <v>评级20160528</v>
      </c>
      <c r="DO160" s="67" t="str">
        <f t="shared" si="216"/>
        <v>截至2016年3月末</v>
      </c>
      <c r="DP160" s="14">
        <v>3</v>
      </c>
      <c r="DQ160" s="39" t="s">
        <v>2965</v>
      </c>
      <c r="DR160" s="67" t="s">
        <v>2960</v>
      </c>
      <c r="DS160" s="14"/>
      <c r="DT160" s="14"/>
      <c r="DU160" s="39" t="s">
        <v>2966</v>
      </c>
      <c r="DV160" s="39"/>
      <c r="DW160" s="39"/>
      <c r="DX160" s="39"/>
      <c r="DY160" s="39" t="s">
        <v>297</v>
      </c>
      <c r="DZ160" s="39"/>
      <c r="EA160" s="39"/>
      <c r="EB160" s="39"/>
      <c r="EC160" s="39" t="s">
        <v>297</v>
      </c>
      <c r="ED160" s="39"/>
      <c r="EE160" s="39"/>
      <c r="EF160" s="39"/>
      <c r="EG160" s="39" t="s">
        <v>297</v>
      </c>
      <c r="EJ160" s="39">
        <f t="shared" si="217"/>
        <v>1</v>
      </c>
      <c r="EK160" s="39">
        <f t="shared" si="218"/>
        <v>332</v>
      </c>
      <c r="EL160" s="14"/>
      <c r="EM160" s="14"/>
      <c r="EN160" s="14"/>
      <c r="EO160" s="14">
        <v>332</v>
      </c>
      <c r="EP160" s="14" t="s">
        <v>2960</v>
      </c>
      <c r="EQ160" s="14"/>
      <c r="ER160" s="39">
        <f t="shared" si="219"/>
        <v>1</v>
      </c>
      <c r="ES160" s="39">
        <f t="shared" si="220"/>
        <v>407</v>
      </c>
      <c r="ET160" s="14"/>
      <c r="EU160" s="14"/>
      <c r="EV160" s="14"/>
      <c r="EW160" s="14">
        <v>407</v>
      </c>
      <c r="EX160" s="14" t="s">
        <v>2960</v>
      </c>
      <c r="EZ160" s="67">
        <f t="shared" si="221"/>
        <v>1</v>
      </c>
      <c r="FA160" s="126">
        <f t="shared" si="222"/>
        <v>1519.7119</v>
      </c>
      <c r="FB160" s="126"/>
      <c r="FC160" s="126"/>
      <c r="FD160" s="126"/>
      <c r="FE160" s="126">
        <v>1519.7119</v>
      </c>
      <c r="FF160" s="67" t="s">
        <v>146</v>
      </c>
      <c r="FH160" s="67">
        <v>3</v>
      </c>
      <c r="FI160" s="36" t="s">
        <v>2967</v>
      </c>
      <c r="FM160" s="120">
        <v>2.53E-2</v>
      </c>
      <c r="FN160" s="67" t="s">
        <v>2911</v>
      </c>
      <c r="FQ160" s="120">
        <v>0.88090000000000002</v>
      </c>
      <c r="FR160" s="67" t="s">
        <v>146</v>
      </c>
      <c r="FU160" s="120">
        <v>3.4700000000000002E-2</v>
      </c>
      <c r="FV160" s="67" t="s">
        <v>146</v>
      </c>
      <c r="FY160" s="120">
        <v>5.8999999999999997E-2</v>
      </c>
      <c r="FZ160" s="67" t="s">
        <v>146</v>
      </c>
      <c r="GB160" s="67">
        <v>2</v>
      </c>
      <c r="GC160" s="67" t="str">
        <f>GG160</f>
        <v>房地产销售占比：94.07%；物业管理占比：3.07%</v>
      </c>
      <c r="GG160" s="67" t="s">
        <v>2968</v>
      </c>
      <c r="GH160" s="67" t="s">
        <v>146</v>
      </c>
      <c r="GJ160" s="39">
        <f t="shared" si="235"/>
        <v>4</v>
      </c>
      <c r="GK160" s="43">
        <f t="shared" si="236"/>
        <v>3.0363057646379182E-2</v>
      </c>
      <c r="GL160" s="14"/>
      <c r="GM160" s="14"/>
      <c r="GN160" s="14">
        <v>5.89</v>
      </c>
      <c r="GO160" s="14" t="s">
        <v>2969</v>
      </c>
      <c r="GP160" s="14" t="s">
        <v>146</v>
      </c>
      <c r="GQ160" s="14"/>
      <c r="GR160" s="14"/>
      <c r="GS160" s="69">
        <v>193.98573320900002</v>
      </c>
      <c r="GT160" s="39" t="s">
        <v>1097</v>
      </c>
      <c r="GV160" s="39">
        <f t="shared" si="223"/>
        <v>2</v>
      </c>
      <c r="GW160" s="43">
        <f t="shared" si="224"/>
        <v>0.24450357087453042</v>
      </c>
      <c r="GX160" s="39"/>
      <c r="GY160" s="39"/>
      <c r="GZ160" s="39"/>
      <c r="HA160" s="39">
        <v>233.63</v>
      </c>
      <c r="HB160" s="39" t="s">
        <v>146</v>
      </c>
      <c r="HC160" s="39"/>
      <c r="HD160" s="39"/>
      <c r="HE160" s="69">
        <v>955.52796699190003</v>
      </c>
      <c r="HF160" s="39" t="s">
        <v>285</v>
      </c>
      <c r="HH160" s="39">
        <f t="shared" si="225"/>
        <v>1</v>
      </c>
      <c r="HI160" s="43">
        <f t="shared" si="226"/>
        <v>0.15145079216068941</v>
      </c>
      <c r="HJ160" s="39"/>
      <c r="HK160" s="39"/>
      <c r="HL160" s="39"/>
      <c r="HM160" s="39">
        <v>14.22</v>
      </c>
      <c r="HN160" s="39" t="s">
        <v>146</v>
      </c>
      <c r="HO160" s="39"/>
      <c r="HP160" s="39"/>
      <c r="HQ160" s="69">
        <v>93.891882618300002</v>
      </c>
      <c r="HR160" s="39" t="s">
        <v>285</v>
      </c>
      <c r="HT160" s="39">
        <f t="shared" si="227"/>
        <v>4</v>
      </c>
      <c r="HU160" s="39">
        <f>HY160/IC160</f>
        <v>0</v>
      </c>
      <c r="HV160" s="39"/>
      <c r="HW160" s="39"/>
      <c r="HX160" s="39"/>
      <c r="HY160" s="39">
        <v>0</v>
      </c>
      <c r="HZ160" s="39" t="s">
        <v>2970</v>
      </c>
      <c r="IA160" s="39"/>
      <c r="IB160" s="39"/>
      <c r="IC160" s="69">
        <v>132.9405999999</v>
      </c>
      <c r="ID160" s="39" t="s">
        <v>2971</v>
      </c>
      <c r="IG160" s="39"/>
      <c r="IR160" s="39">
        <f t="shared" si="228"/>
        <v>1</v>
      </c>
      <c r="IS160" s="43">
        <f t="shared" si="229"/>
        <v>4.0680391905349822</v>
      </c>
      <c r="IT160" s="39"/>
      <c r="IU160" s="39"/>
      <c r="IV160" s="39"/>
      <c r="IW160" s="39">
        <v>623.96</v>
      </c>
      <c r="IX160" s="39" t="s">
        <v>146</v>
      </c>
      <c r="IY160" s="39"/>
      <c r="IZ160" s="39"/>
      <c r="JA160" s="69">
        <v>153.38101989079999</v>
      </c>
      <c r="JB160" s="39" t="s">
        <v>2971</v>
      </c>
      <c r="JD160" s="39">
        <f t="shared" si="230"/>
        <v>4</v>
      </c>
      <c r="JE160" s="43">
        <f t="shared" si="231"/>
        <v>9.0613353646253017E-2</v>
      </c>
      <c r="JF160" s="39"/>
      <c r="JG160" s="39"/>
      <c r="JH160" s="39"/>
      <c r="JI160" s="39">
        <v>23.03</v>
      </c>
      <c r="JJ160" s="39" t="s">
        <v>2960</v>
      </c>
      <c r="JK160" s="39"/>
      <c r="JL160" s="39"/>
      <c r="JM160" s="39">
        <v>0.68</v>
      </c>
      <c r="JN160" s="39" t="s">
        <v>2972</v>
      </c>
      <c r="JO160" s="39"/>
      <c r="JP160" s="39"/>
      <c r="JQ160" s="39">
        <v>397.51</v>
      </c>
      <c r="JR160" s="39" t="s">
        <v>2960</v>
      </c>
      <c r="JS160" s="39"/>
      <c r="JT160" s="39"/>
      <c r="JU160" s="39">
        <v>350.01</v>
      </c>
      <c r="JV160" s="39" t="s">
        <v>2960</v>
      </c>
      <c r="JX160" s="39">
        <v>2</v>
      </c>
      <c r="JY160" s="39" t="s">
        <v>2331</v>
      </c>
      <c r="JZ160" s="39"/>
      <c r="KA160" s="39"/>
      <c r="KB160" s="39">
        <v>7</v>
      </c>
      <c r="KC160" s="39" t="s">
        <v>2331</v>
      </c>
      <c r="KD160" s="39" t="s">
        <v>2970</v>
      </c>
      <c r="KF160" s="39">
        <f t="shared" si="232"/>
        <v>3</v>
      </c>
      <c r="KG160" s="43">
        <f t="shared" si="233"/>
        <v>0.51414444926852476</v>
      </c>
      <c r="KH160" s="39"/>
      <c r="KI160" s="39"/>
      <c r="KJ160" s="39"/>
      <c r="KK160" s="39">
        <v>78.86</v>
      </c>
      <c r="KL160" s="39" t="s">
        <v>2970</v>
      </c>
      <c r="KM160" s="39" t="s">
        <v>2973</v>
      </c>
      <c r="KN160" s="39"/>
      <c r="KO160" s="69">
        <v>153.38101989079999</v>
      </c>
      <c r="KP160" s="39" t="s">
        <v>2971</v>
      </c>
    </row>
    <row r="161" spans="2:302" s="39" customFormat="1" ht="15" hidden="1" customHeight="1" x14ac:dyDescent="0.35">
      <c r="B161" s="236" t="s">
        <v>1946</v>
      </c>
      <c r="C161" s="39" t="s">
        <v>1202</v>
      </c>
      <c r="D161" s="39" t="s">
        <v>2974</v>
      </c>
      <c r="E161" s="39" t="s">
        <v>2975</v>
      </c>
      <c r="F161" s="237" t="s">
        <v>2976</v>
      </c>
      <c r="G161" s="42" t="s">
        <v>2977</v>
      </c>
      <c r="H161" s="40">
        <f>(143+0.7)/148.7828</f>
        <v>0.96583744895243251</v>
      </c>
      <c r="L161" s="39">
        <v>4</v>
      </c>
      <c r="M161" s="39" t="s">
        <v>2978</v>
      </c>
      <c r="P161" s="39" t="s">
        <v>126</v>
      </c>
      <c r="Q161" s="39" t="s">
        <v>2979</v>
      </c>
      <c r="R161" s="39" t="s">
        <v>2980</v>
      </c>
      <c r="T161" s="39" t="s">
        <v>2981</v>
      </c>
      <c r="U161" s="44">
        <v>0.76470000000000005</v>
      </c>
      <c r="X161" s="39">
        <f t="shared" si="202"/>
        <v>2</v>
      </c>
      <c r="Y161" s="43">
        <f t="shared" si="203"/>
        <v>0.24314574314574314</v>
      </c>
      <c r="AC161" s="39">
        <v>193</v>
      </c>
      <c r="AD161" s="39" t="s">
        <v>2980</v>
      </c>
      <c r="AG161" s="39">
        <v>126</v>
      </c>
      <c r="AH161" s="39" t="s">
        <v>2980</v>
      </c>
      <c r="AK161" s="39">
        <v>132</v>
      </c>
      <c r="AL161" s="39" t="s">
        <v>2980</v>
      </c>
      <c r="AN161" s="39">
        <f t="shared" si="204"/>
        <v>2</v>
      </c>
      <c r="AO161" s="43">
        <f t="shared" si="205"/>
        <v>0.16971544715447154</v>
      </c>
      <c r="AS161" s="39">
        <v>220</v>
      </c>
      <c r="AT161" s="39" t="s">
        <v>2980</v>
      </c>
      <c r="AW161" s="39">
        <v>165</v>
      </c>
      <c r="AX161" s="39" t="s">
        <v>2980</v>
      </c>
      <c r="BA161" s="39">
        <v>164</v>
      </c>
      <c r="BB161" s="39" t="s">
        <v>2980</v>
      </c>
      <c r="BD161" s="39">
        <f t="shared" si="206"/>
        <v>3</v>
      </c>
      <c r="BE161" s="39">
        <f t="shared" si="207"/>
        <v>193</v>
      </c>
      <c r="BI161" s="39">
        <f t="shared" ref="BI161:BJ163" si="237">AC161</f>
        <v>193</v>
      </c>
      <c r="BJ161" s="39" t="s">
        <v>2982</v>
      </c>
      <c r="BL161" s="39">
        <f t="shared" si="208"/>
        <v>3</v>
      </c>
      <c r="BM161" s="39">
        <f t="shared" si="209"/>
        <v>220</v>
      </c>
      <c r="BQ161" s="39">
        <f t="shared" si="234"/>
        <v>220</v>
      </c>
      <c r="BR161" s="39" t="s">
        <v>2982</v>
      </c>
      <c r="BT161" s="8">
        <f t="shared" si="210"/>
        <v>2</v>
      </c>
      <c r="BU161" s="39">
        <f>BY161</f>
        <v>33</v>
      </c>
      <c r="BY161" s="39">
        <v>33</v>
      </c>
      <c r="BZ161" s="39" t="s">
        <v>180</v>
      </c>
      <c r="CA161" s="39" t="s">
        <v>2983</v>
      </c>
      <c r="CB161" s="39">
        <v>1</v>
      </c>
      <c r="CC161" s="39" t="s">
        <v>711</v>
      </c>
      <c r="CF161" s="39" t="s">
        <v>711</v>
      </c>
      <c r="CG161" s="39" t="s">
        <v>2984</v>
      </c>
      <c r="CH161" s="39" t="s">
        <v>2528</v>
      </c>
      <c r="CJ161" s="39">
        <f t="shared" si="211"/>
        <v>2</v>
      </c>
      <c r="CK161" s="48">
        <f>CO161/CS161</f>
        <v>0.86481865284974091</v>
      </c>
      <c r="CO161" s="39">
        <v>166.91</v>
      </c>
      <c r="CP161" s="39" t="s">
        <v>2980</v>
      </c>
      <c r="CQ161" s="39" t="s">
        <v>2985</v>
      </c>
      <c r="CS161" s="39">
        <f t="shared" ref="CS161:CT163" si="238">AC161</f>
        <v>193</v>
      </c>
      <c r="CT161" s="39" t="str">
        <f t="shared" si="238"/>
        <v>评级20160525</v>
      </c>
      <c r="CV161" s="39">
        <f t="shared" si="213"/>
        <v>0</v>
      </c>
      <c r="CW161" s="39" t="str">
        <f t="shared" si="214"/>
        <v>数据缺失</v>
      </c>
      <c r="DA161" s="39" t="s">
        <v>2906</v>
      </c>
      <c r="DD161" s="39">
        <v>0</v>
      </c>
      <c r="DE161" s="48" t="s">
        <v>2906</v>
      </c>
      <c r="DI161" s="39">
        <f t="shared" si="215"/>
        <v>220</v>
      </c>
      <c r="DJ161" s="39" t="str">
        <f t="shared" si="215"/>
        <v>评级20160525</v>
      </c>
      <c r="DM161" s="39" t="s">
        <v>2966</v>
      </c>
      <c r="DP161" s="39">
        <v>2</v>
      </c>
      <c r="DQ161" s="39" t="s">
        <v>2986</v>
      </c>
      <c r="DR161" s="39" t="s">
        <v>2980</v>
      </c>
      <c r="DU161" s="39" t="s">
        <v>2966</v>
      </c>
      <c r="DY161" s="39" t="s">
        <v>2966</v>
      </c>
      <c r="EC161" s="39" t="s">
        <v>2966</v>
      </c>
      <c r="EG161" s="39" t="s">
        <v>2966</v>
      </c>
      <c r="EJ161" s="39">
        <f t="shared" si="217"/>
        <v>1</v>
      </c>
      <c r="EK161" s="39">
        <f t="shared" si="218"/>
        <v>206</v>
      </c>
      <c r="EO161" s="240">
        <v>206</v>
      </c>
      <c r="EP161" s="39" t="s">
        <v>2980</v>
      </c>
      <c r="ER161" s="39">
        <f t="shared" si="219"/>
        <v>1</v>
      </c>
      <c r="ES161" s="39">
        <f t="shared" si="220"/>
        <v>333</v>
      </c>
      <c r="EW161" s="39">
        <v>333</v>
      </c>
      <c r="EX161" s="39" t="s">
        <v>2980</v>
      </c>
      <c r="EZ161" s="39">
        <f t="shared" si="221"/>
        <v>1</v>
      </c>
      <c r="FA161" s="39">
        <f t="shared" si="222"/>
        <v>410.06</v>
      </c>
      <c r="FE161" s="39">
        <v>410.06</v>
      </c>
      <c r="FF161" s="39" t="s">
        <v>2982</v>
      </c>
      <c r="FH161" s="39">
        <v>2</v>
      </c>
      <c r="FI161" s="39" t="s">
        <v>2987</v>
      </c>
      <c r="FJ161" s="39" t="s">
        <v>2982</v>
      </c>
      <c r="FM161" s="40" t="s">
        <v>36</v>
      </c>
      <c r="FQ161" s="40" t="s">
        <v>36</v>
      </c>
      <c r="FU161" s="40" t="s">
        <v>36</v>
      </c>
      <c r="FY161" s="40" t="s">
        <v>36</v>
      </c>
      <c r="GB161" s="39">
        <v>2</v>
      </c>
      <c r="GC161" s="39" t="s">
        <v>2988</v>
      </c>
      <c r="GG161" s="39" t="s">
        <v>2988</v>
      </c>
      <c r="GH161" s="39" t="s">
        <v>595</v>
      </c>
      <c r="GJ161" s="39">
        <f t="shared" si="235"/>
        <v>4</v>
      </c>
      <c r="GK161" s="43">
        <f t="shared" si="236"/>
        <v>4.7048444506548031E-3</v>
      </c>
      <c r="GN161" s="39">
        <v>0.7</v>
      </c>
      <c r="GO161" s="39" t="s">
        <v>2989</v>
      </c>
      <c r="GP161" s="39" t="s">
        <v>2911</v>
      </c>
      <c r="GS161" s="69">
        <v>148.78281468</v>
      </c>
      <c r="GT161" s="39" t="s">
        <v>2913</v>
      </c>
      <c r="GV161" s="39">
        <f t="shared" si="223"/>
        <v>2</v>
      </c>
      <c r="GW161" s="43">
        <f t="shared" si="224"/>
        <v>0.31227225512515472</v>
      </c>
      <c r="HA161" s="39">
        <v>155.03</v>
      </c>
      <c r="HB161" s="39" t="s">
        <v>2911</v>
      </c>
      <c r="HE161" s="69">
        <v>496.45781031000001</v>
      </c>
      <c r="HF161" s="39" t="s">
        <v>2916</v>
      </c>
      <c r="HH161" s="39">
        <f t="shared" si="225"/>
        <v>1</v>
      </c>
      <c r="HI161" s="43">
        <f t="shared" si="226"/>
        <v>0.15320212225474727</v>
      </c>
      <c r="HM161" s="39">
        <v>12.25</v>
      </c>
      <c r="HN161" s="39" t="s">
        <v>2911</v>
      </c>
      <c r="HQ161" s="69">
        <v>79.959727839999999</v>
      </c>
      <c r="HR161" s="39" t="s">
        <v>2916</v>
      </c>
      <c r="HT161" s="39">
        <f t="shared" si="227"/>
        <v>4</v>
      </c>
      <c r="HU161" s="39">
        <f>HY161/IC161</f>
        <v>0</v>
      </c>
      <c r="HY161" s="39">
        <v>0</v>
      </c>
      <c r="HZ161" s="39" t="s">
        <v>2911</v>
      </c>
      <c r="IC161" s="69">
        <v>60.057099999999998</v>
      </c>
      <c r="ID161" s="39" t="s">
        <v>2916</v>
      </c>
      <c r="IR161" s="39">
        <f t="shared" si="228"/>
        <v>3</v>
      </c>
      <c r="IS161" s="43">
        <f t="shared" si="229"/>
        <v>1.3644389318725565</v>
      </c>
      <c r="IW161" s="39">
        <v>219.08</v>
      </c>
      <c r="IX161" s="39" t="s">
        <v>595</v>
      </c>
      <c r="JA161" s="69">
        <v>160.56416662000001</v>
      </c>
      <c r="JB161" s="39" t="s">
        <v>2105</v>
      </c>
      <c r="JD161" s="39">
        <f t="shared" si="230"/>
        <v>4</v>
      </c>
      <c r="JE161" s="43">
        <f t="shared" si="231"/>
        <v>8.0953775905440784E-2</v>
      </c>
      <c r="JI161" s="39">
        <v>34.82</v>
      </c>
      <c r="JJ161" s="39" t="s">
        <v>2980</v>
      </c>
      <c r="JM161" s="39">
        <v>3.08</v>
      </c>
      <c r="JN161" s="39" t="s">
        <v>2980</v>
      </c>
      <c r="JQ161" s="39">
        <v>149.72</v>
      </c>
      <c r="JR161" s="39" t="s">
        <v>2980</v>
      </c>
      <c r="JU161" s="39">
        <v>129.58000000000001</v>
      </c>
      <c r="JV161" s="39" t="s">
        <v>2980</v>
      </c>
      <c r="JX161" s="39">
        <v>1</v>
      </c>
      <c r="JY161" s="39" t="s">
        <v>2990</v>
      </c>
      <c r="KB161" s="39">
        <v>6</v>
      </c>
      <c r="KC161" s="39" t="s">
        <v>2990</v>
      </c>
      <c r="KD161" s="39" t="s">
        <v>2911</v>
      </c>
      <c r="KF161" s="39">
        <f t="shared" si="232"/>
        <v>2</v>
      </c>
      <c r="KG161" s="43">
        <f t="shared" si="233"/>
        <v>0.46654245201101519</v>
      </c>
      <c r="KK161" s="39">
        <f>2.11+72.8</f>
        <v>74.91</v>
      </c>
      <c r="KL161" s="39" t="s">
        <v>595</v>
      </c>
      <c r="KM161" s="39" t="s">
        <v>2991</v>
      </c>
      <c r="KO161" s="69">
        <v>160.56416662000001</v>
      </c>
      <c r="KP161" s="39" t="s">
        <v>2105</v>
      </c>
    </row>
    <row r="162" spans="2:302" s="67" customFormat="1" ht="17.25" hidden="1" customHeight="1" x14ac:dyDescent="0.35">
      <c r="B162" s="234" t="s">
        <v>781</v>
      </c>
      <c r="C162" s="14" t="s">
        <v>2992</v>
      </c>
      <c r="D162" s="67" t="s">
        <v>2993</v>
      </c>
      <c r="E162" s="67" t="s">
        <v>2929</v>
      </c>
      <c r="F162" s="235" t="s">
        <v>2994</v>
      </c>
      <c r="G162" s="42" t="s">
        <v>2995</v>
      </c>
      <c r="H162" s="120">
        <v>0.99399999999999999</v>
      </c>
      <c r="L162" s="67">
        <v>4</v>
      </c>
      <c r="M162" s="39" t="s">
        <v>2996</v>
      </c>
      <c r="P162" s="67" t="s">
        <v>2997</v>
      </c>
      <c r="Q162" s="67" t="s">
        <v>2998</v>
      </c>
      <c r="R162" s="67" t="s">
        <v>2999</v>
      </c>
      <c r="T162" s="39" t="s">
        <v>129</v>
      </c>
      <c r="U162" s="120">
        <v>0.26019999999999999</v>
      </c>
      <c r="V162" s="39"/>
      <c r="X162" s="67">
        <f t="shared" si="202"/>
        <v>1</v>
      </c>
      <c r="Y162" s="1">
        <f t="shared" si="203"/>
        <v>0.3261153952475353</v>
      </c>
      <c r="AC162" s="67">
        <v>84.77</v>
      </c>
      <c r="AD162" s="67" t="s">
        <v>2999</v>
      </c>
      <c r="AG162" s="67">
        <v>61.19</v>
      </c>
      <c r="AH162" s="67" t="s">
        <v>2999</v>
      </c>
      <c r="AK162" s="67">
        <v>48.3</v>
      </c>
      <c r="AL162" s="67" t="s">
        <v>2999</v>
      </c>
      <c r="AN162" s="67">
        <f t="shared" si="204"/>
        <v>1</v>
      </c>
      <c r="AO162" s="1">
        <f t="shared" si="205"/>
        <v>0.52456089784966409</v>
      </c>
      <c r="AS162" s="67">
        <v>103.89</v>
      </c>
      <c r="AT162" s="67" t="s">
        <v>2999</v>
      </c>
      <c r="AW162" s="67">
        <v>56.91</v>
      </c>
      <c r="AX162" s="67" t="s">
        <v>2999</v>
      </c>
      <c r="BA162" s="67">
        <v>46.51</v>
      </c>
      <c r="BB162" s="67" t="s">
        <v>2999</v>
      </c>
      <c r="BD162" s="67">
        <f t="shared" si="206"/>
        <v>4</v>
      </c>
      <c r="BE162" s="67">
        <f t="shared" si="207"/>
        <v>84.77</v>
      </c>
      <c r="BI162" s="67">
        <f t="shared" si="237"/>
        <v>84.77</v>
      </c>
      <c r="BJ162" s="67" t="str">
        <f t="shared" si="237"/>
        <v>评级20160617</v>
      </c>
      <c r="BL162" s="67">
        <f t="shared" si="208"/>
        <v>3</v>
      </c>
      <c r="BM162" s="67">
        <f t="shared" si="209"/>
        <v>103.89</v>
      </c>
      <c r="BQ162" s="67">
        <f t="shared" si="234"/>
        <v>103.89</v>
      </c>
      <c r="BR162" s="67" t="str">
        <f t="shared" si="234"/>
        <v>评级20160617</v>
      </c>
      <c r="BT162" s="8">
        <f t="shared" si="210"/>
        <v>3</v>
      </c>
      <c r="BU162" s="14">
        <v>149</v>
      </c>
      <c r="BV162" s="14"/>
      <c r="BW162" s="14"/>
      <c r="BX162" s="14"/>
      <c r="BY162" s="14">
        <v>149</v>
      </c>
      <c r="BZ162" s="39" t="s">
        <v>234</v>
      </c>
      <c r="CB162" s="67">
        <v>1</v>
      </c>
      <c r="CC162" s="67" t="str">
        <f>CF162</f>
        <v>一级</v>
      </c>
      <c r="CF162" s="67" t="s">
        <v>132</v>
      </c>
      <c r="CG162" s="67" t="s">
        <v>3000</v>
      </c>
      <c r="CH162" s="67" t="s">
        <v>3001</v>
      </c>
      <c r="CJ162" s="67">
        <f t="shared" si="211"/>
        <v>0</v>
      </c>
      <c r="CK162" s="125" t="s">
        <v>2966</v>
      </c>
      <c r="CO162" s="67" t="s">
        <v>2966</v>
      </c>
      <c r="CS162" s="67">
        <f t="shared" si="238"/>
        <v>84.77</v>
      </c>
      <c r="CT162" s="67" t="str">
        <f t="shared" si="238"/>
        <v>评级20160617</v>
      </c>
      <c r="CV162" s="67">
        <f t="shared" si="213"/>
        <v>3</v>
      </c>
      <c r="CW162" s="67">
        <f t="shared" si="214"/>
        <v>767.12</v>
      </c>
      <c r="DA162" s="67">
        <v>767.12</v>
      </c>
      <c r="DB162" s="67" t="s">
        <v>2999</v>
      </c>
      <c r="DD162" s="67">
        <f>IF(DE162="数据缺失",0,IF(DE162&lt;0,0,IF(DE162&lt;2,3,IF(DE162&lt;=5,1,2))))</f>
        <v>2</v>
      </c>
      <c r="DE162" s="125">
        <f>DM162/DI162</f>
        <v>7.3839638078737124</v>
      </c>
      <c r="DI162" s="67">
        <f t="shared" si="215"/>
        <v>103.89</v>
      </c>
      <c r="DJ162" s="67" t="str">
        <f t="shared" si="215"/>
        <v>评级20160617</v>
      </c>
      <c r="DM162" s="118">
        <f>DA162</f>
        <v>767.12</v>
      </c>
      <c r="DN162" s="67" t="str">
        <f>DB162</f>
        <v>评级20160617</v>
      </c>
      <c r="DP162" s="67">
        <v>3</v>
      </c>
      <c r="DQ162" s="67" t="s">
        <v>3002</v>
      </c>
      <c r="DR162" s="67" t="s">
        <v>2999</v>
      </c>
      <c r="DU162" s="67" t="s">
        <v>2966</v>
      </c>
      <c r="DY162" s="67" t="s">
        <v>2966</v>
      </c>
      <c r="EC162" s="67" t="s">
        <v>2966</v>
      </c>
      <c r="EG162" s="67" t="s">
        <v>2966</v>
      </c>
      <c r="EJ162" s="67">
        <f t="shared" si="217"/>
        <v>3</v>
      </c>
      <c r="EK162" s="67">
        <f t="shared" si="218"/>
        <v>43.55</v>
      </c>
      <c r="EO162" s="67">
        <v>43.55</v>
      </c>
      <c r="EP162" s="67" t="s">
        <v>2999</v>
      </c>
      <c r="ER162" s="67">
        <f t="shared" si="219"/>
        <v>1</v>
      </c>
      <c r="ES162" s="67">
        <f t="shared" si="220"/>
        <v>126.67</v>
      </c>
      <c r="EW162" s="67">
        <v>126.67</v>
      </c>
      <c r="EX162" s="67" t="s">
        <v>2999</v>
      </c>
      <c r="EZ162" s="67">
        <f t="shared" si="221"/>
        <v>1</v>
      </c>
      <c r="FA162" s="67">
        <f t="shared" si="222"/>
        <v>234.78</v>
      </c>
      <c r="FE162" s="67">
        <v>234.78</v>
      </c>
      <c r="FF162" s="67" t="s">
        <v>2999</v>
      </c>
      <c r="FH162" s="67">
        <v>3</v>
      </c>
      <c r="FI162" s="36" t="s">
        <v>3003</v>
      </c>
      <c r="FJ162" s="67" t="s">
        <v>2999</v>
      </c>
      <c r="FM162" s="67" t="s">
        <v>2966</v>
      </c>
      <c r="FQ162" s="67" t="s">
        <v>2966</v>
      </c>
      <c r="FU162" s="67" t="s">
        <v>2966</v>
      </c>
      <c r="FY162" s="67" t="s">
        <v>2966</v>
      </c>
      <c r="GB162" s="14">
        <v>2</v>
      </c>
      <c r="GC162" s="14" t="str">
        <f>GG162</f>
        <v>房地产：100%</v>
      </c>
      <c r="GD162" s="14"/>
      <c r="GE162" s="14"/>
      <c r="GF162" s="14"/>
      <c r="GG162" s="14" t="s">
        <v>3004</v>
      </c>
      <c r="GH162" s="14" t="s">
        <v>2911</v>
      </c>
      <c r="GJ162" s="67">
        <f t="shared" si="235"/>
        <v>4</v>
      </c>
      <c r="GK162" s="1">
        <f t="shared" si="236"/>
        <v>0</v>
      </c>
      <c r="GN162" s="67">
        <v>0</v>
      </c>
      <c r="GO162" s="67" t="s">
        <v>3005</v>
      </c>
      <c r="GP162" s="67" t="s">
        <v>2911</v>
      </c>
      <c r="GS162" s="126">
        <v>71.757429153499999</v>
      </c>
      <c r="GT162" s="67" t="s">
        <v>2913</v>
      </c>
      <c r="GV162" s="39">
        <f t="shared" si="223"/>
        <v>1</v>
      </c>
      <c r="GW162" s="43">
        <f t="shared" si="224"/>
        <v>0.10228590688587698</v>
      </c>
      <c r="GX162" s="39"/>
      <c r="GY162" s="39"/>
      <c r="GZ162" s="39"/>
      <c r="HA162" s="39">
        <v>34.840000000000003</v>
      </c>
      <c r="HB162" s="39" t="s">
        <v>2911</v>
      </c>
      <c r="HC162" s="39"/>
      <c r="HD162" s="39"/>
      <c r="HE162" s="69">
        <v>340.61388377650002</v>
      </c>
      <c r="HF162" s="39" t="s">
        <v>2916</v>
      </c>
      <c r="HH162" s="39">
        <f t="shared" si="225"/>
        <v>2</v>
      </c>
      <c r="HI162" s="43">
        <f t="shared" si="226"/>
        <v>0.33521096860164529</v>
      </c>
      <c r="HJ162" s="39"/>
      <c r="HK162" s="39"/>
      <c r="HL162" s="39"/>
      <c r="HM162" s="14">
        <v>8.44</v>
      </c>
      <c r="HN162" s="39" t="s">
        <v>2911</v>
      </c>
      <c r="HO162" s="39"/>
      <c r="HP162" s="39"/>
      <c r="HQ162" s="69">
        <v>25.178173719099998</v>
      </c>
      <c r="HR162" s="39" t="s">
        <v>2916</v>
      </c>
      <c r="HT162" s="67">
        <f t="shared" si="227"/>
        <v>0</v>
      </c>
      <c r="HU162" s="67" t="s">
        <v>2966</v>
      </c>
      <c r="HY162" s="67" t="s">
        <v>2966</v>
      </c>
      <c r="HZ162" s="67" t="s">
        <v>2911</v>
      </c>
      <c r="IC162" s="126">
        <v>43.121172336499995</v>
      </c>
      <c r="ID162" s="67" t="s">
        <v>2916</v>
      </c>
      <c r="IG162" s="39"/>
      <c r="IR162" s="67">
        <f t="shared" si="228"/>
        <v>4</v>
      </c>
      <c r="IS162" s="1">
        <f t="shared" si="229"/>
        <v>0.95643074564082387</v>
      </c>
      <c r="IW162" s="67">
        <v>69.05</v>
      </c>
      <c r="IX162" s="67" t="s">
        <v>2911</v>
      </c>
      <c r="JA162" s="126">
        <v>72.195504290000002</v>
      </c>
      <c r="JB162" s="67" t="s">
        <v>2916</v>
      </c>
      <c r="JD162" s="39">
        <f t="shared" si="230"/>
        <v>4</v>
      </c>
      <c r="JE162" s="1">
        <f t="shared" si="231"/>
        <v>8.8771986467484659E-2</v>
      </c>
      <c r="JI162" s="67">
        <v>14.05</v>
      </c>
      <c r="JJ162" s="67" t="s">
        <v>2999</v>
      </c>
      <c r="JM162" s="67">
        <v>1.51</v>
      </c>
      <c r="JN162" s="67" t="s">
        <v>2999</v>
      </c>
      <c r="JQ162" s="67">
        <v>117.71</v>
      </c>
      <c r="JR162" s="67" t="s">
        <v>2999</v>
      </c>
      <c r="JS162" s="36"/>
      <c r="JU162" s="67">
        <v>91.92</v>
      </c>
      <c r="JV162" s="67" t="s">
        <v>2999</v>
      </c>
      <c r="JX162" s="67">
        <v>2</v>
      </c>
      <c r="JY162" s="36" t="str">
        <f>KC162</f>
        <v xml:space="preserve">致同会计师事务所（特殊普通合伙） </v>
      </c>
      <c r="KB162" s="67">
        <v>11</v>
      </c>
      <c r="KC162" s="36" t="s">
        <v>3006</v>
      </c>
      <c r="KD162" s="67" t="s">
        <v>2911</v>
      </c>
      <c r="KF162" s="39">
        <f t="shared" si="232"/>
        <v>2</v>
      </c>
      <c r="KG162" s="43">
        <f t="shared" si="233"/>
        <v>0.27356274042586926</v>
      </c>
      <c r="KH162" s="39"/>
      <c r="KI162" s="39"/>
      <c r="KJ162" s="39"/>
      <c r="KK162" s="39">
        <v>19.75</v>
      </c>
      <c r="KL162" s="39" t="s">
        <v>2911</v>
      </c>
      <c r="KM162" s="39" t="s">
        <v>3007</v>
      </c>
      <c r="KN162" s="39"/>
      <c r="KO162" s="69">
        <v>72.195504290000002</v>
      </c>
      <c r="KP162" s="39" t="s">
        <v>2916</v>
      </c>
    </row>
    <row r="163" spans="2:302" s="67" customFormat="1" ht="15.75" hidden="1" customHeight="1" x14ac:dyDescent="0.35">
      <c r="B163" s="236" t="s">
        <v>3008</v>
      </c>
      <c r="C163" s="39" t="s">
        <v>3009</v>
      </c>
      <c r="D163" s="67" t="s">
        <v>3010</v>
      </c>
      <c r="E163" s="67" t="s">
        <v>2929</v>
      </c>
      <c r="F163" s="237" t="s">
        <v>3011</v>
      </c>
      <c r="G163" s="42" t="s">
        <v>2995</v>
      </c>
      <c r="H163" s="40">
        <f>196.76/225.3492266719</f>
        <v>0.8731336819117429</v>
      </c>
      <c r="L163" s="39">
        <v>4</v>
      </c>
      <c r="M163" s="39" t="s">
        <v>3012</v>
      </c>
      <c r="N163" s="39" t="s">
        <v>146</v>
      </c>
      <c r="O163" s="39"/>
      <c r="P163" s="137" t="s">
        <v>3012</v>
      </c>
      <c r="Q163" s="39" t="s">
        <v>3012</v>
      </c>
      <c r="R163" s="39" t="s">
        <v>2911</v>
      </c>
      <c r="S163" s="39" t="s">
        <v>3013</v>
      </c>
      <c r="T163" s="39" t="s">
        <v>119</v>
      </c>
      <c r="U163" s="39" t="s">
        <v>119</v>
      </c>
      <c r="X163" s="39">
        <f t="shared" si="202"/>
        <v>5</v>
      </c>
      <c r="Y163" s="43">
        <f t="shared" si="203"/>
        <v>-0.11340695001029313</v>
      </c>
      <c r="Z163" s="39"/>
      <c r="AA163" s="39"/>
      <c r="AB163" s="39"/>
      <c r="AC163" s="39">
        <v>191.19</v>
      </c>
      <c r="AD163" s="39" t="s">
        <v>3014</v>
      </c>
      <c r="AE163" s="39"/>
      <c r="AF163" s="39"/>
      <c r="AG163" s="39">
        <v>187.26</v>
      </c>
      <c r="AH163" s="39" t="s">
        <v>3014</v>
      </c>
      <c r="AI163" s="39"/>
      <c r="AJ163" s="39"/>
      <c r="AK163" s="39">
        <v>248.95</v>
      </c>
      <c r="AL163" s="39" t="s">
        <v>3014</v>
      </c>
      <c r="AN163" s="39">
        <f t="shared" si="204"/>
        <v>3</v>
      </c>
      <c r="AO163" s="43">
        <f t="shared" si="205"/>
        <v>8.8037634408602034E-3</v>
      </c>
      <c r="AP163" s="39"/>
      <c r="AQ163" s="39"/>
      <c r="AR163" s="39"/>
      <c r="AS163" s="39">
        <v>122.05</v>
      </c>
      <c r="AT163" s="39" t="s">
        <v>3014</v>
      </c>
      <c r="AU163" s="39"/>
      <c r="AV163" s="39"/>
      <c r="AW163" s="39">
        <v>124</v>
      </c>
      <c r="AX163" s="39" t="s">
        <v>3014</v>
      </c>
      <c r="AY163" s="39"/>
      <c r="AZ163" s="39"/>
      <c r="BA163" s="39">
        <v>120</v>
      </c>
      <c r="BB163" s="39" t="s">
        <v>3014</v>
      </c>
      <c r="BD163" s="39">
        <f t="shared" si="206"/>
        <v>3</v>
      </c>
      <c r="BE163" s="39">
        <f t="shared" si="207"/>
        <v>191.19</v>
      </c>
      <c r="BF163" s="39"/>
      <c r="BG163" s="39"/>
      <c r="BH163" s="39"/>
      <c r="BI163" s="39">
        <f t="shared" si="237"/>
        <v>191.19</v>
      </c>
      <c r="BJ163" s="39" t="s">
        <v>3014</v>
      </c>
      <c r="BK163" s="39"/>
      <c r="BL163" s="39">
        <f t="shared" si="208"/>
        <v>3</v>
      </c>
      <c r="BM163" s="39">
        <f t="shared" si="209"/>
        <v>122.05</v>
      </c>
      <c r="BN163" s="39"/>
      <c r="BO163" s="39"/>
      <c r="BP163" s="39"/>
      <c r="BQ163" s="39">
        <f t="shared" si="234"/>
        <v>122.05</v>
      </c>
      <c r="BR163" s="39" t="s">
        <v>3014</v>
      </c>
      <c r="BT163" s="8">
        <f t="shared" si="210"/>
        <v>1</v>
      </c>
      <c r="BU163" s="39">
        <f>BY163</f>
        <v>15</v>
      </c>
      <c r="BV163" s="39"/>
      <c r="BW163" s="39"/>
      <c r="BX163" s="39"/>
      <c r="BY163" s="39">
        <v>15</v>
      </c>
      <c r="BZ163" s="39" t="s">
        <v>180</v>
      </c>
      <c r="CB163" s="39">
        <v>1</v>
      </c>
      <c r="CC163" s="39" t="s">
        <v>2962</v>
      </c>
      <c r="CD163" s="39"/>
      <c r="CE163" s="39"/>
      <c r="CF163" s="39" t="s">
        <v>2962</v>
      </c>
      <c r="CG163" s="39" t="s">
        <v>3015</v>
      </c>
      <c r="CH163" s="39" t="s">
        <v>3016</v>
      </c>
      <c r="CJ163" s="39">
        <f t="shared" si="211"/>
        <v>2</v>
      </c>
      <c r="CK163" s="48">
        <f>CO163/CS163</f>
        <v>0.5794236100214446</v>
      </c>
      <c r="CL163" s="39"/>
      <c r="CM163" s="39"/>
      <c r="CN163" s="39"/>
      <c r="CO163" s="39">
        <v>110.78</v>
      </c>
      <c r="CP163" s="39" t="s">
        <v>3017</v>
      </c>
      <c r="CQ163" s="39"/>
      <c r="CR163" s="39"/>
      <c r="CS163" s="39">
        <f t="shared" si="238"/>
        <v>191.19</v>
      </c>
      <c r="CT163" s="39" t="str">
        <f t="shared" si="238"/>
        <v>评级20160922</v>
      </c>
      <c r="CV163" s="39">
        <f t="shared" si="213"/>
        <v>0</v>
      </c>
      <c r="CW163" s="39" t="str">
        <f t="shared" si="214"/>
        <v>数据缺失</v>
      </c>
      <c r="CX163" s="39"/>
      <c r="CY163" s="39"/>
      <c r="CZ163" s="39"/>
      <c r="DA163" s="39" t="s">
        <v>2966</v>
      </c>
      <c r="DB163" s="39"/>
      <c r="DC163" s="39"/>
      <c r="DD163" s="39">
        <v>0</v>
      </c>
      <c r="DE163" s="48" t="s">
        <v>2966</v>
      </c>
      <c r="DF163" s="39"/>
      <c r="DG163" s="39"/>
      <c r="DH163" s="39"/>
      <c r="DI163" s="39">
        <f t="shared" si="215"/>
        <v>122.05</v>
      </c>
      <c r="DJ163" s="39" t="str">
        <f t="shared" si="215"/>
        <v>评级20160922</v>
      </c>
      <c r="DK163" s="39"/>
      <c r="DL163" s="39"/>
      <c r="DM163" s="118" t="str">
        <f>DA163</f>
        <v>数据缺失</v>
      </c>
      <c r="DP163" s="67">
        <v>6</v>
      </c>
      <c r="DQ163" s="67" t="s">
        <v>3018</v>
      </c>
      <c r="DR163" s="39" t="s">
        <v>3014</v>
      </c>
      <c r="DU163" s="39" t="s">
        <v>2966</v>
      </c>
      <c r="DV163" s="39"/>
      <c r="DW163" s="39"/>
      <c r="DX163" s="39"/>
      <c r="DY163" s="39" t="s">
        <v>2966</v>
      </c>
      <c r="DZ163" s="39"/>
      <c r="EA163" s="39"/>
      <c r="EB163" s="39"/>
      <c r="EC163" s="39" t="s">
        <v>2966</v>
      </c>
      <c r="ED163" s="39"/>
      <c r="EE163" s="39"/>
      <c r="EF163" s="39"/>
      <c r="EG163" s="39" t="s">
        <v>2966</v>
      </c>
      <c r="EJ163" s="39">
        <f t="shared" si="217"/>
        <v>1</v>
      </c>
      <c r="EK163" s="39">
        <f t="shared" si="218"/>
        <v>114.85</v>
      </c>
      <c r="EL163" s="39"/>
      <c r="EM163" s="39"/>
      <c r="EN163" s="39"/>
      <c r="EO163" s="240">
        <v>114.85</v>
      </c>
      <c r="EP163" s="39" t="s">
        <v>3017</v>
      </c>
      <c r="EQ163" s="39"/>
      <c r="ER163" s="39">
        <f t="shared" si="219"/>
        <v>1</v>
      </c>
      <c r="ES163" s="39">
        <f t="shared" si="220"/>
        <v>141.66</v>
      </c>
      <c r="ET163" s="39"/>
      <c r="EU163" s="39"/>
      <c r="EV163" s="39"/>
      <c r="EW163" s="39">
        <v>141.66</v>
      </c>
      <c r="EX163" s="39" t="s">
        <v>3017</v>
      </c>
      <c r="EZ163" s="39">
        <f t="shared" si="221"/>
        <v>0</v>
      </c>
      <c r="FA163" s="39" t="str">
        <f t="shared" si="222"/>
        <v>数据缺失</v>
      </c>
      <c r="FB163" s="39"/>
      <c r="FC163" s="39"/>
      <c r="FD163" s="39"/>
      <c r="FE163" s="39" t="s">
        <v>2966</v>
      </c>
      <c r="FF163" s="39"/>
      <c r="FG163" s="39"/>
      <c r="FH163" s="39">
        <v>6</v>
      </c>
      <c r="FI163" s="67" t="s">
        <v>3018</v>
      </c>
      <c r="FJ163" s="39" t="s">
        <v>3014</v>
      </c>
      <c r="FK163" s="39"/>
      <c r="FL163" s="39"/>
      <c r="FM163" s="39" t="s">
        <v>2966</v>
      </c>
      <c r="FN163" s="39"/>
      <c r="FO163" s="39"/>
      <c r="FP163" s="39"/>
      <c r="FQ163" s="39" t="s">
        <v>2966</v>
      </c>
      <c r="FR163" s="39"/>
      <c r="FS163" s="39"/>
      <c r="FT163" s="39"/>
      <c r="FU163" s="39" t="s">
        <v>2966</v>
      </c>
      <c r="FV163" s="39"/>
      <c r="FW163" s="39"/>
      <c r="FX163" s="39"/>
      <c r="FY163" s="39" t="s">
        <v>2966</v>
      </c>
      <c r="GB163" s="39">
        <v>1</v>
      </c>
      <c r="GC163" s="39" t="s">
        <v>3019</v>
      </c>
      <c r="GD163" s="39"/>
      <c r="GE163" s="39"/>
      <c r="GF163" s="39"/>
      <c r="GG163" s="39" t="s">
        <v>3019</v>
      </c>
      <c r="GH163" s="39" t="s">
        <v>2911</v>
      </c>
      <c r="GJ163" s="39">
        <f t="shared" si="235"/>
        <v>4</v>
      </c>
      <c r="GK163" s="43">
        <f t="shared" si="236"/>
        <v>0</v>
      </c>
      <c r="GL163" s="39"/>
      <c r="GM163" s="39"/>
      <c r="GN163" s="39">
        <v>0</v>
      </c>
      <c r="GO163" s="39" t="s">
        <v>3020</v>
      </c>
      <c r="GP163" s="39" t="s">
        <v>2911</v>
      </c>
      <c r="GS163" s="69">
        <v>225.3492266719</v>
      </c>
      <c r="GT163" s="39" t="s">
        <v>2927</v>
      </c>
      <c r="GV163" s="39">
        <f t="shared" si="223"/>
        <v>1</v>
      </c>
      <c r="GW163" s="43">
        <f t="shared" si="224"/>
        <v>0.15355897563596332</v>
      </c>
      <c r="HA163" s="67">
        <f>22.99+3.8+79.07+37.3+30.25+4</f>
        <v>177.40999999999997</v>
      </c>
      <c r="HB163" s="39" t="s">
        <v>2911</v>
      </c>
      <c r="HE163" s="69">
        <v>1155.321590713</v>
      </c>
      <c r="HF163" s="39" t="s">
        <v>2105</v>
      </c>
      <c r="HH163" s="39">
        <f t="shared" si="225"/>
        <v>1</v>
      </c>
      <c r="HI163" s="43">
        <f t="shared" si="226"/>
        <v>0.14204107780237341</v>
      </c>
      <c r="HJ163" s="39"/>
      <c r="HK163" s="39"/>
      <c r="HL163" s="39"/>
      <c r="HM163" s="39">
        <v>20.99</v>
      </c>
      <c r="HN163" s="39" t="s">
        <v>2911</v>
      </c>
      <c r="HO163" s="39"/>
      <c r="HP163" s="39"/>
      <c r="HQ163" s="69">
        <v>147.77415325729999</v>
      </c>
      <c r="HR163" s="39" t="s">
        <v>2916</v>
      </c>
      <c r="HT163" s="39">
        <f t="shared" si="227"/>
        <v>4</v>
      </c>
      <c r="HU163" s="39">
        <f>HY163/IC163</f>
        <v>0</v>
      </c>
      <c r="HV163" s="39"/>
      <c r="HW163" s="39"/>
      <c r="HX163" s="39"/>
      <c r="HY163" s="39">
        <v>0</v>
      </c>
      <c r="HZ163" s="39" t="s">
        <v>2911</v>
      </c>
      <c r="IA163" s="39"/>
      <c r="IB163" s="39"/>
      <c r="IC163" s="69">
        <v>106.1414875</v>
      </c>
      <c r="ID163" s="39" t="s">
        <v>2916</v>
      </c>
      <c r="IG163" s="39"/>
      <c r="IR163" s="39">
        <f t="shared" si="228"/>
        <v>2</v>
      </c>
      <c r="IS163" s="43">
        <f t="shared" si="229"/>
        <v>2.9645218305031222</v>
      </c>
      <c r="IT163" s="39"/>
      <c r="IU163" s="39"/>
      <c r="IV163" s="39"/>
      <c r="IW163" s="39">
        <v>665.9</v>
      </c>
      <c r="IX163" s="39" t="s">
        <v>2911</v>
      </c>
      <c r="IY163" s="39"/>
      <c r="IZ163" s="39"/>
      <c r="JA163" s="69">
        <v>224.62307180479999</v>
      </c>
      <c r="JB163" s="39" t="s">
        <v>2916</v>
      </c>
      <c r="JD163" s="39">
        <f t="shared" si="230"/>
        <v>4</v>
      </c>
      <c r="JE163" s="43">
        <f t="shared" si="231"/>
        <v>0.11466237463658856</v>
      </c>
      <c r="JF163" s="39"/>
      <c r="JG163" s="39"/>
      <c r="JH163" s="39"/>
      <c r="JI163" s="39">
        <v>24.35</v>
      </c>
      <c r="JJ163" s="39" t="s">
        <v>3021</v>
      </c>
      <c r="JK163" s="39"/>
      <c r="JL163" s="39"/>
      <c r="JM163" s="39">
        <v>1.01</v>
      </c>
      <c r="JN163" s="39" t="s">
        <v>3021</v>
      </c>
      <c r="JO163" s="39"/>
      <c r="JP163" s="39"/>
      <c r="JQ163" s="39">
        <v>255</v>
      </c>
      <c r="JR163" s="39" t="s">
        <v>3021</v>
      </c>
      <c r="JS163" s="39"/>
      <c r="JT163" s="39"/>
      <c r="JU163" s="39">
        <v>165.52</v>
      </c>
      <c r="JV163" s="39" t="s">
        <v>3021</v>
      </c>
      <c r="JX163" s="39">
        <v>2</v>
      </c>
      <c r="JY163" s="39" t="s">
        <v>3022</v>
      </c>
      <c r="JZ163" s="39"/>
      <c r="KA163" s="39"/>
      <c r="KB163" s="39">
        <v>14</v>
      </c>
      <c r="KC163" s="39" t="s">
        <v>3022</v>
      </c>
      <c r="KD163" s="39" t="s">
        <v>2911</v>
      </c>
      <c r="KF163" s="39">
        <f t="shared" si="232"/>
        <v>3</v>
      </c>
      <c r="KG163" s="43">
        <f t="shared" si="233"/>
        <v>0.71288313668488512</v>
      </c>
      <c r="KK163" s="2">
        <f>159.63+0.5</f>
        <v>160.13</v>
      </c>
      <c r="KL163" s="39" t="s">
        <v>2911</v>
      </c>
      <c r="KM163" s="67" t="s">
        <v>3023</v>
      </c>
      <c r="KO163" s="69">
        <v>224.62307180479999</v>
      </c>
      <c r="KP163" s="39" t="s">
        <v>2916</v>
      </c>
    </row>
    <row r="164" spans="2:302" s="67" customFormat="1" ht="18.75" hidden="1" customHeight="1" x14ac:dyDescent="0.35">
      <c r="B164" s="236" t="s">
        <v>3024</v>
      </c>
      <c r="C164" s="39" t="s">
        <v>3009</v>
      </c>
      <c r="D164" s="67" t="s">
        <v>3010</v>
      </c>
      <c r="E164" s="67" t="s">
        <v>2929</v>
      </c>
      <c r="F164" s="237" t="s">
        <v>3025</v>
      </c>
      <c r="G164" s="42" t="s">
        <v>2995</v>
      </c>
      <c r="H164" s="40">
        <f>(222.3+3.7)/234.3195</f>
        <v>0.96449505909666078</v>
      </c>
      <c r="L164" s="39">
        <v>4</v>
      </c>
      <c r="M164" s="39" t="s">
        <v>3026</v>
      </c>
      <c r="N164" s="39"/>
      <c r="O164" s="39"/>
      <c r="P164" s="39" t="s">
        <v>126</v>
      </c>
      <c r="Q164" s="39" t="s">
        <v>3027</v>
      </c>
      <c r="R164" s="39" t="s">
        <v>2911</v>
      </c>
      <c r="S164" s="39"/>
      <c r="T164" s="39" t="s">
        <v>129</v>
      </c>
      <c r="U164" s="40">
        <v>0.4118</v>
      </c>
      <c r="X164" s="39">
        <f>IF(Y164="数据缺失",0,IF(Y164&lt;-30%,6,IF(Y164&lt;-10%,5,IF(Y164&lt;0%,4,IF(Y164&lt;10%,3,IF(Y164&lt;30%,2,1))))))</f>
        <v>3</v>
      </c>
      <c r="Y164" s="43">
        <f>((AC164-AG164)/AG164+(AG164-AK164)/AK164)/2*100%</f>
        <v>7.0010469833791389E-2</v>
      </c>
      <c r="Z164" s="39"/>
      <c r="AA164" s="39"/>
      <c r="AB164" s="39"/>
      <c r="AC164" s="39">
        <v>309</v>
      </c>
      <c r="AD164" s="39" t="s">
        <v>3028</v>
      </c>
      <c r="AE164" s="39"/>
      <c r="AF164" s="39"/>
      <c r="AG164" s="39">
        <v>283</v>
      </c>
      <c r="AH164" s="39" t="s">
        <v>3028</v>
      </c>
      <c r="AI164" s="39"/>
      <c r="AJ164" s="39"/>
      <c r="AK164" s="39">
        <v>270</v>
      </c>
      <c r="AL164" s="39" t="s">
        <v>3028</v>
      </c>
      <c r="AN164" s="39">
        <f>IF(AO164="数据缺失",0,IF(AO164&lt;-30%,6,IF(AO164&lt;-10%,5,IF(AO164&lt;0%,4,IF(AO164&lt;10%,3,IF(AO164&lt;30%,2,1))))))</f>
        <v>3</v>
      </c>
      <c r="AO164" s="43">
        <f>((AS164-AW164)/AW164+(AW164-BA164)/BA164)/2*100%</f>
        <v>5.1455563776772725E-2</v>
      </c>
      <c r="AP164" s="39"/>
      <c r="AQ164" s="39"/>
      <c r="AR164" s="39"/>
      <c r="AS164" s="39">
        <v>483</v>
      </c>
      <c r="AT164" s="39" t="s">
        <v>3028</v>
      </c>
      <c r="AU164" s="39"/>
      <c r="AV164" s="39"/>
      <c r="AW164" s="39">
        <v>467</v>
      </c>
      <c r="AX164" s="39" t="s">
        <v>3028</v>
      </c>
      <c r="AY164" s="39"/>
      <c r="AZ164" s="39"/>
      <c r="BA164" s="39">
        <v>437</v>
      </c>
      <c r="BB164" s="39" t="s">
        <v>3028</v>
      </c>
      <c r="BD164" s="39">
        <f>IF(BE164="数据缺失",0,IF(BE164&lt;50,5,IF(BE164&lt;100,4,IF(BE164&lt;300,3,IF(BE164&lt;500,2,1)))))</f>
        <v>2</v>
      </c>
      <c r="BE164" s="39">
        <f>BI164</f>
        <v>309</v>
      </c>
      <c r="BF164" s="39"/>
      <c r="BG164" s="39"/>
      <c r="BH164" s="39"/>
      <c r="BI164" s="39">
        <f>AC164</f>
        <v>309</v>
      </c>
      <c r="BJ164" s="39" t="s">
        <v>3028</v>
      </c>
      <c r="BK164" s="39"/>
      <c r="BL164" s="39">
        <f>IF(BM164="数据缺失",0,IF(BM164&lt;50,5,IF(BM164&lt;100,4,IF(BM164&lt;300,3,IF(BM164&lt;500,2,1)))))</f>
        <v>2</v>
      </c>
      <c r="BM164" s="39">
        <f>BQ164</f>
        <v>483</v>
      </c>
      <c r="BN164" s="39"/>
      <c r="BO164" s="39"/>
      <c r="BP164" s="39"/>
      <c r="BQ164" s="39">
        <f>AS164</f>
        <v>483</v>
      </c>
      <c r="BR164" s="39" t="s">
        <v>3028</v>
      </c>
      <c r="BT164" s="8">
        <f t="shared" si="210"/>
        <v>5</v>
      </c>
      <c r="BU164" s="39" t="s">
        <v>3029</v>
      </c>
      <c r="BV164" s="39"/>
      <c r="BW164" s="39"/>
      <c r="BX164" s="39"/>
      <c r="BY164" s="39" t="s">
        <v>3029</v>
      </c>
      <c r="BZ164" s="76" t="s">
        <v>131</v>
      </c>
      <c r="CB164" s="39">
        <v>1</v>
      </c>
      <c r="CC164" s="39" t="s">
        <v>2962</v>
      </c>
      <c r="CD164" s="39"/>
      <c r="CE164" s="39"/>
      <c r="CF164" s="39" t="s">
        <v>2962</v>
      </c>
      <c r="CG164" s="39" t="s">
        <v>3031</v>
      </c>
      <c r="CH164" s="39" t="s">
        <v>3032</v>
      </c>
      <c r="CJ164" s="39">
        <f>IF(CK164="数据缺失",0,IF(CK164&lt;0,0,IF(CK164&lt;2,2,IF(CK164&lt;=5,1,3))))</f>
        <v>0</v>
      </c>
      <c r="CK164" s="48" t="s">
        <v>36</v>
      </c>
      <c r="CL164" s="39"/>
      <c r="CM164" s="39"/>
      <c r="CN164" s="39"/>
      <c r="CO164" s="39" t="s">
        <v>36</v>
      </c>
      <c r="CP164" s="39"/>
      <c r="CQ164" s="39"/>
      <c r="CR164" s="39"/>
      <c r="CS164" s="39">
        <f>AC164</f>
        <v>309</v>
      </c>
      <c r="CT164" s="39" t="str">
        <f>AD164</f>
        <v>评级20160623</v>
      </c>
      <c r="CV164" s="39">
        <f>IF(CW164="数据缺失",0,IF(CW164&lt;0,0,IF(CW164&lt;100,5,IF(CW164&lt;500,4,IF(CW164&lt;1000,3,IF(CW164&lt;2000,2,1))))))</f>
        <v>1</v>
      </c>
      <c r="CW164" s="39">
        <f>DA164</f>
        <v>2340.08</v>
      </c>
      <c r="CX164" s="39"/>
      <c r="CY164" s="39"/>
      <c r="CZ164" s="39"/>
      <c r="DA164" s="39">
        <v>2340.08</v>
      </c>
      <c r="DB164" s="39" t="s">
        <v>2911</v>
      </c>
      <c r="DC164" s="39" t="s">
        <v>3033</v>
      </c>
      <c r="DD164" s="39">
        <f>IF(DE164="数据缺失",0,IF(DE164&lt;0,0,IF(DE164&lt;2,3,IF(DE164&lt;=5,1,2))))</f>
        <v>1</v>
      </c>
      <c r="DE164" s="48">
        <f>DM164/DI164</f>
        <v>4.8448861283643891</v>
      </c>
      <c r="DF164" s="39"/>
      <c r="DG164" s="39"/>
      <c r="DH164" s="39"/>
      <c r="DI164" s="39">
        <f>AS164</f>
        <v>483</v>
      </c>
      <c r="DJ164" s="39" t="str">
        <f>AT164</f>
        <v>评级20160623</v>
      </c>
      <c r="DK164" s="39"/>
      <c r="DL164" s="39"/>
      <c r="DM164" s="39">
        <v>2340.08</v>
      </c>
      <c r="DN164" s="39" t="s">
        <v>2911</v>
      </c>
      <c r="DO164" s="39" t="s">
        <v>3033</v>
      </c>
      <c r="DP164" s="67">
        <v>5</v>
      </c>
      <c r="DQ164" s="39" t="s">
        <v>2966</v>
      </c>
      <c r="DR164" s="39"/>
      <c r="DS164" s="39"/>
      <c r="DT164" s="39"/>
      <c r="DU164" s="39" t="s">
        <v>2966</v>
      </c>
      <c r="DV164" s="39"/>
      <c r="DW164" s="39"/>
      <c r="DX164" s="39"/>
      <c r="DY164" s="39" t="s">
        <v>2966</v>
      </c>
      <c r="DZ164" s="39"/>
      <c r="EA164" s="39"/>
      <c r="EB164" s="39"/>
      <c r="EC164" s="39" t="s">
        <v>2966</v>
      </c>
      <c r="EG164" s="39" t="s">
        <v>2966</v>
      </c>
      <c r="EJ164" s="39">
        <f>IF(EK164="数据缺失",0,IF(EK164&lt;0,0,IF(EK164&lt;=5,5,IF(EK164&lt;=20,4,IF(EK164&lt;=50,3,IF(EK164&lt;=100,2,1))))))</f>
        <v>1</v>
      </c>
      <c r="EK164" s="39">
        <f>EO164</f>
        <v>674.59</v>
      </c>
      <c r="EL164" s="39"/>
      <c r="EM164" s="39"/>
      <c r="EN164" s="39"/>
      <c r="EO164" s="39">
        <v>674.59</v>
      </c>
      <c r="EP164" s="39" t="s">
        <v>2911</v>
      </c>
      <c r="EQ164" s="39"/>
      <c r="ER164" s="39">
        <f>IF(ES164="数据缺失",0,IF(ES164&lt;0,0,IF(ES164&lt;=5,5,IF(ES164&lt;=20,4,IF(ES164&lt;=50,3,IF(ES164&lt;=100,2,1))))))</f>
        <v>1</v>
      </c>
      <c r="ES164" s="39">
        <f>EW164</f>
        <v>409.9</v>
      </c>
      <c r="ET164" s="39"/>
      <c r="EU164" s="39"/>
      <c r="EV164" s="39"/>
      <c r="EW164" s="39">
        <v>409.9</v>
      </c>
      <c r="EX164" s="39" t="s">
        <v>2911</v>
      </c>
      <c r="EZ164" s="39">
        <f>IF(FA164="数据缺失",0,IF(FA164&lt;0%,0,IF(FA164&lt;=50,4,IF(FA164&lt;100,3,IF(FA164&lt;200,2,1)))))</f>
        <v>1</v>
      </c>
      <c r="FA164" s="39">
        <f>FE164</f>
        <v>1219.18</v>
      </c>
      <c r="FB164" s="39"/>
      <c r="FC164" s="39"/>
      <c r="FD164" s="39"/>
      <c r="FE164" s="39">
        <v>1219.18</v>
      </c>
      <c r="FF164" s="39" t="s">
        <v>2911</v>
      </c>
      <c r="FG164" s="39" t="s">
        <v>3034</v>
      </c>
      <c r="FH164" s="39">
        <v>6</v>
      </c>
      <c r="FI164" s="39" t="s">
        <v>3035</v>
      </c>
      <c r="FJ164" s="39"/>
      <c r="FK164" s="39"/>
      <c r="FL164" s="39"/>
      <c r="FM164" s="50">
        <v>0</v>
      </c>
      <c r="FN164" s="39" t="s">
        <v>2911</v>
      </c>
      <c r="FO164" s="39"/>
      <c r="FP164" s="39"/>
      <c r="FQ164" s="40">
        <v>0.2646</v>
      </c>
      <c r="FR164" s="39" t="s">
        <v>2911</v>
      </c>
      <c r="FS164" s="39"/>
      <c r="FT164" s="39"/>
      <c r="FU164" s="40">
        <v>0.55889999999999995</v>
      </c>
      <c r="FV164" s="39" t="s">
        <v>2911</v>
      </c>
      <c r="FW164" s="39"/>
      <c r="FX164" s="39"/>
      <c r="FY164" s="40">
        <v>0.17649999999999999</v>
      </c>
      <c r="FZ164" s="39" t="s">
        <v>2911</v>
      </c>
      <c r="GB164" s="39">
        <v>2</v>
      </c>
      <c r="GC164" s="39" t="s">
        <v>3036</v>
      </c>
      <c r="GD164" s="39"/>
      <c r="GE164" s="39"/>
      <c r="GF164" s="39"/>
      <c r="GG164" s="39" t="s">
        <v>3036</v>
      </c>
      <c r="GH164" s="39" t="s">
        <v>595</v>
      </c>
      <c r="GJ164" s="39">
        <f>IF(GK164="数据缺失",0,IF(GK164&lt;0%,0,IF(GK164&lt;=5%,4,IF(GK164&lt;10%,3,IF(GK164&lt;20%,2,1)))))</f>
        <v>4</v>
      </c>
      <c r="GK164" s="43">
        <f>GN164/GS164</f>
        <v>1.5790408612698804E-2</v>
      </c>
      <c r="GL164" s="39"/>
      <c r="GM164" s="39"/>
      <c r="GN164" s="39">
        <v>3.7</v>
      </c>
      <c r="GO164" s="39" t="s">
        <v>3037</v>
      </c>
      <c r="GP164" s="39" t="s">
        <v>2911</v>
      </c>
      <c r="GQ164" s="39"/>
      <c r="GR164" s="39"/>
      <c r="GS164" s="69">
        <v>234.31945877729999</v>
      </c>
      <c r="GT164" s="39" t="s">
        <v>2913</v>
      </c>
      <c r="GV164" s="39">
        <f>IF(GW164="数据缺失",0,IF(GW164&lt;20%,1,IF(GW164&lt;40%,2,IF(GW164&lt;60%,3,IF(GW164&lt;80%,4,IF(GW164&lt;=100%,5,0))))))</f>
        <v>2</v>
      </c>
      <c r="GW164" s="43">
        <f>HA164/HE164*100%</f>
        <v>0.22085842272504799</v>
      </c>
      <c r="GX164" s="39"/>
      <c r="GY164" s="39"/>
      <c r="GZ164" s="39"/>
      <c r="HA164" s="39">
        <v>227.2</v>
      </c>
      <c r="HB164" s="39" t="s">
        <v>2911</v>
      </c>
      <c r="HC164" s="39"/>
      <c r="HD164" s="39"/>
      <c r="HE164" s="69">
        <v>1028.7133141525999</v>
      </c>
      <c r="HF164" s="39" t="s">
        <v>2916</v>
      </c>
      <c r="HH164" s="39">
        <f>IF(HI164="数据缺失",0,IF(HI164&lt;20%,1,IF(HI164&lt;40%,2,IF(HI164&lt;60%,3,IF(HI164&lt;80%,4,IF(HI164&lt;=100%,5,0))))))</f>
        <v>1</v>
      </c>
      <c r="HI164" s="43">
        <f>HM164/HQ164</f>
        <v>0.16713513482851808</v>
      </c>
      <c r="HJ164" s="39"/>
      <c r="HK164" s="39"/>
      <c r="HL164" s="39"/>
      <c r="HM164" s="39">
        <v>22.85</v>
      </c>
      <c r="HN164" s="39" t="s">
        <v>2911</v>
      </c>
      <c r="HO164" s="39"/>
      <c r="HP164" s="39"/>
      <c r="HQ164" s="69">
        <v>136.7157182327</v>
      </c>
      <c r="HR164" s="39" t="s">
        <v>2916</v>
      </c>
      <c r="HT164" s="39">
        <f>IF(HU164="数据缺失",0,IF(HU164&lt;5%,4,IF(HU164&lt;=10%,3,IF(HU164&lt;30%,2,IF(HU164&lt;=100%,1,0)))))</f>
        <v>4</v>
      </c>
      <c r="HU164" s="40">
        <f>HY164/IC164</f>
        <v>8.8700135001605462E-3</v>
      </c>
      <c r="HV164" s="39"/>
      <c r="HW164" s="39"/>
      <c r="HX164" s="39"/>
      <c r="HY164" s="39">
        <v>1</v>
      </c>
      <c r="HZ164" s="39" t="s">
        <v>595</v>
      </c>
      <c r="IA164" s="39"/>
      <c r="IB164" s="39"/>
      <c r="IC164" s="69">
        <v>112.7394</v>
      </c>
      <c r="ID164" s="39" t="s">
        <v>2105</v>
      </c>
      <c r="IG164" s="39"/>
      <c r="IR164" s="39">
        <f>IF(IS164="数据缺失",0,IF(IS164&lt;0%,0,IF(IS164&lt;=100%,4,IF(IS164&lt;200%,3,IF(IS164&lt;300%,2,1)))))</f>
        <v>3</v>
      </c>
      <c r="IS164" s="43">
        <f>IW164/JA164</f>
        <v>1.4542008766460981</v>
      </c>
      <c r="IT164" s="39"/>
      <c r="IU164" s="39"/>
      <c r="IV164" s="39"/>
      <c r="IW164" s="39">
        <v>320.14999999999998</v>
      </c>
      <c r="IX164" s="39" t="s">
        <v>2911</v>
      </c>
      <c r="IY164" s="39"/>
      <c r="IZ164" s="39"/>
      <c r="JA164" s="69">
        <v>220.15527919249999</v>
      </c>
      <c r="JB164" s="39" t="s">
        <v>2916</v>
      </c>
      <c r="JD164" s="39">
        <f>IF(JE164="数据缺失",0,IF(JE164&lt;0%,0,IF(JE164&lt;4%,1,IF(JE164&lt;6%,2,IF(JE164&lt;8%,3,4)))))</f>
        <v>4</v>
      </c>
      <c r="JE164" s="43">
        <f>JI164/JM164/(JQ164+JU164)*2</f>
        <v>8.2892233881296656E-2</v>
      </c>
      <c r="JF164" s="39"/>
      <c r="JG164" s="39"/>
      <c r="JH164" s="39"/>
      <c r="JI164" s="39">
        <v>36.68</v>
      </c>
      <c r="JJ164" s="39" t="s">
        <v>3028</v>
      </c>
      <c r="JK164" s="39"/>
      <c r="JL164" s="39"/>
      <c r="JM164" s="39">
        <v>1.29</v>
      </c>
      <c r="JN164" s="39" t="s">
        <v>3028</v>
      </c>
      <c r="JO164" s="39"/>
      <c r="JP164" s="39"/>
      <c r="JQ164" s="39">
        <v>412.84</v>
      </c>
      <c r="JR164" s="39" t="s">
        <v>3028</v>
      </c>
      <c r="JS164" s="39"/>
      <c r="JT164" s="39"/>
      <c r="JU164" s="39">
        <v>273.20999999999998</v>
      </c>
      <c r="JV164" s="39" t="s">
        <v>3028</v>
      </c>
      <c r="JX164" s="39">
        <v>2</v>
      </c>
      <c r="JY164" s="39" t="s">
        <v>3038</v>
      </c>
      <c r="JZ164" s="39"/>
      <c r="KA164" s="39"/>
      <c r="KB164" s="39">
        <v>10</v>
      </c>
      <c r="KC164" s="39" t="s">
        <v>3038</v>
      </c>
      <c r="KD164" s="39" t="s">
        <v>2911</v>
      </c>
      <c r="KF164" s="39">
        <f>IF(KG164="数据缺失",0,IF(KG164&lt;0%,0,IF(KG164&lt;20%,1,IF(KG164&lt;50%,2,IF(KG164&lt;100%,3,4)))))</f>
        <v>3</v>
      </c>
      <c r="KG164" s="43">
        <f>KK164/KO164</f>
        <v>0.83145859900068186</v>
      </c>
      <c r="KH164" s="39"/>
      <c r="KI164" s="39"/>
      <c r="KJ164" s="39"/>
      <c r="KK164" s="39">
        <v>183.05</v>
      </c>
      <c r="KL164" s="39" t="s">
        <v>595</v>
      </c>
      <c r="KM164" s="39" t="s">
        <v>3039</v>
      </c>
      <c r="KN164" s="39"/>
      <c r="KO164" s="69">
        <v>220.15527919249999</v>
      </c>
      <c r="KP164" s="39" t="s">
        <v>2105</v>
      </c>
    </row>
    <row r="165" spans="2:302" s="67" customFormat="1" ht="15.75" hidden="1" customHeight="1" x14ac:dyDescent="0.35">
      <c r="B165" s="234" t="s">
        <v>3040</v>
      </c>
      <c r="C165" s="14" t="s">
        <v>2992</v>
      </c>
      <c r="D165" s="67" t="s">
        <v>2993</v>
      </c>
      <c r="E165" s="67" t="s">
        <v>2929</v>
      </c>
      <c r="F165" s="235" t="s">
        <v>3041</v>
      </c>
      <c r="G165" s="42" t="s">
        <v>2995</v>
      </c>
      <c r="H165" s="98">
        <f>(24.84+0.03)/25.44</f>
        <v>0.97759433962264153</v>
      </c>
      <c r="L165" s="67">
        <v>3</v>
      </c>
      <c r="M165" s="39" t="s">
        <v>3042</v>
      </c>
      <c r="P165" s="67" t="s">
        <v>3043</v>
      </c>
      <c r="Q165" s="67" t="s">
        <v>3044</v>
      </c>
      <c r="R165" s="67" t="s">
        <v>2950</v>
      </c>
      <c r="T165" s="67" t="s">
        <v>3045</v>
      </c>
      <c r="U165" s="120">
        <v>0.51929999999999998</v>
      </c>
      <c r="X165" s="67">
        <f>IF(Y165="数据缺失",0,IF(Y165&lt;-30%,6,IF(Y165&lt;-10%,5,IF(Y165&lt;0%,4,IF(Y165&lt;10%,3,IF(Y165&lt;30%,2,1))))))</f>
        <v>1</v>
      </c>
      <c r="Y165" s="1">
        <f>(AC165-AG165)/AG165</f>
        <v>1.1814345991561179</v>
      </c>
      <c r="AC165" s="67">
        <v>31.02</v>
      </c>
      <c r="AD165" s="67" t="s">
        <v>2950</v>
      </c>
      <c r="AG165" s="67">
        <v>14.22</v>
      </c>
      <c r="AH165" s="67" t="s">
        <v>2950</v>
      </c>
      <c r="AK165" s="67" t="s">
        <v>2966</v>
      </c>
      <c r="AN165" s="67">
        <f>IF(AO165="数据缺失",0,IF(AO165&lt;-30%,6,IF(AO165&lt;-10%,5,IF(AO165&lt;0%,4,IF(AO165&lt;10%,3,IF(AO165&lt;30%,2,1))))))</f>
        <v>1</v>
      </c>
      <c r="AO165" s="1">
        <f>(AS165-AW165)/AW165</f>
        <v>1.2068027210884353</v>
      </c>
      <c r="AS165" s="67">
        <v>16.22</v>
      </c>
      <c r="AT165" s="67" t="s">
        <v>2950</v>
      </c>
      <c r="AW165" s="67">
        <v>7.35</v>
      </c>
      <c r="AX165" s="67" t="s">
        <v>2950</v>
      </c>
      <c r="BA165" s="67" t="s">
        <v>2966</v>
      </c>
      <c r="BD165" s="67">
        <f>IF(BE165="数据缺失",0,IF(BE165&lt;50,5,IF(BE165&lt;100,4,IF(BE165&lt;300,3,IF(BE165&lt;500,2,1)))))</f>
        <v>5</v>
      </c>
      <c r="BE165" s="67">
        <f>BI165</f>
        <v>31.02</v>
      </c>
      <c r="BI165" s="67">
        <f>AC165</f>
        <v>31.02</v>
      </c>
      <c r="BJ165" s="67" t="str">
        <f>AD165</f>
        <v>评级20160629</v>
      </c>
      <c r="BL165" s="67">
        <f>IF(BM165="数据缺失",0,IF(BM165&lt;50,5,IF(BM165&lt;100,4,IF(BM165&lt;300,3,IF(BM165&lt;500,2,1)))))</f>
        <v>5</v>
      </c>
      <c r="BM165" s="67">
        <f>BQ165</f>
        <v>16.22</v>
      </c>
      <c r="BQ165" s="67">
        <f>AS165</f>
        <v>16.22</v>
      </c>
      <c r="BR165" s="67" t="str">
        <f>AT165</f>
        <v>评级20160629</v>
      </c>
      <c r="BT165" s="8">
        <f t="shared" si="210"/>
        <v>4</v>
      </c>
      <c r="BU165" s="67">
        <f>BY165</f>
        <v>306</v>
      </c>
      <c r="BY165" s="67">
        <v>306</v>
      </c>
      <c r="BZ165" s="241" t="s">
        <v>3046</v>
      </c>
      <c r="CA165" s="36" t="s">
        <v>3047</v>
      </c>
      <c r="CB165" s="36">
        <v>1</v>
      </c>
      <c r="CC165" s="36" t="str">
        <f>CF165</f>
        <v>一级</v>
      </c>
      <c r="CD165" s="36"/>
      <c r="CE165" s="36"/>
      <c r="CF165" s="36" t="s">
        <v>132</v>
      </c>
      <c r="CG165" s="36" t="s">
        <v>3048</v>
      </c>
      <c r="CH165" s="36" t="s">
        <v>3049</v>
      </c>
      <c r="CJ165" s="67">
        <f>IF(CK165="数据缺失",0,IF(CK165&lt;0,0,IF(CK165&lt;2,2,IF(CK165&lt;=5,1,3))))</f>
        <v>2</v>
      </c>
      <c r="CK165" s="125">
        <f>CO165/CS165</f>
        <v>9.4455190199871059E-2</v>
      </c>
      <c r="CO165" s="67">
        <v>2.93</v>
      </c>
      <c r="CP165" s="67" t="s">
        <v>329</v>
      </c>
      <c r="CS165" s="67">
        <f t="shared" ref="CS165:CT167" si="239">AC165</f>
        <v>31.02</v>
      </c>
      <c r="CT165" s="67" t="str">
        <f t="shared" si="239"/>
        <v>评级20160629</v>
      </c>
      <c r="CV165" s="67">
        <f>IF(CW165="数据缺失",0,IF(CW165&lt;0,0,IF(CW165&lt;100,5,IF(CW165&lt;500,4,IF(CW165&lt;1000,3,IF(CW165&lt;2000,2,1))))))</f>
        <v>5</v>
      </c>
      <c r="CW165" s="67">
        <f>DA165</f>
        <v>51.23</v>
      </c>
      <c r="DA165" s="67">
        <v>51.23</v>
      </c>
      <c r="DB165" s="67" t="s">
        <v>2911</v>
      </c>
      <c r="DD165" s="67">
        <f>IF(DE165="数据缺失",0,IF(DE165&lt;0,0,IF(DE165&lt;2,3,IF(DE165&lt;=5,1,2))))</f>
        <v>1</v>
      </c>
      <c r="DE165" s="125">
        <f>DM165/DI165</f>
        <v>3.1584463625154129</v>
      </c>
      <c r="DI165" s="67">
        <f t="shared" ref="DI165:DJ167" si="240">AS165</f>
        <v>16.22</v>
      </c>
      <c r="DJ165" s="67" t="str">
        <f t="shared" si="240"/>
        <v>评级20160629</v>
      </c>
      <c r="DM165" s="118">
        <f t="shared" ref="DM165:DN167" si="241">DA165</f>
        <v>51.23</v>
      </c>
      <c r="DN165" s="67" t="str">
        <f t="shared" si="241"/>
        <v>年报2015</v>
      </c>
      <c r="DP165" s="67">
        <v>6</v>
      </c>
      <c r="DQ165" s="36" t="s">
        <v>3050</v>
      </c>
      <c r="DU165" s="120">
        <v>0.1003</v>
      </c>
      <c r="DV165" s="67" t="s">
        <v>3051</v>
      </c>
      <c r="DY165" s="67">
        <v>0</v>
      </c>
      <c r="DZ165" s="67" t="s">
        <v>2911</v>
      </c>
      <c r="EC165" s="120">
        <v>0.89970000000000006</v>
      </c>
      <c r="ED165" s="67" t="s">
        <v>2911</v>
      </c>
      <c r="EG165" s="67">
        <v>0</v>
      </c>
      <c r="EH165" s="67" t="s">
        <v>2911</v>
      </c>
      <c r="EJ165" s="67">
        <f>IF(EK165="数据缺失",0,IF(EK165&lt;0,0,IF(EK165&lt;=5,5,IF(EK165&lt;=20,4,IF(EK165&lt;=50,3,IF(EK165&lt;=100,2,1))))))</f>
        <v>4</v>
      </c>
      <c r="EK165" s="67">
        <f>EO165</f>
        <v>10.37</v>
      </c>
      <c r="EO165" s="67">
        <v>10.37</v>
      </c>
      <c r="EP165" s="67" t="s">
        <v>2950</v>
      </c>
      <c r="ER165" s="67">
        <f>IF(ES165="数据缺失",0,IF(ES165&lt;0,0,IF(ES165&lt;=5,5,IF(ES165&lt;=20,4,IF(ES165&lt;=50,3,IF(ES165&lt;=100,2,1))))))</f>
        <v>3</v>
      </c>
      <c r="ES165" s="67">
        <f>EW165</f>
        <v>46.97</v>
      </c>
      <c r="EW165" s="67">
        <v>46.97</v>
      </c>
      <c r="EX165" s="67" t="s">
        <v>2950</v>
      </c>
      <c r="EZ165" s="67">
        <f>IF(FA165="数据缺失",0,IF(FA165&lt;0%,0,IF(FA165&lt;=50,4,IF(FA165&lt;100,3,IF(FA165&lt;200,2,1)))))</f>
        <v>4</v>
      </c>
      <c r="FA165" s="67">
        <f>FE165</f>
        <v>45.62</v>
      </c>
      <c r="FE165" s="67">
        <v>45.62</v>
      </c>
      <c r="FF165" s="67" t="s">
        <v>2950</v>
      </c>
      <c r="FH165" s="67">
        <v>6</v>
      </c>
      <c r="FI165" s="36" t="s">
        <v>3052</v>
      </c>
      <c r="FM165" s="67">
        <v>0</v>
      </c>
      <c r="FN165" s="67" t="s">
        <v>2950</v>
      </c>
      <c r="FQ165" s="239">
        <v>0</v>
      </c>
      <c r="FR165" s="67" t="s">
        <v>2950</v>
      </c>
      <c r="FU165" s="238">
        <v>1</v>
      </c>
      <c r="FV165" s="67" t="s">
        <v>2950</v>
      </c>
      <c r="FY165" s="120">
        <v>0</v>
      </c>
      <c r="FZ165" s="67" t="s">
        <v>2950</v>
      </c>
      <c r="GB165" s="14">
        <v>2</v>
      </c>
      <c r="GC165" s="14" t="str">
        <f>GG165</f>
        <v>房地产：97.87%</v>
      </c>
      <c r="GD165" s="14"/>
      <c r="GE165" s="14"/>
      <c r="GF165" s="14"/>
      <c r="GG165" s="14" t="s">
        <v>3053</v>
      </c>
      <c r="GH165" s="39" t="s">
        <v>2911</v>
      </c>
      <c r="GJ165" s="39">
        <f>IF(GK165="数据缺失",0,IF(GK165&lt;0%,0,IF(GK165&lt;=5%,4,IF(GK165&lt;10%,3,IF(GK165&lt;20%,2,1)))))</f>
        <v>4</v>
      </c>
      <c r="GK165" s="43">
        <f>GN165/GS165</f>
        <v>1.1790841261759182E-3</v>
      </c>
      <c r="GL165" s="14"/>
      <c r="GM165" s="14"/>
      <c r="GN165" s="14">
        <v>0.03</v>
      </c>
      <c r="GO165" s="14" t="s">
        <v>3054</v>
      </c>
      <c r="GP165" s="39" t="s">
        <v>2911</v>
      </c>
      <c r="GQ165" s="14"/>
      <c r="GR165" s="14"/>
      <c r="GS165" s="69">
        <v>25.4434771311</v>
      </c>
      <c r="GT165" s="39" t="s">
        <v>2913</v>
      </c>
      <c r="GV165" s="39">
        <f>IF(GW165="数据缺失",0,IF(GW165&lt;20%,1,IF(GW165&lt;40%,2,IF(GW165&lt;60%,3,IF(GW165&lt;80%,4,IF(GW165&lt;=100%,5,0))))))</f>
        <v>1</v>
      </c>
      <c r="GW165" s="43">
        <f>HA165/HE165*100%</f>
        <v>0.16645697158244169</v>
      </c>
      <c r="GX165" s="39"/>
      <c r="GY165" s="39"/>
      <c r="GZ165" s="39"/>
      <c r="HA165" s="39">
        <v>32.01</v>
      </c>
      <c r="HB165" s="39" t="s">
        <v>2911</v>
      </c>
      <c r="HC165" s="39"/>
      <c r="HD165" s="39"/>
      <c r="HE165" s="69">
        <v>192.30194863990002</v>
      </c>
      <c r="HF165" s="39" t="s">
        <v>2916</v>
      </c>
      <c r="HH165" s="39">
        <f>IF(HI165="数据缺失",0,IF(HI165&lt;20%,1,IF(HI165&lt;40%,2,IF(HI165&lt;60%,3,IF(HI165&lt;80%,4,IF(HI165&lt;=100%,5,0))))))</f>
        <v>1</v>
      </c>
      <c r="HI165" s="43">
        <f>HM165/HQ165</f>
        <v>2.3573384049944074E-3</v>
      </c>
      <c r="HJ165" s="39"/>
      <c r="HK165" s="39"/>
      <c r="HL165" s="39"/>
      <c r="HM165" s="39">
        <v>0.06</v>
      </c>
      <c r="HN165" s="39" t="s">
        <v>146</v>
      </c>
      <c r="HO165" s="39"/>
      <c r="HP165" s="39"/>
      <c r="HQ165" s="69">
        <v>25.452433928400001</v>
      </c>
      <c r="HR165" s="39" t="s">
        <v>285</v>
      </c>
      <c r="HT165" s="39">
        <f>IF(HU165="数据缺失",0,IF(HU165&lt;5%,4,IF(HU165&lt;=10%,3,IF(HU165&lt;30%,2,IF(HU165&lt;=100%,1,0)))))</f>
        <v>4</v>
      </c>
      <c r="HU165" s="39">
        <f>HY165/IC165</f>
        <v>0</v>
      </c>
      <c r="HV165" s="39"/>
      <c r="HW165" s="39"/>
      <c r="HX165" s="39"/>
      <c r="HY165" s="39">
        <v>0</v>
      </c>
      <c r="HZ165" s="39" t="s">
        <v>146</v>
      </c>
      <c r="IA165" s="39"/>
      <c r="IB165" s="39"/>
      <c r="IC165" s="69">
        <v>32.338999999999999</v>
      </c>
      <c r="ID165" s="39" t="s">
        <v>285</v>
      </c>
      <c r="IG165" s="39"/>
      <c r="IR165" s="67">
        <f>IF(IS165="数据缺失",0,IF(IS165&lt;0%,0,IF(IS165&lt;=100%,4,IF(IS165&lt;200%,3,IF(IS165&lt;300%,2,1)))))</f>
        <v>0</v>
      </c>
      <c r="IS165" s="1" t="s">
        <v>297</v>
      </c>
      <c r="IW165" s="67" t="s">
        <v>297</v>
      </c>
      <c r="JA165" s="126">
        <v>10.4831770279</v>
      </c>
      <c r="JB165" s="67" t="s">
        <v>285</v>
      </c>
      <c r="JD165" s="39">
        <f>IF(JE165="数据缺失",0,IF(JE165&lt;0%,0,IF(JE165&lt;4%,1,IF(JE165&lt;6%,2,IF(JE165&lt;8%,3,4)))))</f>
        <v>3</v>
      </c>
      <c r="JE165" s="43">
        <f>JI165/JM165/(JQ165+JU165)*2</f>
        <v>6.9970786351640377E-2</v>
      </c>
      <c r="JF165" s="39"/>
      <c r="JG165" s="39"/>
      <c r="JH165" s="39"/>
      <c r="JI165" s="39">
        <v>16.559999999999999</v>
      </c>
      <c r="JJ165" s="39" t="s">
        <v>329</v>
      </c>
      <c r="JK165" s="39"/>
      <c r="JL165" s="39"/>
      <c r="JM165" s="39">
        <v>2.27</v>
      </c>
      <c r="JN165" s="39" t="s">
        <v>329</v>
      </c>
      <c r="JO165" s="39"/>
      <c r="JP165" s="39"/>
      <c r="JQ165" s="39">
        <v>105.23</v>
      </c>
      <c r="JR165" s="39" t="s">
        <v>329</v>
      </c>
      <c r="JS165" s="39"/>
      <c r="JT165" s="39"/>
      <c r="JU165" s="39">
        <v>103.29</v>
      </c>
      <c r="JV165" s="39" t="s">
        <v>329</v>
      </c>
      <c r="JX165" s="67">
        <v>2</v>
      </c>
      <c r="JY165" s="36" t="str">
        <f>KC165</f>
        <v>瑞华会计师事务所（特殊普通合伙）</v>
      </c>
      <c r="KB165" s="67">
        <v>2</v>
      </c>
      <c r="KC165" s="67" t="s">
        <v>155</v>
      </c>
      <c r="KD165" s="67" t="s">
        <v>2911</v>
      </c>
      <c r="KF165" s="67">
        <f>IF(KG165="数据缺失",0,IF(KG165&lt;0%,0,IF(KG165&lt;20%,1,IF(KG165&lt;50%,2,IF(KG165&lt;100%,3,4)))))</f>
        <v>4</v>
      </c>
      <c r="KG165" s="1">
        <f>KK165/KO165</f>
        <v>5.8856203454154397</v>
      </c>
      <c r="KK165" s="67">
        <f>12.1+49.6</f>
        <v>61.7</v>
      </c>
      <c r="KL165" s="67" t="s">
        <v>146</v>
      </c>
      <c r="KM165" s="39" t="s">
        <v>2290</v>
      </c>
      <c r="KO165" s="126">
        <v>10.4831770279</v>
      </c>
      <c r="KP165" s="67" t="s">
        <v>285</v>
      </c>
    </row>
    <row r="166" spans="2:302" s="39" customFormat="1" ht="13" hidden="1" x14ac:dyDescent="0.35">
      <c r="B166" s="236" t="s">
        <v>3055</v>
      </c>
      <c r="C166" s="39" t="s">
        <v>3009</v>
      </c>
      <c r="D166" s="39" t="s">
        <v>3057</v>
      </c>
      <c r="E166" s="67" t="s">
        <v>197</v>
      </c>
      <c r="F166" s="237" t="s">
        <v>3058</v>
      </c>
      <c r="G166" s="42" t="s">
        <v>3059</v>
      </c>
      <c r="H166" s="40">
        <f>69.98/116.36</f>
        <v>0.60140941904434519</v>
      </c>
      <c r="L166" s="39">
        <v>4</v>
      </c>
      <c r="M166" s="39" t="s">
        <v>3060</v>
      </c>
      <c r="P166" s="39" t="s">
        <v>126</v>
      </c>
      <c r="Q166" s="39" t="s">
        <v>3061</v>
      </c>
      <c r="R166" s="39" t="s">
        <v>3062</v>
      </c>
      <c r="T166" s="39" t="s">
        <v>129</v>
      </c>
      <c r="U166" s="40">
        <f>(67.22%*2.31%)+(67.22%*41.84%)+(67.22%*99%*5.08%)</f>
        <v>0.33058258240000005</v>
      </c>
      <c r="X166" s="39">
        <f>IF(Y166="数据缺失",0,IF(Y166&lt;-30%,6,IF(Y166&lt;-10%,5,IF(Y166&lt;0%,4,IF(Y166&lt;10%,3,IF(Y166&lt;30%,2,1))))))</f>
        <v>2</v>
      </c>
      <c r="Y166" s="43">
        <f>((AC166-AG166)/AG166+(AG166-AK166)/AK166)/2*100%</f>
        <v>0.13094940233641833</v>
      </c>
      <c r="AC166" s="39">
        <v>108.61</v>
      </c>
      <c r="AD166" s="39" t="s">
        <v>3063</v>
      </c>
      <c r="AG166" s="39">
        <v>72.97</v>
      </c>
      <c r="AH166" s="39" t="s">
        <v>3063</v>
      </c>
      <c r="AK166" s="39">
        <v>94.34</v>
      </c>
      <c r="AL166" s="39" t="s">
        <v>3063</v>
      </c>
      <c r="AN166" s="39">
        <f>IF(AO166="数据缺失",0,IF(AO166&lt;-30%,6,IF(AO166&lt;-10%,5,IF(AO166&lt;0%,4,IF(AO166&lt;10%,3,IF(AO166&lt;30%,2,1))))))</f>
        <v>2</v>
      </c>
      <c r="AO166" s="43">
        <f>((AS166-AW166)/AW166+(AW166-BA166)/BA166)/2*100%</f>
        <v>0.14944935715917779</v>
      </c>
      <c r="AS166" s="39">
        <v>98.19</v>
      </c>
      <c r="AT166" s="39" t="s">
        <v>3064</v>
      </c>
      <c r="AW166" s="39">
        <v>61.07</v>
      </c>
      <c r="AX166" s="39" t="s">
        <v>3065</v>
      </c>
      <c r="BA166" s="39">
        <v>88.37</v>
      </c>
      <c r="BB166" s="39" t="s">
        <v>3065</v>
      </c>
      <c r="BD166" s="39">
        <f>IF(BE166="数据缺失",0,IF(BE166&lt;50,5,IF(BE166&lt;100,4,IF(BE166&lt;300,3,IF(BE166&lt;500,2,1)))))</f>
        <v>3</v>
      </c>
      <c r="BE166" s="39">
        <f>BI166</f>
        <v>108.61</v>
      </c>
      <c r="BI166" s="39">
        <v>108.61</v>
      </c>
      <c r="BJ166" s="39" t="s">
        <v>3063</v>
      </c>
      <c r="BL166" s="39">
        <f>IF(BM166="数据缺失",0,IF(BM166&lt;50,5,IF(BM166&lt;100,4,IF(BM166&lt;300,3,IF(BM166&lt;500,2,1)))))</f>
        <v>4</v>
      </c>
      <c r="BM166" s="39">
        <f>BQ166</f>
        <v>98.19</v>
      </c>
      <c r="BQ166" s="39">
        <v>98.19</v>
      </c>
      <c r="BR166" s="39" t="s">
        <v>3066</v>
      </c>
      <c r="BT166" s="8">
        <f t="shared" si="210"/>
        <v>3</v>
      </c>
      <c r="BU166" s="39">
        <f>BY166</f>
        <v>132</v>
      </c>
      <c r="BY166" s="39">
        <v>132</v>
      </c>
      <c r="BZ166" s="76" t="s">
        <v>131</v>
      </c>
      <c r="CB166" s="39">
        <v>1</v>
      </c>
      <c r="CC166" s="39" t="s">
        <v>2962</v>
      </c>
      <c r="CF166" s="39" t="s">
        <v>711</v>
      </c>
      <c r="CG166" s="39" t="s">
        <v>3067</v>
      </c>
      <c r="CH166" s="39" t="s">
        <v>3063</v>
      </c>
      <c r="CI166" s="39" t="s">
        <v>3068</v>
      </c>
      <c r="CJ166" s="39">
        <f>IF(CK166="数据缺失",0,IF(CK166&lt;0,0,IF(CK166&lt;2,2,IF(CK166&lt;=5,1,3))))</f>
        <v>2</v>
      </c>
      <c r="CK166" s="48">
        <f>CO166/CS166</f>
        <v>0.13396556486511371</v>
      </c>
      <c r="CO166" s="39">
        <v>14.55</v>
      </c>
      <c r="CP166" s="39" t="s">
        <v>3069</v>
      </c>
      <c r="CS166" s="39">
        <f t="shared" si="239"/>
        <v>108.61</v>
      </c>
      <c r="CT166" s="39" t="str">
        <f t="shared" si="239"/>
        <v>评级20160517</v>
      </c>
      <c r="CV166" s="39">
        <f>IF(CW166="数据缺失",0,IF(CW166&lt;0,0,IF(CW166&lt;100,5,IF(CW166&lt;500,4,IF(CW166&lt;1000,3,IF(CW166&lt;2000,2,1))))))</f>
        <v>2</v>
      </c>
      <c r="CW166" s="39">
        <f>DA166</f>
        <v>1518.29</v>
      </c>
      <c r="DA166" s="39">
        <v>1518.29</v>
      </c>
      <c r="DB166" s="39" t="str">
        <f>AL166</f>
        <v>评级20160517</v>
      </c>
      <c r="DD166" s="39">
        <f>IF(DE166="数据缺失",0,IF(DE166&lt;0,0,IF(DE166&lt;2,3,IF(DE166&lt;=5,1,2))))</f>
        <v>2</v>
      </c>
      <c r="DE166" s="48">
        <f>DM166/DI166</f>
        <v>15.462776250127304</v>
      </c>
      <c r="DI166" s="39">
        <f t="shared" si="240"/>
        <v>98.19</v>
      </c>
      <c r="DJ166" s="39" t="str">
        <f t="shared" si="240"/>
        <v>评级20160517</v>
      </c>
      <c r="DM166" s="118">
        <f t="shared" si="241"/>
        <v>1518.29</v>
      </c>
      <c r="DN166" s="39" t="str">
        <f>AX166</f>
        <v>评级20160517</v>
      </c>
      <c r="DP166" s="39">
        <v>5</v>
      </c>
      <c r="DQ166" s="39" t="s">
        <v>297</v>
      </c>
      <c r="DU166" s="39" t="s">
        <v>297</v>
      </c>
      <c r="DY166" s="39" t="s">
        <v>297</v>
      </c>
      <c r="EC166" s="39" t="s">
        <v>3070</v>
      </c>
      <c r="EG166" s="39" t="s">
        <v>3071</v>
      </c>
      <c r="EJ166" s="39">
        <f>IF(EK166="数据缺失",0,IF(EK166&lt;0,0,IF(EK166&lt;=5,5,IF(EK166&lt;=20,4,IF(EK166&lt;=50,3,IF(EK166&lt;=100,2,1))))))</f>
        <v>1</v>
      </c>
      <c r="EK166" s="39">
        <f>EO166</f>
        <v>105.82</v>
      </c>
      <c r="EO166" s="39">
        <v>105.82</v>
      </c>
      <c r="EP166" s="39" t="s">
        <v>3063</v>
      </c>
      <c r="ER166" s="39">
        <f>IF(ES166="数据缺失",0,IF(ES166&lt;0,0,IF(ES166&lt;=5,5,IF(ES166&lt;=20,4,IF(ES166&lt;=50,3,IF(ES166&lt;=100,2,1))))))</f>
        <v>1</v>
      </c>
      <c r="ES166" s="39">
        <f>EW166</f>
        <v>121.9</v>
      </c>
      <c r="EW166" s="39">
        <v>121.9</v>
      </c>
      <c r="EX166" s="39" t="s">
        <v>3063</v>
      </c>
      <c r="EZ166" s="39">
        <f>IF(FA166="数据缺失",0,IF(FA166&lt;0%,0,IF(FA166&lt;=50,4,IF(FA166&lt;100,3,IF(FA166&lt;200,2,1)))))</f>
        <v>1</v>
      </c>
      <c r="FA166" s="39">
        <f>FE166</f>
        <v>414</v>
      </c>
      <c r="FE166" s="39">
        <v>414</v>
      </c>
      <c r="FF166" s="39" t="s">
        <v>3072</v>
      </c>
      <c r="FH166" s="39">
        <v>4</v>
      </c>
      <c r="FI166" s="39" t="s">
        <v>3073</v>
      </c>
      <c r="FM166" s="40">
        <v>3.7199999999999997E-2</v>
      </c>
      <c r="FN166" s="39" t="s">
        <v>3072</v>
      </c>
      <c r="FQ166" s="40">
        <v>0.3745</v>
      </c>
      <c r="FR166" s="39" t="s">
        <v>3072</v>
      </c>
      <c r="FU166" s="40">
        <v>0.29820000000000002</v>
      </c>
      <c r="FV166" s="39" t="s">
        <v>2911</v>
      </c>
      <c r="FY166" s="40">
        <v>0.29010000000000002</v>
      </c>
      <c r="FZ166" s="39" t="s">
        <v>146</v>
      </c>
      <c r="GB166" s="39">
        <v>3</v>
      </c>
      <c r="GC166" s="39" t="s">
        <v>3075</v>
      </c>
      <c r="GG166" s="39" t="s">
        <v>3074</v>
      </c>
      <c r="GH166" s="39" t="s">
        <v>146</v>
      </c>
      <c r="GJ166" s="39">
        <f>IF(GK166="数据缺失",0,IF(GK166&lt;0%,0,IF(GK166&lt;=5%,4,IF(GK166&lt;10%,3,IF(GK166&lt;20%,2,1)))))</f>
        <v>4</v>
      </c>
      <c r="GK166" s="43">
        <f>GN166/GS166</f>
        <v>2.5781393592343819E-3</v>
      </c>
      <c r="GN166" s="39">
        <v>0.3</v>
      </c>
      <c r="GO166" s="39" t="s">
        <v>3076</v>
      </c>
      <c r="GP166" s="39" t="s">
        <v>3077</v>
      </c>
      <c r="GS166" s="69">
        <v>116.3629882634</v>
      </c>
      <c r="GT166" s="39" t="s">
        <v>1097</v>
      </c>
      <c r="GV166" s="39">
        <f>IF(GW166="数据缺失",0,IF(GW166&lt;20%,1,IF(GW166&lt;40%,2,IF(GW166&lt;60%,3,IF(GW166&lt;80%,4,IF(GW166&lt;=100%,5,0))))))</f>
        <v>3</v>
      </c>
      <c r="GW166" s="43">
        <f>HA166/HE166*100%</f>
        <v>0.41905325084381317</v>
      </c>
      <c r="HA166" s="39">
        <v>373.24</v>
      </c>
      <c r="HB166" s="39" t="s">
        <v>3078</v>
      </c>
      <c r="HE166" s="69">
        <v>890.67439340570013</v>
      </c>
      <c r="HF166" s="39" t="s">
        <v>285</v>
      </c>
      <c r="HH166" s="39">
        <f>IF(HI166="数据缺失",0,IF(HI166&lt;20%,1,IF(HI166&lt;40%,2,IF(HI166&lt;60%,3,IF(HI166&lt;80%,4,IF(HI166&lt;=100%,5,0))))))</f>
        <v>2</v>
      </c>
      <c r="HI166" s="43">
        <f>HM166/HQ166</f>
        <v>0.25935545520694397</v>
      </c>
      <c r="HM166" s="39">
        <v>41.32</v>
      </c>
      <c r="HN166" s="39" t="s">
        <v>146</v>
      </c>
      <c r="HQ166" s="69">
        <v>159.31802925459999</v>
      </c>
      <c r="HR166" s="39" t="s">
        <v>285</v>
      </c>
      <c r="HT166" s="39">
        <f>IF(HU166="数据缺失",0,IF(HU166&lt;5%,4,IF(HU166&lt;=10%,3,IF(HU166&lt;30%,2,IF(HU166&lt;=100%,1,0)))))</f>
        <v>4</v>
      </c>
      <c r="HU166" s="39">
        <f>HY166/IC166</f>
        <v>0</v>
      </c>
      <c r="HY166" s="39">
        <v>0</v>
      </c>
      <c r="HZ166" s="39" t="s">
        <v>146</v>
      </c>
      <c r="IC166" s="69">
        <v>149.10477392999999</v>
      </c>
      <c r="ID166" s="39" t="s">
        <v>3079</v>
      </c>
      <c r="IR166" s="39">
        <f>IF(IS166="数据缺失",0,IF(IS166&lt;0%,0,IF(IS166&lt;=100%,4,IF(IS166&lt;200%,3,IF(IS166&lt;300%,2,1)))))</f>
        <v>3</v>
      </c>
      <c r="IS166" s="43">
        <f>IW166/JA166</f>
        <v>1.3621646772446954</v>
      </c>
      <c r="IW166" s="39">
        <v>346</v>
      </c>
      <c r="IX166" s="39" t="s">
        <v>3072</v>
      </c>
      <c r="JA166" s="69">
        <v>254.0074675111</v>
      </c>
      <c r="JB166" s="39" t="s">
        <v>285</v>
      </c>
      <c r="JD166" s="39">
        <f>IF(JE166="数据缺失",0,IF(JE166&lt;0%,0,IF(JE166&lt;4%,1,IF(JE166&lt;6%,2,IF(JE166&lt;8%,3,4)))))</f>
        <v>4</v>
      </c>
      <c r="JE166" s="43">
        <f>JI166/JM166/(JQ166+JU166)*2</f>
        <v>8.8870569841224295E-2</v>
      </c>
      <c r="JI166" s="39">
        <v>25.55</v>
      </c>
      <c r="JJ166" s="39" t="s">
        <v>3063</v>
      </c>
      <c r="JM166" s="39">
        <v>0.71</v>
      </c>
      <c r="JN166" s="39" t="s">
        <v>3069</v>
      </c>
      <c r="JQ166" s="39">
        <v>457.73</v>
      </c>
      <c r="JR166" s="39" t="s">
        <v>3063</v>
      </c>
      <c r="JU166" s="39">
        <v>352.12</v>
      </c>
      <c r="JV166" s="39" t="s">
        <v>3064</v>
      </c>
      <c r="JX166" s="39">
        <v>2</v>
      </c>
      <c r="JY166" s="39" t="s">
        <v>1352</v>
      </c>
      <c r="KB166" s="39">
        <v>7</v>
      </c>
      <c r="KC166" s="39" t="s">
        <v>1352</v>
      </c>
      <c r="KD166" s="39" t="s">
        <v>146</v>
      </c>
      <c r="KF166" s="39">
        <f>IF(KG166="数据缺失",0,IF(KG166&lt;0%,0,IF(KG166&lt;20%,1,IF(KG166&lt;50%,2,IF(KG166&lt;100%,3,4)))))</f>
        <v>2</v>
      </c>
      <c r="KG166" s="43">
        <f>KK166/KO166</f>
        <v>0.30412491710159745</v>
      </c>
      <c r="KK166" s="39">
        <v>77.25</v>
      </c>
      <c r="KL166" s="39" t="s">
        <v>146</v>
      </c>
      <c r="KM166" s="39" t="s">
        <v>3080</v>
      </c>
      <c r="KO166" s="69">
        <v>254.0074675111</v>
      </c>
      <c r="KP166" s="39" t="s">
        <v>285</v>
      </c>
    </row>
    <row r="167" spans="2:302" s="67" customFormat="1" ht="17.25" hidden="1" customHeight="1" x14ac:dyDescent="0.35">
      <c r="B167" s="236" t="s">
        <v>3081</v>
      </c>
      <c r="C167" s="39" t="s">
        <v>3082</v>
      </c>
      <c r="D167" s="39" t="s">
        <v>3056</v>
      </c>
      <c r="E167" s="67" t="s">
        <v>3083</v>
      </c>
      <c r="F167" s="237" t="s">
        <v>3084</v>
      </c>
      <c r="G167" s="42" t="s">
        <v>163</v>
      </c>
      <c r="H167" s="120">
        <f>(168.16+3.23+3.14+0.2)/175.22</f>
        <v>0.99720351558041298</v>
      </c>
      <c r="L167" s="39">
        <v>4</v>
      </c>
      <c r="M167" s="39" t="s">
        <v>3085</v>
      </c>
      <c r="N167" s="39"/>
      <c r="O167" s="39"/>
      <c r="P167" s="39" t="s">
        <v>126</v>
      </c>
      <c r="Q167" s="39" t="s">
        <v>3086</v>
      </c>
      <c r="R167" s="39" t="s">
        <v>3087</v>
      </c>
      <c r="S167" s="39"/>
      <c r="T167" s="39" t="s">
        <v>129</v>
      </c>
      <c r="U167" s="40">
        <v>0.40970000000000001</v>
      </c>
      <c r="X167" s="39">
        <f>IF(Y167="数据缺失",0,IF(Y167&lt;-30%,6,IF(Y167&lt;-10%,5,IF(Y167&lt;0%,4,IF(Y167&lt;10%,3,IF(Y167&lt;30%,2,1))))))</f>
        <v>3</v>
      </c>
      <c r="Y167" s="43">
        <f>((AC167-AG167)/AG167+(AG167-AK167)/AK167)/2*100%</f>
        <v>2.9634209705384048E-2</v>
      </c>
      <c r="Z167" s="39"/>
      <c r="AA167" s="39"/>
      <c r="AB167" s="39"/>
      <c r="AC167" s="39">
        <v>211.41</v>
      </c>
      <c r="AD167" s="39" t="s">
        <v>550</v>
      </c>
      <c r="AE167" s="39"/>
      <c r="AF167" s="39"/>
      <c r="AG167" s="39">
        <v>196.7</v>
      </c>
      <c r="AH167" s="39" t="s">
        <v>550</v>
      </c>
      <c r="AI167" s="39"/>
      <c r="AJ167" s="39"/>
      <c r="AK167" s="39">
        <v>199.8</v>
      </c>
      <c r="AL167" s="39" t="s">
        <v>3088</v>
      </c>
      <c r="AN167" s="39">
        <f>IF(AO167="数据缺失",0,IF(AO167&lt;-30%,6,IF(AO167&lt;-10%,5,IF(AO167&lt;0%,4,IF(AO167&lt;10%,3,IF(AO167&lt;30%,2,1))))))</f>
        <v>3</v>
      </c>
      <c r="AO167" s="43">
        <f>((AS167-AW167)/AW167+(AW167-BA167)/BA167)/2*100%</f>
        <v>8.167524625312032E-3</v>
      </c>
      <c r="AP167" s="39"/>
      <c r="AQ167" s="39"/>
      <c r="AR167" s="39"/>
      <c r="AS167" s="39">
        <v>149.68</v>
      </c>
      <c r="AT167" s="39" t="s">
        <v>550</v>
      </c>
      <c r="AU167" s="39"/>
      <c r="AV167" s="39"/>
      <c r="AW167" s="39">
        <v>144.1</v>
      </c>
      <c r="AX167" s="39" t="s">
        <v>550</v>
      </c>
      <c r="AY167" s="39"/>
      <c r="AZ167" s="39"/>
      <c r="BA167" s="39">
        <v>147.4</v>
      </c>
      <c r="BB167" s="39" t="s">
        <v>550</v>
      </c>
      <c r="BD167" s="39">
        <f>IF(BE167="数据缺失",0,IF(BE167&lt;50,5,IF(BE167&lt;100,4,IF(BE167&lt;300,3,IF(BE167&lt;500,2,1)))))</f>
        <v>3</v>
      </c>
      <c r="BE167" s="39">
        <f>BI167</f>
        <v>211.41</v>
      </c>
      <c r="BF167" s="39"/>
      <c r="BG167" s="39"/>
      <c r="BH167" s="39"/>
      <c r="BI167" s="39">
        <f>AC167</f>
        <v>211.41</v>
      </c>
      <c r="BJ167" s="39" t="s">
        <v>3088</v>
      </c>
      <c r="BK167" s="39"/>
      <c r="BL167" s="39">
        <f>IF(BM167="数据缺失",0,IF(BM167&lt;50,5,IF(BM167&lt;100,4,IF(BM167&lt;300,3,IF(BM167&lt;500,2,1)))))</f>
        <v>3</v>
      </c>
      <c r="BM167" s="39">
        <f>BQ167</f>
        <v>149.68</v>
      </c>
      <c r="BN167" s="39"/>
      <c r="BO167" s="39"/>
      <c r="BP167" s="39"/>
      <c r="BQ167" s="39">
        <f>AS167</f>
        <v>149.68</v>
      </c>
      <c r="BR167" s="39" t="s">
        <v>550</v>
      </c>
      <c r="BT167" s="8">
        <f t="shared" si="210"/>
        <v>1</v>
      </c>
      <c r="BU167" s="39">
        <f>BY167</f>
        <v>18</v>
      </c>
      <c r="BV167" s="39"/>
      <c r="BW167" s="39"/>
      <c r="BX167" s="39"/>
      <c r="BY167" s="39">
        <v>18</v>
      </c>
      <c r="BZ167" s="76" t="s">
        <v>131</v>
      </c>
      <c r="CB167" s="39">
        <v>1</v>
      </c>
      <c r="CC167" s="39" t="s">
        <v>711</v>
      </c>
      <c r="CD167" s="39"/>
      <c r="CE167" s="39"/>
      <c r="CF167" s="39" t="s">
        <v>3089</v>
      </c>
      <c r="CG167" s="39" t="s">
        <v>3030</v>
      </c>
      <c r="CH167" s="39" t="s">
        <v>2120</v>
      </c>
      <c r="CI167" s="39"/>
      <c r="CJ167" s="39">
        <f>IF(CK167="数据缺失",0,IF(CK167&lt;0,0,IF(CK167&lt;2,2,IF(CK167&lt;=5,1,3))))</f>
        <v>2</v>
      </c>
      <c r="CK167" s="48">
        <f>CO167/CS167</f>
        <v>0.2050044936379547</v>
      </c>
      <c r="CL167" s="39"/>
      <c r="CM167" s="39"/>
      <c r="CN167" s="39"/>
      <c r="CO167" s="39">
        <v>43.34</v>
      </c>
      <c r="CP167" s="39" t="s">
        <v>146</v>
      </c>
      <c r="CQ167" s="39"/>
      <c r="CR167" s="39"/>
      <c r="CS167" s="39">
        <f t="shared" si="239"/>
        <v>211.41</v>
      </c>
      <c r="CT167" s="39" t="str">
        <f t="shared" si="239"/>
        <v>评级20160628</v>
      </c>
      <c r="CV167" s="39">
        <f>IF(CW167="数据缺失",0,IF(CW167&lt;0,0,IF(CW167&lt;100,5,IF(CW167&lt;500,4,IF(CW167&lt;1000,3,IF(CW167&lt;2000,2,1))))))</f>
        <v>3</v>
      </c>
      <c r="CW167" s="39">
        <f>DA167</f>
        <v>758.95</v>
      </c>
      <c r="CX167" s="39"/>
      <c r="CY167" s="39"/>
      <c r="CZ167" s="39"/>
      <c r="DA167" s="39">
        <v>758.95</v>
      </c>
      <c r="DB167" s="39" t="s">
        <v>550</v>
      </c>
      <c r="DC167" s="39" t="s">
        <v>3090</v>
      </c>
      <c r="DD167" s="39">
        <f>IF(DE167="数据缺失",0,IF(DE167&lt;0,0,IF(DE167&lt;2,3,IF(DE167&lt;=5,1,2))))</f>
        <v>2</v>
      </c>
      <c r="DE167" s="48">
        <f>DM167/DI167</f>
        <v>5.0704836985569219</v>
      </c>
      <c r="DF167" s="39"/>
      <c r="DG167" s="39"/>
      <c r="DH167" s="39"/>
      <c r="DI167" s="39">
        <f t="shared" si="240"/>
        <v>149.68</v>
      </c>
      <c r="DJ167" s="39" t="str">
        <f t="shared" si="240"/>
        <v>评级20160628</v>
      </c>
      <c r="DK167" s="39"/>
      <c r="DL167" s="39"/>
      <c r="DM167" s="118">
        <f t="shared" si="241"/>
        <v>758.95</v>
      </c>
      <c r="DN167" s="39" t="s">
        <v>3091</v>
      </c>
      <c r="DO167" s="39" t="s">
        <v>3092</v>
      </c>
      <c r="DP167" s="39">
        <v>2</v>
      </c>
      <c r="DQ167" s="39" t="s">
        <v>3093</v>
      </c>
      <c r="DR167" s="39" t="s">
        <v>550</v>
      </c>
      <c r="DS167" s="39"/>
      <c r="DT167" s="39"/>
      <c r="DU167" s="39" t="s">
        <v>297</v>
      </c>
      <c r="DV167" s="39"/>
      <c r="DW167" s="39"/>
      <c r="DX167" s="39"/>
      <c r="DY167" s="39" t="s">
        <v>297</v>
      </c>
      <c r="DZ167" s="39"/>
      <c r="EA167" s="39"/>
      <c r="EB167" s="39"/>
      <c r="EC167" s="39" t="s">
        <v>297</v>
      </c>
      <c r="ED167" s="39"/>
      <c r="EE167" s="39"/>
      <c r="EF167" s="39"/>
      <c r="EG167" s="39" t="s">
        <v>3071</v>
      </c>
      <c r="EJ167" s="39">
        <f>IF(EK167="数据缺失",0,IF(EK167&lt;0,0,IF(EK167&lt;=5,5,IF(EK167&lt;=20,4,IF(EK167&lt;=50,3,IF(EK167&lt;=100,2,1))))))</f>
        <v>1</v>
      </c>
      <c r="EK167" s="39">
        <f>EO167</f>
        <v>210.34</v>
      </c>
      <c r="EL167" s="39"/>
      <c r="EM167" s="39"/>
      <c r="EN167" s="39"/>
      <c r="EO167" s="39">
        <v>210.34</v>
      </c>
      <c r="EP167" s="39" t="s">
        <v>550</v>
      </c>
      <c r="EQ167" s="39"/>
      <c r="ER167" s="39">
        <f>IF(ES167="数据缺失",0,IF(ES167&lt;0,0,IF(ES167&lt;=5,5,IF(ES167&lt;=20,4,IF(ES167&lt;=50,3,IF(ES167&lt;=100,2,1))))))</f>
        <v>1</v>
      </c>
      <c r="ES167" s="39">
        <f>EW167</f>
        <v>197.92</v>
      </c>
      <c r="ET167" s="39"/>
      <c r="EU167" s="39"/>
      <c r="EV167" s="39"/>
      <c r="EW167" s="39">
        <v>197.92</v>
      </c>
      <c r="EX167" s="39" t="s">
        <v>3091</v>
      </c>
      <c r="EZ167" s="39">
        <f>IF(FA167="数据缺失",0,IF(FA167&lt;0%,0,IF(FA167&lt;=50,4,IF(FA167&lt;100,3,IF(FA167&lt;200,2,1)))))</f>
        <v>1</v>
      </c>
      <c r="FA167" s="39">
        <f>FE167</f>
        <v>548.69000000000005</v>
      </c>
      <c r="FB167" s="39"/>
      <c r="FC167" s="39"/>
      <c r="FD167" s="39"/>
      <c r="FE167" s="39">
        <v>548.69000000000005</v>
      </c>
      <c r="FF167" s="39" t="s">
        <v>3088</v>
      </c>
      <c r="FG167" s="39" t="s">
        <v>1395</v>
      </c>
      <c r="FH167" s="39">
        <v>2</v>
      </c>
      <c r="FI167" s="39" t="s">
        <v>3094</v>
      </c>
      <c r="FJ167" s="39" t="s">
        <v>550</v>
      </c>
      <c r="FK167" s="39"/>
      <c r="FL167" s="39"/>
      <c r="FM167" s="39" t="s">
        <v>297</v>
      </c>
      <c r="FN167" s="39"/>
      <c r="FO167" s="39"/>
      <c r="FP167" s="39"/>
      <c r="FQ167" s="39" t="s">
        <v>297</v>
      </c>
      <c r="FR167" s="39"/>
      <c r="FS167" s="39"/>
      <c r="FT167" s="39"/>
      <c r="FU167" s="39" t="s">
        <v>3071</v>
      </c>
      <c r="FV167" s="39"/>
      <c r="FW167" s="39"/>
      <c r="FX167" s="39"/>
      <c r="FY167" s="39" t="s">
        <v>297</v>
      </c>
      <c r="GB167" s="39">
        <v>2</v>
      </c>
      <c r="GC167" s="39" t="str">
        <f>GG167</f>
        <v>房地产销售：95.97%</v>
      </c>
      <c r="GD167" s="39"/>
      <c r="GE167" s="39"/>
      <c r="GF167" s="39"/>
      <c r="GG167" s="39" t="s">
        <v>3095</v>
      </c>
      <c r="GH167" s="39" t="s">
        <v>146</v>
      </c>
      <c r="GJ167" s="39">
        <f>IF(GK167="数据缺失",0,IF(GK167&lt;0%,0,IF(GK167&lt;=5%,4,IF(GK167&lt;10%,3,IF(GK167&lt;20%,2,1)))))</f>
        <v>4</v>
      </c>
      <c r="GK167" s="43">
        <f>GN167/GS167</f>
        <v>3.7496606194201379E-2</v>
      </c>
      <c r="GL167" s="39"/>
      <c r="GM167" s="39"/>
      <c r="GN167" s="39">
        <v>6.57</v>
      </c>
      <c r="GO167" s="39" t="s">
        <v>3096</v>
      </c>
      <c r="GP167" s="39" t="s">
        <v>146</v>
      </c>
      <c r="GQ167" s="39"/>
      <c r="GR167" s="39"/>
      <c r="GS167" s="69">
        <v>175.21585729580002</v>
      </c>
      <c r="GT167" s="39" t="s">
        <v>1097</v>
      </c>
      <c r="GV167" s="39">
        <f>IF(GW167="数据缺失",0,IF(GW167&lt;20%,1,IF(GW167&lt;40%,2,IF(GW167&lt;60%,3,IF(GW167&lt;80%,4,IF(GW167&lt;=100%,5,0))))))</f>
        <v>3</v>
      </c>
      <c r="GW167" s="43">
        <f>HA167/HE167*100%</f>
        <v>0.40207051808014516</v>
      </c>
      <c r="GX167" s="39"/>
      <c r="GY167" s="39"/>
      <c r="GZ167" s="39"/>
      <c r="HA167" s="39">
        <v>280.08</v>
      </c>
      <c r="HB167" s="39" t="s">
        <v>146</v>
      </c>
      <c r="HC167" s="39"/>
      <c r="HD167" s="39"/>
      <c r="HE167" s="69">
        <v>696.59422266859997</v>
      </c>
      <c r="HF167" s="39" t="s">
        <v>285</v>
      </c>
      <c r="HH167" s="39">
        <f>IF(HI167="数据缺失",0,IF(HI167&lt;20%,1,IF(HI167&lt;40%,2,IF(HI167&lt;60%,3,IF(HI167&lt;80%,4,IF(HI167&lt;=100%,5,0))))))</f>
        <v>1</v>
      </c>
      <c r="HI167" s="43">
        <f>HM167/HQ167</f>
        <v>0.14178617117966616</v>
      </c>
      <c r="HJ167" s="39"/>
      <c r="HK167" s="39"/>
      <c r="HL167" s="39"/>
      <c r="HM167" s="39">
        <v>11.13</v>
      </c>
      <c r="HN167" s="39" t="s">
        <v>146</v>
      </c>
      <c r="HO167" s="39"/>
      <c r="HP167" s="39"/>
      <c r="HQ167" s="69">
        <v>78.498487598599993</v>
      </c>
      <c r="HR167" s="39" t="s">
        <v>285</v>
      </c>
      <c r="HT167" s="67">
        <f>IF(HU167="数据缺失",0,IF(HU167&lt;5%,4,IF(HU167&lt;=10%,3,IF(HU167&lt;30%,2,IF(HU167&lt;=100%,1,0)))))</f>
        <v>0</v>
      </c>
      <c r="HU167" s="67" t="s">
        <v>297</v>
      </c>
      <c r="HY167" s="67" t="s">
        <v>3097</v>
      </c>
      <c r="HZ167" s="67" t="s">
        <v>146</v>
      </c>
      <c r="IA167" s="39"/>
      <c r="IB167" s="39"/>
      <c r="IC167" s="69">
        <v>117.0268864554</v>
      </c>
      <c r="ID167" s="39" t="s">
        <v>3098</v>
      </c>
      <c r="IG167" s="39"/>
      <c r="IR167" s="39">
        <f>IF(IS167="数据缺失",0,IF(IS167&lt;0%,0,IF(IS167&lt;=100%,4,IF(IS167&lt;200%,3,IF(IS167&lt;300%,2,1)))))</f>
        <v>1</v>
      </c>
      <c r="IS167" s="43">
        <f>IW167/JA167</f>
        <v>3.3808991579706946</v>
      </c>
      <c r="IT167" s="39"/>
      <c r="IU167" s="39"/>
      <c r="IV167" s="39"/>
      <c r="IW167" s="39">
        <v>489.39</v>
      </c>
      <c r="IX167" s="39" t="s">
        <v>146</v>
      </c>
      <c r="IY167" s="39"/>
      <c r="IZ167" s="39"/>
      <c r="JA167" s="69">
        <v>144.7514336079</v>
      </c>
      <c r="JB167" s="39" t="s">
        <v>3099</v>
      </c>
      <c r="JD167" s="39">
        <f>IF(JE167="数据缺失",0,IF(JE167&lt;0%,0,IF(JE167&lt;4%,1,IF(JE167&lt;6%,2,IF(JE167&lt;8%,3,4)))))</f>
        <v>3</v>
      </c>
      <c r="JE167" s="43">
        <f>JI167/JM167/(JQ167+JU167)*2</f>
        <v>6.4012713974873584E-2</v>
      </c>
      <c r="JF167" s="39"/>
      <c r="JG167" s="39"/>
      <c r="JH167" s="39"/>
      <c r="JI167" s="39">
        <v>25.73</v>
      </c>
      <c r="JJ167" s="39" t="s">
        <v>550</v>
      </c>
      <c r="JK167" s="39"/>
      <c r="JL167" s="39"/>
      <c r="JM167" s="39">
        <v>1.57</v>
      </c>
      <c r="JN167" s="39" t="s">
        <v>550</v>
      </c>
      <c r="JO167" s="39"/>
      <c r="JP167" s="39"/>
      <c r="JQ167" s="39">
        <v>266.01</v>
      </c>
      <c r="JR167" s="39" t="s">
        <v>550</v>
      </c>
      <c r="JS167" s="39"/>
      <c r="JT167" s="39"/>
      <c r="JU167" s="39">
        <v>246.03</v>
      </c>
      <c r="JV167" s="39" t="s">
        <v>550</v>
      </c>
      <c r="JX167" s="39">
        <v>1</v>
      </c>
      <c r="JY167" s="39" t="s">
        <v>305</v>
      </c>
      <c r="JZ167" s="39"/>
      <c r="KA167" s="39"/>
      <c r="KB167" s="39">
        <v>5</v>
      </c>
      <c r="KC167" s="39" t="s">
        <v>305</v>
      </c>
      <c r="KD167" s="39" t="s">
        <v>146</v>
      </c>
      <c r="KF167" s="39">
        <f>IF(KG167="数据缺失",0,IF(KG167&lt;0%,0,IF(KG167&lt;20%,1,IF(KG167&lt;50%,2,IF(KG167&lt;100%,3,4)))))</f>
        <v>1</v>
      </c>
      <c r="KG167" s="43">
        <f>KK167/KO167</f>
        <v>0.18839191654480239</v>
      </c>
      <c r="KH167" s="39"/>
      <c r="KI167" s="39"/>
      <c r="KJ167" s="39"/>
      <c r="KK167" s="39">
        <v>27.27</v>
      </c>
      <c r="KL167" s="39" t="s">
        <v>146</v>
      </c>
      <c r="KM167" s="39"/>
      <c r="KN167" s="39"/>
      <c r="KO167" s="69">
        <v>144.7514336079</v>
      </c>
      <c r="KP167" s="39" t="s">
        <v>285</v>
      </c>
    </row>
  </sheetData>
  <autoFilter ref="A3:KQ167">
    <filterColumn colId="39">
      <filters>
        <filter val="0"/>
        <filter val="6"/>
      </filters>
    </filterColumn>
  </autoFilter>
  <mergeCells count="184">
    <mergeCell ref="A1:A3"/>
    <mergeCell ref="B1:B3"/>
    <mergeCell ref="C1:C3"/>
    <mergeCell ref="D1:D3"/>
    <mergeCell ref="E1:E3"/>
    <mergeCell ref="H1:H3"/>
    <mergeCell ref="J1:J3"/>
    <mergeCell ref="K1:K3"/>
    <mergeCell ref="X1:AM1"/>
    <mergeCell ref="X2:X3"/>
    <mergeCell ref="Y2:Y3"/>
    <mergeCell ref="Z2:Z3"/>
    <mergeCell ref="AA2:AA3"/>
    <mergeCell ref="AB2:AE2"/>
    <mergeCell ref="AF2:AI2"/>
    <mergeCell ref="AJ2:AM2"/>
    <mergeCell ref="F1:F3"/>
    <mergeCell ref="G1:G3"/>
    <mergeCell ref="L1:W1"/>
    <mergeCell ref="L2:L3"/>
    <mergeCell ref="M2:M3"/>
    <mergeCell ref="N2:N3"/>
    <mergeCell ref="O2:O3"/>
    <mergeCell ref="P2:S2"/>
    <mergeCell ref="T2:W2"/>
    <mergeCell ref="BD1:BK1"/>
    <mergeCell ref="BD2:BD3"/>
    <mergeCell ref="BE2:BE3"/>
    <mergeCell ref="BF2:BF3"/>
    <mergeCell ref="BG2:BG3"/>
    <mergeCell ref="BH2:BK2"/>
    <mergeCell ref="AN1:BC1"/>
    <mergeCell ref="AN2:AN3"/>
    <mergeCell ref="AO2:AO3"/>
    <mergeCell ref="AP2:AP3"/>
    <mergeCell ref="AQ2:AQ3"/>
    <mergeCell ref="AR2:AU2"/>
    <mergeCell ref="AV2:AY2"/>
    <mergeCell ref="AZ2:BC2"/>
    <mergeCell ref="BT1:CA1"/>
    <mergeCell ref="BT2:BT3"/>
    <mergeCell ref="BU2:BU3"/>
    <mergeCell ref="BV2:BV3"/>
    <mergeCell ref="BW2:BW3"/>
    <mergeCell ref="BX2:CA2"/>
    <mergeCell ref="BL1:BS1"/>
    <mergeCell ref="BL2:BL3"/>
    <mergeCell ref="BM2:BM3"/>
    <mergeCell ref="BN2:BN3"/>
    <mergeCell ref="BO2:BO3"/>
    <mergeCell ref="BP2:BS2"/>
    <mergeCell ref="CJ1:CU1"/>
    <mergeCell ref="CJ2:CJ3"/>
    <mergeCell ref="CK2:CK3"/>
    <mergeCell ref="CL2:CL3"/>
    <mergeCell ref="CM2:CM3"/>
    <mergeCell ref="CN2:CQ2"/>
    <mergeCell ref="CR2:CU2"/>
    <mergeCell ref="CB1:CI1"/>
    <mergeCell ref="CB2:CB3"/>
    <mergeCell ref="CC2:CC3"/>
    <mergeCell ref="CD2:CD3"/>
    <mergeCell ref="CE2:CE3"/>
    <mergeCell ref="CF2:CI2"/>
    <mergeCell ref="DD1:DO1"/>
    <mergeCell ref="DD2:DD3"/>
    <mergeCell ref="DE2:DE3"/>
    <mergeCell ref="DF2:DF3"/>
    <mergeCell ref="DG2:DG3"/>
    <mergeCell ref="DH2:DK2"/>
    <mergeCell ref="DL2:DO2"/>
    <mergeCell ref="CV1:DC1"/>
    <mergeCell ref="CV2:CV3"/>
    <mergeCell ref="CW2:CW3"/>
    <mergeCell ref="CX2:CX3"/>
    <mergeCell ref="CY2:CY3"/>
    <mergeCell ref="CZ2:DC2"/>
    <mergeCell ref="ER1:EY1"/>
    <mergeCell ref="ER2:ER3"/>
    <mergeCell ref="ES2:ES3"/>
    <mergeCell ref="ET2:ET3"/>
    <mergeCell ref="EU2:EU3"/>
    <mergeCell ref="EV2:EY2"/>
    <mergeCell ref="EB2:EE2"/>
    <mergeCell ref="EF2:EI2"/>
    <mergeCell ref="DP1:EI1"/>
    <mergeCell ref="EJ1:EQ1"/>
    <mergeCell ref="EJ2:EJ3"/>
    <mergeCell ref="EK2:EK3"/>
    <mergeCell ref="EL2:EL3"/>
    <mergeCell ref="EM2:EM3"/>
    <mergeCell ref="EN2:EQ2"/>
    <mergeCell ref="DP2:DP3"/>
    <mergeCell ref="DQ2:DQ3"/>
    <mergeCell ref="DR2:DR3"/>
    <mergeCell ref="DS2:DS3"/>
    <mergeCell ref="DT2:DW2"/>
    <mergeCell ref="DX2:EA2"/>
    <mergeCell ref="FI2:FI3"/>
    <mergeCell ref="FJ2:FJ3"/>
    <mergeCell ref="FK2:FK3"/>
    <mergeCell ref="FH1:GA1"/>
    <mergeCell ref="FH2:FH3"/>
    <mergeCell ref="FL2:FO2"/>
    <mergeCell ref="FP2:FS2"/>
    <mergeCell ref="EZ1:FG1"/>
    <mergeCell ref="EZ2:EZ3"/>
    <mergeCell ref="FA2:FA3"/>
    <mergeCell ref="FB2:FB3"/>
    <mergeCell ref="FC2:FC3"/>
    <mergeCell ref="FD2:FG2"/>
    <mergeCell ref="GJ1:GU1"/>
    <mergeCell ref="GJ2:GJ3"/>
    <mergeCell ref="GK2:GK3"/>
    <mergeCell ref="GL2:GL3"/>
    <mergeCell ref="GM2:GM3"/>
    <mergeCell ref="GN2:GQ2"/>
    <mergeCell ref="GR2:GU2"/>
    <mergeCell ref="FT2:FW2"/>
    <mergeCell ref="FX2:GA2"/>
    <mergeCell ref="GB1:GI1"/>
    <mergeCell ref="GB2:GB3"/>
    <mergeCell ref="GC2:GC3"/>
    <mergeCell ref="GD2:GD3"/>
    <mergeCell ref="GE2:GE3"/>
    <mergeCell ref="GF2:GI2"/>
    <mergeCell ref="HT2:HT3"/>
    <mergeCell ref="HU2:HU3"/>
    <mergeCell ref="JX1:KE1"/>
    <mergeCell ref="KF1:KQ1"/>
    <mergeCell ref="GV2:GV3"/>
    <mergeCell ref="GW2:GW3"/>
    <mergeCell ref="GX2:GX3"/>
    <mergeCell ref="GY2:GY3"/>
    <mergeCell ref="GZ2:HC2"/>
    <mergeCell ref="HD2:HG2"/>
    <mergeCell ref="HH2:HH3"/>
    <mergeCell ref="HI2:HI3"/>
    <mergeCell ref="GV1:HG1"/>
    <mergeCell ref="HH1:HS1"/>
    <mergeCell ref="HT1:IE1"/>
    <mergeCell ref="IF1:IQ1"/>
    <mergeCell ref="IR1:JC1"/>
    <mergeCell ref="IH2:IH3"/>
    <mergeCell ref="II2:II3"/>
    <mergeCell ref="JE2:JE3"/>
    <mergeCell ref="KJ2:KM2"/>
    <mergeCell ref="KN2:KQ2"/>
    <mergeCell ref="JY2:JY3"/>
    <mergeCell ref="JZ2:JZ3"/>
    <mergeCell ref="KA2:KA3"/>
    <mergeCell ref="KB2:KE2"/>
    <mergeCell ref="KF2:KF3"/>
    <mergeCell ref="KG2:KG3"/>
    <mergeCell ref="JF2:JF3"/>
    <mergeCell ref="JG2:JG3"/>
    <mergeCell ref="JH2:JK2"/>
    <mergeCell ref="JL2:JO2"/>
    <mergeCell ref="JP2:JS2"/>
    <mergeCell ref="JX2:JX3"/>
    <mergeCell ref="IS2:IS3"/>
    <mergeCell ref="IR2:IR3"/>
    <mergeCell ref="HW2:HW3"/>
    <mergeCell ref="HV2:HV3"/>
    <mergeCell ref="JT2:JW2"/>
    <mergeCell ref="JD1:JW1"/>
    <mergeCell ref="I1:I3"/>
    <mergeCell ref="KH2:KH3"/>
    <mergeCell ref="KI2:KI3"/>
    <mergeCell ref="IT2:IT3"/>
    <mergeCell ref="IU2:IU3"/>
    <mergeCell ref="IV2:IY2"/>
    <mergeCell ref="IZ2:JC2"/>
    <mergeCell ref="JD2:JD3"/>
    <mergeCell ref="IJ2:IM2"/>
    <mergeCell ref="IN2:IQ2"/>
    <mergeCell ref="HX2:IA2"/>
    <mergeCell ref="IB2:IE2"/>
    <mergeCell ref="IF2:IF3"/>
    <mergeCell ref="IG2:IG3"/>
    <mergeCell ref="HJ2:HJ3"/>
    <mergeCell ref="HK2:HK3"/>
    <mergeCell ref="HL2:HO2"/>
    <mergeCell ref="HP2:HS2"/>
  </mergeCells>
  <phoneticPr fontId="13" type="noConversion"/>
  <dataValidations count="6">
    <dataValidation type="list" allowBlank="1" showInputMessage="1" showErrorMessage="1" sqref="P4">
      <formula1>#REF!</formula1>
    </dataValidation>
    <dataValidation type="list" allowBlank="1" showInputMessage="1" showErrorMessage="1" sqref="T4">
      <formula1>#REF!</formula1>
    </dataValidation>
    <dataValidation type="list" allowBlank="1" showInputMessage="1" showErrorMessage="1" sqref="T5:T69">
      <formula1>#REF!</formula1>
    </dataValidation>
    <dataValidation type="list" allowBlank="1" showInputMessage="1" showErrorMessage="1" sqref="CF4">
      <formula1>#REF!</formula1>
    </dataValidation>
    <dataValidation type="list" allowBlank="1" showInputMessage="1" showErrorMessage="1" sqref="IJ4:IK4">
      <formula1>#REF!</formula1>
    </dataValidation>
    <dataValidation type="list" allowBlank="1" showInputMessage="1" showErrorMessage="1" sqref="IN4">
      <formula1>#REF!</formula1>
    </dataValidation>
  </dataValidations>
  <hyperlinks>
    <hyperlink ref="BZ4" r:id="rId1" display="http://www.fangchan.com/zt/top500/2016"/>
    <hyperlink ref="BZ38" r:id="rId2"/>
    <hyperlink ref="BZ44" r:id="rId3" display="http://www.fangchan.com/zt/top500/2016"/>
    <hyperlink ref="BZ37" r:id="rId4"/>
    <hyperlink ref="BZ22" r:id="rId5"/>
    <hyperlink ref="BZ24" r:id="rId6" display="http://www.fangchan.com/zt/top500/2015"/>
    <hyperlink ref="BZ28" r:id="rId7" display="http://www.fangchan.com/zt/top500/2016"/>
    <hyperlink ref="BZ15" r:id="rId8"/>
    <hyperlink ref="BZ16" r:id="rId9"/>
    <hyperlink ref="CH51" r:id="rId10"/>
    <hyperlink ref="BZ54" r:id="rId11" display="http://www.fangchan.com/zt/top500/2016"/>
    <hyperlink ref="CH54" r:id="rId12"/>
    <hyperlink ref="CH55" r:id="rId13"/>
    <hyperlink ref="BZ57" r:id="rId14"/>
    <hyperlink ref="BZ69" r:id="rId15"/>
    <hyperlink ref="CH48:CH49" r:id="rId16" display="http://219.142.101.72/showcorpinfo/showcorpinfo.aspx"/>
    <hyperlink ref="BZ70" r:id="rId17" display="http://www.fangchan.com/zt/top500/2016"/>
    <hyperlink ref="BZ71" r:id="rId18"/>
    <hyperlink ref="BZ72" r:id="rId19" display="http://www.fangchan.com/zt/top500/2016"/>
    <hyperlink ref="BZ78" r:id="rId20" display="http://www.fangchan.com/zt/top500/2016"/>
    <hyperlink ref="CH78" r:id="rId21"/>
    <hyperlink ref="BZ82" r:id="rId22" display="http://www.fangchan.com/zt/top500/2016"/>
    <hyperlink ref="BZ83" r:id="rId23"/>
    <hyperlink ref="BZ85" r:id="rId24"/>
    <hyperlink ref="BZ90" r:id="rId25"/>
    <hyperlink ref="CH90" r:id="rId26"/>
    <hyperlink ref="BZ93" r:id="rId27"/>
    <hyperlink ref="BZ101" r:id="rId28"/>
    <hyperlink ref="BZ102" r:id="rId29"/>
    <hyperlink ref="BZ108" r:id="rId30"/>
    <hyperlink ref="BZ109" r:id="rId31"/>
    <hyperlink ref="BZ110" r:id="rId32" display="http://www.fangchan.com/zt/top500/2016"/>
    <hyperlink ref="CH110" r:id="rId33"/>
    <hyperlink ref="BZ111" r:id="rId34"/>
    <hyperlink ref="BZ112" r:id="rId35"/>
    <hyperlink ref="BZ113" r:id="rId36" display="http://www.fangchan.com/zt/top500/2016"/>
    <hyperlink ref="CH113" r:id="rId37"/>
    <hyperlink ref="BZ115" r:id="rId38"/>
    <hyperlink ref="BZ116" r:id="rId39"/>
    <hyperlink ref="CH116" r:id="rId40"/>
    <hyperlink ref="BZ118" r:id="rId41"/>
    <hyperlink ref="CH119" r:id="rId42"/>
    <hyperlink ref="BZ120" r:id="rId43"/>
    <hyperlink ref="BZ123" r:id="rId44"/>
    <hyperlink ref="BZ135" r:id="rId45"/>
    <hyperlink ref="BZ138" r:id="rId46"/>
    <hyperlink ref="CH138" r:id="rId47"/>
    <hyperlink ref="CH140" r:id="rId48"/>
    <hyperlink ref="BZ141" r:id="rId49"/>
    <hyperlink ref="CH141" r:id="rId50"/>
    <hyperlink ref="CH142" r:id="rId51"/>
    <hyperlink ref="BZ139" r:id="rId52"/>
    <hyperlink ref="BZ143" r:id="rId53"/>
    <hyperlink ref="BZ144" r:id="rId54"/>
    <hyperlink ref="BZ146" r:id="rId55"/>
    <hyperlink ref="BZ25" r:id="rId56" display="http://www.fangchan.com/zt/top500/2016"/>
    <hyperlink ref="CH156" r:id="rId57"/>
    <hyperlink ref="BZ157" r:id="rId58" tooltip="http://www.fangchan.com/zt/top500/2016"/>
    <hyperlink ref="BZ161" r:id="rId59" tooltip="http://www.fangchan.com/zt/top500/2016"/>
    <hyperlink ref="BZ163" r:id="rId60" tooltip="http://www.fangchan.com/zt/top500/2016"/>
    <hyperlink ref="BZ164" r:id="rId61" display="http://www.fangchan.com/zt/top500/2016"/>
    <hyperlink ref="BZ165" r:id="rId62"/>
    <hyperlink ref="BZ166" r:id="rId63" display="http://www.fangchan.com/zt/top500/2016"/>
    <hyperlink ref="BZ167" r:id="rId64" display="http://www.fangchan.com/zt/top500/2016"/>
  </hyperlinks>
  <pageMargins left="0.7" right="0.7" top="0.75" bottom="0.75" header="0.3" footer="0.3"/>
  <pageSetup paperSize="9" orientation="portrait" horizontalDpi="1200" verticalDpi="1200" r:id="rId65"/>
  <extLst>
    <ext xmlns:x14="http://schemas.microsoft.com/office/spreadsheetml/2009/9/main" uri="{CCE6A557-97BC-4b89-ADB6-D9C93CAAB3DF}">
      <x14:dataValidations xmlns:xm="http://schemas.microsoft.com/office/excel/2006/main" count="40">
        <x14:dataValidation type="list" allowBlank="1" showInputMessage="1" showErrorMessage="1">
          <x14:formula1>
            <xm:f>'C:\Users\CSCI\AppData\Local\Temp\Rar$DIa0.629\[房地产_20170303_杨凤.xlsx]dropdown'!#REF!</xm:f>
          </x14:formula1>
          <xm:sqref>IJ30:IK30 IN30 P26 CF26 CF28:CF30 P29:P30</xm:sqref>
        </x14:dataValidation>
        <x14:dataValidation type="list" allowBlank="1" showInputMessage="1" showErrorMessage="1">
          <x14:formula1>
            <xm:f>[房地产_20170306_杨凤.xlsx]dropdown!#REF!</xm:f>
          </x14:formula1>
          <xm:sqref>CF31:CF33 IJ35:IK35 P31:P33 IJ31:IK31 IJ33:IK33 IN33 P35 IN35</xm:sqref>
        </x14:dataValidation>
        <x14:dataValidation type="list" allowBlank="1" showInputMessage="1" showErrorMessage="1">
          <x14:formula1>
            <xm:f>'C:\Users\CSCI\Desktop\[房地产收数模板.xlsx]dropdown'!#REF!</xm:f>
          </x14:formula1>
          <xm:sqref>IN7 IJ7:IK7 IN9:IN10 P13:P14 P8:P11 IJ5:IK5 IN5</xm:sqref>
        </x14:dataValidation>
        <x14:dataValidation type="list" allowBlank="1" showInputMessage="1" showErrorMessage="1">
          <x14:formula1>
            <xm:f>'C:\Users\CSCI\Documents\我接收到的文件\[房地产-20170306-黄梦瑶.xlsx]dropdown'!#REF!</xm:f>
          </x14:formula1>
          <xm:sqref>CF42</xm:sqref>
        </x14:dataValidation>
        <x14:dataValidation type="list" allowBlank="1" showInputMessage="1" showErrorMessage="1">
          <x14:formula1>
            <xm:f>'C:\Users\CSCI\Documents\我接收到的文件\[CSDC_IRB_指标长清单_V02(1).xlsx]dropdown'!#REF!</xm:f>
          </x14:formula1>
          <xm:sqref>IJ9:IJ10</xm:sqref>
        </x14:dataValidation>
        <x14:dataValidation type="list" allowBlank="1" showInputMessage="1" showErrorMessage="1">
          <x14:formula1>
            <xm:f>'C:\Users\CSCI\AppData\Local\Temp\Rar$DIa0.115\[房地产-20170308-黄梦瑶.xlsx]dropdown'!#REF!</xm:f>
          </x14:formula1>
          <xm:sqref>CF50 P50:P51 CF54:CF55</xm:sqref>
        </x14:dataValidation>
        <x14:dataValidation type="list" allowBlank="1" showInputMessage="1" showErrorMessage="1">
          <x14:formula1>
            <xm:f>'C:\Users\shoushu\Desktop\[CSDC_IRB_指标长清单_V03.xlsx]dropdown'!#REF!</xm:f>
          </x14:formula1>
          <xm:sqref>CF58:CF62 IN115</xm:sqref>
        </x14:dataValidation>
        <x14:dataValidation type="list" allowBlank="1" showInputMessage="1" showErrorMessage="1">
          <x14:formula1>
            <xm:f>'C:\Users\shoushu\Desktop\冯羽\[冯羽房地产.xlsx]股权'!#REF!</xm:f>
          </x14:formula1>
          <xm:sqref>CF57 T90 T92:T93 T87</xm:sqref>
        </x14:dataValidation>
        <x14:dataValidation type="list" allowBlank="1" showInputMessage="1" showErrorMessage="1">
          <x14:formula1>
            <xm:f>'C:\Users\shoushu\Desktop\[房地产冯羽.xlsx]dropdown'!#REF!</xm:f>
          </x14:formula1>
          <xm:sqref>CF68:CG68 CF64 T91 T99 T86 CF165 CF151 CF132 T124 CF125 T107</xm:sqref>
        </x14:dataValidation>
        <x14:dataValidation type="list" allowBlank="1" showInputMessage="1" showErrorMessage="1">
          <x14:formula1>
            <xm:f>'C:\Users\CSCI\AppData\Local\Temp\Rar$DIa0.614\[房地产--20170310--杨凤.xlsx]dropdown'!#REF!</xm:f>
          </x14:formula1>
          <xm:sqref>P64:P66 P88 CF88 P73:P77 T73:T77 CF73:CF77</xm:sqref>
        </x14:dataValidation>
        <x14:dataValidation type="list" allowBlank="1" showInputMessage="1" showErrorMessage="1">
          <x14:formula1>
            <xm:f>'C:\Users\CSCI\AppData\Local\Temp\Rar$DIa0.908\[房地产-20170309-黄梦瑶.xlsx]dropdown'!#REF!</xm:f>
          </x14:formula1>
          <xm:sqref>P69 CF69 P70:P71 T70:T71 CF70:CF71</xm:sqref>
        </x14:dataValidation>
        <x14:dataValidation type="list" allowBlank="1" showInputMessage="1" showErrorMessage="1">
          <x14:formula1>
            <xm:f>'C:\Users\CSCI\AppData\Local\Temp\Rar$DIa0.292\[房地产-20170311-黄梦瑶.xlsx]dropdown'!#REF!</xm:f>
          </x14:formula1>
          <xm:sqref>T78:T79 P89 T89</xm:sqref>
        </x14:dataValidation>
        <x14:dataValidation type="list" allowBlank="1" showInputMessage="1" showErrorMessage="1">
          <x14:formula1>
            <xm:f>'C:\Users\CSCI\Documents\我接收到的文件\[房地产-20170313-黄梦瑶.xlsx]dropdown'!#REF!</xm:f>
          </x14:formula1>
          <xm:sqref>T82:T85 P99 P82:P85 P90:P91 CF82:CF85</xm:sqref>
        </x14:dataValidation>
        <x14:dataValidation type="list" allowBlank="1" showInputMessage="1" showErrorMessage="1">
          <x14:formula1>
            <xm:f>'C:\Users\CSCI\AppData\Local\Temp\Rar$DIa0.961\[房地产--2017.3.13--杨凤.xlsx]dropdown'!#REF!</xm:f>
          </x14:formula1>
          <xm:sqref>T94:T98 P94:P98 P100 T100 P106 T106</xm:sqref>
        </x14:dataValidation>
        <x14:dataValidation type="list" allowBlank="1" showInputMessage="1" showErrorMessage="1">
          <x14:formula1>
            <xm:f>'C:\Users\CSCI\Documents\我接收到的文件\[CSDC_IRB_指标长清单_V03+.xlsx]dropdown'!#REF!</xm:f>
          </x14:formula1>
          <xm:sqref>T101:T102</xm:sqref>
        </x14:dataValidation>
        <x14:dataValidation type="list" allowBlank="1" showInputMessage="1" showErrorMessage="1">
          <x14:formula1>
            <xm:f>'E:\20170314下班前桌面\[CSDC_IRB_指标长清单_V03 0314.xlsx]dropdown'!#REF!</xm:f>
          </x14:formula1>
          <xm:sqref>CF101 P101:P104 T103:T104 CF103:CF104 CF116:CF119 T117 P117 P119 T119 T114 P112 T112</xm:sqref>
        </x14:dataValidation>
        <x14:dataValidation type="list" allowBlank="1" showInputMessage="1" showErrorMessage="1">
          <x14:formula1>
            <xm:f>'C:\Users\CSCI\Documents\我接收到的文件\[CSDC_IRB_指标长清单_V03++.xlsx]dropdown'!#REF!</xm:f>
          </x14:formula1>
          <xm:sqref>CF102</xm:sqref>
        </x14:dataValidation>
        <x14:dataValidation type="list" allowBlank="1" showInputMessage="1" showErrorMessage="1">
          <x14:formula1>
            <xm:f>'C:\Users\CSCI\Documents\我接收到的文件\[房地产20170317黄梦瑶.xlsx]dropdown'!#REF!</xm:f>
          </x14:formula1>
          <xm:sqref>P105</xm:sqref>
        </x14:dataValidation>
        <x14:dataValidation type="list" allowBlank="1" showInputMessage="1" showErrorMessage="1">
          <x14:formula1>
            <xm:f>'C:\Users\chinacsci\Desktop\[房地产--2017.3.14--杨凤.xlsx]dropdown'!#REF!</xm:f>
          </x14:formula1>
          <xm:sqref>T105 T121:T123</xm:sqref>
        </x14:dataValidation>
        <x14:dataValidation type="list" allowBlank="1" showInputMessage="1" showErrorMessage="1">
          <x14:formula1>
            <xm:f>'C:\Users\CSCI\Desktop\[房地产-20170313-黄梦瑶.xlsx]dropdown'!#REF!</xm:f>
          </x14:formula1>
          <xm:sqref>CF109 T109:T110 CF120</xm:sqref>
        </x14:dataValidation>
        <x14:dataValidation type="list" allowBlank="1" showInputMessage="1" showErrorMessage="1">
          <x14:formula1>
            <xm:f>'E:\参考资料\4. 数据采集表格\[CSDC_IRB_指标长清单_V03 20170313更换至0314.xlsx]dropdown'!#REF!</xm:f>
          </x14:formula1>
          <xm:sqref>CF112</xm:sqref>
        </x14:dataValidation>
        <x14:dataValidation type="list" allowBlank="1" showInputMessage="1" showErrorMessage="1">
          <x14:formula1>
            <xm:f>'C:\Users\CSCI\AppData\Local\Temp\Rar$DIa0.092\[房地产20170315黄梦瑶.xlsx]dropdown'!#REF!</xm:f>
          </x14:formula1>
          <xm:sqref>P114 T113</xm:sqref>
        </x14:dataValidation>
        <x14:dataValidation type="list" allowBlank="1" showInputMessage="1" showErrorMessage="1">
          <x14:formula1>
            <xm:f>'C:\Users\CSCI\AppData\Local\Temp\Rar$DIa0.659\[房地产20170316黄梦瑶.xlsx]dropdown'!#REF!</xm:f>
          </x14:formula1>
          <xm:sqref>T116 P116 P120 T120</xm:sqref>
        </x14:dataValidation>
        <x14:dataValidation type="list" allowBlank="1" showInputMessage="1" showErrorMessage="1">
          <x14:formula1>
            <xm:f>'E:\[CSDC_IRB_指标长清单_V03 0317.xlsx]dropdown'!#REF!</xm:f>
          </x14:formula1>
          <xm:sqref>P118 T118 CF140:CF142 T140 T143:T144 P144 CF144</xm:sqref>
        </x14:dataValidation>
        <x14:dataValidation type="list" allowBlank="1" showInputMessage="1" showErrorMessage="1">
          <x14:formula1>
            <xm:f>'C:\Users\CSCI\AppData\Local\Temp\Rar$DIa0.325\[房地产审核.xlsx]dropdown'!#REF!</xm:f>
          </x14:formula1>
          <xm:sqref>P121:P123</xm:sqref>
        </x14:dataValidation>
        <x14:dataValidation type="list" allowBlank="1" showInputMessage="1" showErrorMessage="1">
          <x14:formula1>
            <xm:f>'C:\Users\CSCI\AppData\Local\Temp\Rar$DIa0.172\[房地产冯羽20170314.xlsx]dropdown'!#REF!</xm:f>
          </x14:formula1>
          <xm:sqref>CF124 CF126 T126</xm:sqref>
        </x14:dataValidation>
        <x14:dataValidation type="list" allowBlank="1" showInputMessage="1" showErrorMessage="1">
          <x14:formula1>
            <xm:f>'C:\Users\CSCI\AppData\Local\Temp\Rar$DIa0.382\[房地产_2017.3.16_杨凤.xlsx]dropdown'!#REF!</xm:f>
          </x14:formula1>
          <xm:sqref>T125 P128:P133 T128:T133 CF130:CF131 CF133</xm:sqref>
        </x14:dataValidation>
        <x14:dataValidation type="list" allowBlank="1" showInputMessage="1" showErrorMessage="1">
          <x14:formula1>
            <xm:f>'C:\Users\CSCI\AppData\Local\Temp\Rar$DIa0.365\[房地产20170318黄梦瑶.xlsx]dropdown'!#REF!</xm:f>
          </x14:formula1>
          <xm:sqref>T134 P134 T136:T137 P136:P137</xm:sqref>
        </x14:dataValidation>
        <x14:dataValidation type="list" allowBlank="1" showInputMessage="1" showErrorMessage="1">
          <x14:formula1>
            <xm:f>'[CSDC_IRB_指标长清单_V03 0316.xlsx]dropdown'!#REF!</xm:f>
          </x14:formula1>
          <xm:sqref>P135 T135 CF134:CF135 CF138:CF139 P138 T138:T139</xm:sqref>
        </x14:dataValidation>
        <x14:dataValidation type="list" allowBlank="1" showInputMessage="1" showErrorMessage="1">
          <x14:formula1>
            <xm:f>'C:\Users\CSCI\AppData\Local\Temp\Rar$DIa0.147\[房地产20170318黄梦瑶.xlsx]dropdown'!#REF!</xm:f>
          </x14:formula1>
          <xm:sqref>T141:T142</xm:sqref>
        </x14:dataValidation>
        <x14:dataValidation type="list" allowBlank="1" showInputMessage="1" showErrorMessage="1">
          <x14:formula1>
            <xm:f>[房地产审核_20170320.xlsx]dropdown!#REF!</xm:f>
          </x14:formula1>
          <xm:sqref>T148:T150 T145:T146 CF145:CF150 P145:P149</xm:sqref>
        </x14:dataValidation>
        <x14:dataValidation type="list" allowBlank="1" showInputMessage="1" showErrorMessage="1">
          <x14:formula1>
            <xm:f>'C:\Users\CSCI\AppData\Local\Temp\Rar$DIa0.618\[房地产_2017.3.17_杨凤.xlsx]dropdown'!#REF!</xm:f>
          </x14:formula1>
          <xm:sqref>T147</xm:sqref>
        </x14:dataValidation>
        <x14:dataValidation type="list" allowBlank="1" showInputMessage="1" showErrorMessage="1">
          <x14:formula1>
            <xm:f>'C:\Users\CSCI\AppData\Local\Temp\Rar$DIa0.308\[房地产_20170318_杨凤.xlsx]dropdown'!#REF!</xm:f>
          </x14:formula1>
          <xm:sqref>T151 T153 CF152:CF155 P151 P153 T156 T160 T162</xm:sqref>
        </x14:dataValidation>
        <x14:dataValidation type="list" allowBlank="1" showInputMessage="1" showErrorMessage="1">
          <x14:formula1>
            <xm:f>'E:\数据收集\2. 审核\3. 20170322审核资料\1. 审核初始资料\0. 被审核人数据资料\房地产审核20170321_596-609\[房地产审核_20170321.xlsx]dropdown'!#REF!</xm:f>
          </x14:formula1>
          <xm:sqref>T152</xm:sqref>
        </x14:dataValidation>
        <x14:dataValidation type="list" allowBlank="1" showInputMessage="1" showErrorMessage="1">
          <x14:formula1>
            <xm:f>'C:\Users\CSCI\AppData\Local\Temp\Rar$DIa0.012\[房地产冯羽20170318.xlsx]dropdown'!#REF!</xm:f>
          </x14:formula1>
          <xm:sqref>P154:P155 T154:T155 P152</xm:sqref>
        </x14:dataValidation>
        <x14:dataValidation type="list" allowBlank="1" showInputMessage="1" showErrorMessage="1">
          <x14:formula1>
            <xm:f>'C:\Users\CSCI\AppData\Local\Temp\Rar$DIa0.850\[房地产冯羽20170328.xlsx]dropdown'!#REF!</xm:f>
          </x14:formula1>
          <xm:sqref>CF162</xm:sqref>
        </x14:dataValidation>
        <x14:dataValidation type="list" allowBlank="1" showInputMessage="1" showErrorMessage="1">
          <x14:formula1>
            <xm:f>'C:\Users\chinacsci\Desktop\房地产\房地产_2017.3.18_杨凤\[房地产_20170318_杨凤.xlsx]dropdown'!#REF!</xm:f>
          </x14:formula1>
          <xm:sqref>CF160</xm:sqref>
        </x14:dataValidation>
        <x14:dataValidation type="list" allowBlank="1" showInputMessage="1" showErrorMessage="1">
          <x14:formula1>
            <xm:f>'C:\Users\CSCI\AppData\Local\Temp\Rar$DIa0.667\[房地产冯羽20170328.xlsx]dropdown'!#REF!</xm:f>
          </x14:formula1>
          <xm:sqref>CF158</xm:sqref>
        </x14:dataValidation>
        <x14:dataValidation type="list" allowBlank="1" showInputMessage="1" showErrorMessage="1">
          <x14:formula1>
            <xm:f>[Att7EA4.tmp.xlsx]dropdown!#REF!</xm:f>
          </x14:formula1>
          <xm:sqref>P157 T157 CF157 CF161 P161 P163 CF163 P164 T164 CF164 P166:P167 T166:T167 CF167</xm:sqref>
        </x14:dataValidation>
        <x14:dataValidation type="list" allowBlank="1" showInputMessage="1" showErrorMessage="1">
          <x14:formula1>
            <xm:f>'[房地产冯羽20170328（1）.xlsx]dropdown'!#REF!</xm:f>
          </x14:formula1>
          <xm:sqref>CF156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Y7"/>
  <sheetViews>
    <sheetView tabSelected="1" workbookViewId="0">
      <selection activeCell="G16" sqref="G16"/>
    </sheetView>
  </sheetViews>
  <sheetFormatPr defaultRowHeight="14" x14ac:dyDescent="0.3"/>
  <cols>
    <col min="7" max="7" width="16.1640625" customWidth="1"/>
    <col min="8" max="8" width="14.58203125" customWidth="1"/>
  </cols>
  <sheetData>
    <row r="1" spans="1:389" s="8" customFormat="1" ht="15" customHeight="1" x14ac:dyDescent="0.35">
      <c r="A1" s="269" t="s">
        <v>3113</v>
      </c>
      <c r="B1" s="269" t="s">
        <v>3139</v>
      </c>
      <c r="C1" s="267" t="s">
        <v>3140</v>
      </c>
      <c r="D1" s="267" t="s">
        <v>3141</v>
      </c>
      <c r="E1" s="267" t="s">
        <v>3142</v>
      </c>
      <c r="F1" s="267" t="s">
        <v>3143</v>
      </c>
      <c r="G1" s="267" t="s">
        <v>58</v>
      </c>
      <c r="H1" s="268" t="s">
        <v>3144</v>
      </c>
      <c r="I1" s="267" t="s">
        <v>3145</v>
      </c>
      <c r="J1" s="271" t="s">
        <v>3146</v>
      </c>
      <c r="K1" s="271"/>
      <c r="L1" s="271"/>
      <c r="M1" s="271"/>
      <c r="N1" s="271"/>
      <c r="O1" s="271"/>
      <c r="P1" s="271"/>
      <c r="Q1" s="271"/>
      <c r="R1" s="271"/>
      <c r="S1" s="271"/>
      <c r="T1" s="271"/>
      <c r="U1" s="271"/>
      <c r="V1" s="273" t="s">
        <v>3101</v>
      </c>
      <c r="W1" s="278"/>
      <c r="X1" s="273"/>
      <c r="Y1" s="273"/>
      <c r="Z1" s="273"/>
      <c r="AA1" s="273"/>
      <c r="AB1" s="273"/>
      <c r="AC1" s="273"/>
      <c r="AD1" s="273"/>
      <c r="AE1" s="273"/>
      <c r="AF1" s="273"/>
      <c r="AG1" s="273"/>
      <c r="AH1" s="273"/>
      <c r="AI1" s="273"/>
      <c r="AJ1" s="273"/>
      <c r="AK1" s="273"/>
      <c r="AL1" s="273"/>
      <c r="AM1" s="273"/>
      <c r="AN1" s="273"/>
      <c r="AO1" s="273"/>
      <c r="AP1" s="273" t="s">
        <v>3147</v>
      </c>
      <c r="AQ1" s="278"/>
      <c r="AR1" s="273"/>
      <c r="AS1" s="273"/>
      <c r="AT1" s="273"/>
      <c r="AU1" s="273"/>
      <c r="AV1" s="273"/>
      <c r="AW1" s="273"/>
      <c r="AX1" s="273"/>
      <c r="AY1" s="273"/>
      <c r="AZ1" s="273"/>
      <c r="BA1" s="273"/>
      <c r="BB1" s="273"/>
      <c r="BC1" s="273"/>
      <c r="BD1" s="273"/>
      <c r="BE1" s="273"/>
      <c r="BF1" s="273"/>
      <c r="BG1" s="273"/>
      <c r="BH1" s="273"/>
      <c r="BI1" s="273"/>
      <c r="BJ1" s="273" t="s">
        <v>3102</v>
      </c>
      <c r="BK1" s="279"/>
      <c r="BL1" s="273"/>
      <c r="BM1" s="273"/>
      <c r="BN1" s="273"/>
      <c r="BO1" s="273"/>
      <c r="BP1" s="273"/>
      <c r="BQ1" s="273"/>
      <c r="BR1" s="273" t="s">
        <v>3148</v>
      </c>
      <c r="BS1" s="279"/>
      <c r="BT1" s="273"/>
      <c r="BU1" s="273"/>
      <c r="BV1" s="273"/>
      <c r="BW1" s="273"/>
      <c r="BX1" s="273"/>
      <c r="BY1" s="273"/>
      <c r="BZ1" s="273" t="s">
        <v>541</v>
      </c>
      <c r="CA1" s="282"/>
      <c r="CB1" s="273"/>
      <c r="CC1" s="273"/>
      <c r="CD1" s="273"/>
      <c r="CE1" s="273"/>
      <c r="CF1" s="273"/>
      <c r="CG1" s="273"/>
      <c r="CH1" s="273" t="s">
        <v>3149</v>
      </c>
      <c r="CI1" s="273"/>
      <c r="CJ1" s="273"/>
      <c r="CK1" s="273"/>
      <c r="CL1" s="273"/>
      <c r="CM1" s="273"/>
      <c r="CN1" s="273"/>
      <c r="CO1" s="273"/>
      <c r="CP1" s="273" t="s">
        <v>3150</v>
      </c>
      <c r="CQ1" s="273"/>
      <c r="CR1" s="273"/>
      <c r="CS1" s="273"/>
      <c r="CT1" s="273"/>
      <c r="CU1" s="273"/>
      <c r="CV1" s="273"/>
      <c r="CW1" s="273"/>
      <c r="CX1" s="273"/>
      <c r="CY1" s="273"/>
      <c r="CZ1" s="273"/>
      <c r="DA1" s="273"/>
      <c r="DB1" s="273" t="s">
        <v>3111</v>
      </c>
      <c r="DC1" s="279"/>
      <c r="DD1" s="273"/>
      <c r="DE1" s="273"/>
      <c r="DF1" s="273"/>
      <c r="DG1" s="273"/>
      <c r="DH1" s="273"/>
      <c r="DI1" s="273"/>
      <c r="DJ1" s="273"/>
      <c r="DK1" s="273"/>
      <c r="DL1" s="273"/>
      <c r="DM1" s="273"/>
      <c r="DN1" s="273" t="s">
        <v>3151</v>
      </c>
      <c r="DO1" s="273"/>
      <c r="DP1" s="273"/>
      <c r="DQ1" s="273"/>
      <c r="DR1" s="273"/>
      <c r="DS1" s="273"/>
      <c r="DT1" s="273"/>
      <c r="DU1" s="273"/>
      <c r="DV1" s="273"/>
      <c r="DW1" s="273"/>
      <c r="DX1" s="273"/>
      <c r="DY1" s="273"/>
      <c r="DZ1" s="273" t="s">
        <v>3104</v>
      </c>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t="s">
        <v>3132</v>
      </c>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t="s">
        <v>3152</v>
      </c>
      <c r="FW1" s="279"/>
      <c r="FX1" s="273"/>
      <c r="FY1" s="273"/>
      <c r="FZ1" s="273"/>
      <c r="GA1" s="273"/>
      <c r="GB1" s="273"/>
      <c r="GC1" s="273"/>
      <c r="GD1" s="273" t="s">
        <v>3153</v>
      </c>
      <c r="GE1" s="279"/>
      <c r="GF1" s="273"/>
      <c r="GG1" s="273"/>
      <c r="GH1" s="273"/>
      <c r="GI1" s="273"/>
      <c r="GJ1" s="273"/>
      <c r="GK1" s="273"/>
      <c r="GL1" s="273" t="s">
        <v>3154</v>
      </c>
      <c r="GM1" s="279"/>
      <c r="GN1" s="273"/>
      <c r="GO1" s="273"/>
      <c r="GP1" s="273"/>
      <c r="GQ1" s="273"/>
      <c r="GR1" s="273"/>
      <c r="GS1" s="273"/>
      <c r="GT1" s="273" t="s">
        <v>3105</v>
      </c>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t="s">
        <v>3155</v>
      </c>
      <c r="HS1" s="273"/>
      <c r="HT1" s="273"/>
      <c r="HU1" s="273"/>
      <c r="HV1" s="273"/>
      <c r="HW1" s="273"/>
      <c r="HX1" s="273"/>
      <c r="HY1" s="273"/>
      <c r="HZ1" s="273"/>
      <c r="IA1" s="273"/>
      <c r="IB1" s="273"/>
      <c r="IC1" s="273"/>
      <c r="ID1" s="273"/>
      <c r="IE1" s="273"/>
      <c r="IF1" s="273"/>
      <c r="IG1" s="273"/>
      <c r="IH1" s="273"/>
      <c r="II1" s="273"/>
      <c r="IJ1" s="273"/>
      <c r="IK1" s="273"/>
      <c r="IL1" s="273"/>
      <c r="IM1" s="273"/>
      <c r="IN1" s="273"/>
      <c r="IO1" s="273"/>
      <c r="IP1" s="273" t="s">
        <v>3156</v>
      </c>
      <c r="IQ1" s="273"/>
      <c r="IR1" s="273"/>
      <c r="IS1" s="273"/>
      <c r="IT1" s="273"/>
      <c r="IU1" s="273"/>
      <c r="IV1" s="273"/>
      <c r="IW1" s="273"/>
      <c r="IX1" s="273" t="s">
        <v>3157</v>
      </c>
      <c r="IY1" s="273"/>
      <c r="IZ1" s="273"/>
      <c r="JA1" s="273"/>
      <c r="JB1" s="273"/>
      <c r="JC1" s="273"/>
      <c r="JD1" s="273"/>
      <c r="JE1" s="273"/>
      <c r="JF1" s="273"/>
      <c r="JG1" s="273"/>
      <c r="JH1" s="273"/>
      <c r="JI1" s="273"/>
      <c r="JJ1" s="271" t="s">
        <v>3158</v>
      </c>
      <c r="JK1" s="271"/>
      <c r="JL1" s="271"/>
      <c r="JM1" s="271"/>
      <c r="JN1" s="271"/>
      <c r="JO1" s="271"/>
      <c r="JP1" s="271"/>
      <c r="JQ1" s="271"/>
      <c r="JR1" s="271"/>
      <c r="JS1" s="271"/>
      <c r="JT1" s="271"/>
      <c r="JU1" s="271"/>
      <c r="JV1" s="271" t="s">
        <v>3244</v>
      </c>
      <c r="JW1" s="271"/>
      <c r="JX1" s="271"/>
      <c r="JY1" s="271"/>
      <c r="JZ1" s="271"/>
      <c r="KA1" s="271"/>
      <c r="KB1" s="271"/>
      <c r="KC1" s="271"/>
      <c r="KD1" s="271"/>
      <c r="KE1" s="271"/>
      <c r="KF1" s="271"/>
      <c r="KG1" s="271"/>
      <c r="KH1" s="271"/>
      <c r="KI1" s="271"/>
      <c r="KJ1" s="271"/>
      <c r="KK1" s="271"/>
      <c r="KL1" s="283" t="s">
        <v>74</v>
      </c>
      <c r="KM1" s="283"/>
      <c r="KN1" s="283"/>
      <c r="KO1" s="283"/>
      <c r="KP1" s="283"/>
      <c r="KQ1" s="283"/>
      <c r="KR1" s="283"/>
      <c r="KS1" s="283"/>
      <c r="KT1" s="283"/>
      <c r="KU1" s="283"/>
      <c r="KV1" s="283"/>
      <c r="KW1" s="283"/>
      <c r="KX1" s="271" t="s">
        <v>3103</v>
      </c>
      <c r="KY1" s="271"/>
      <c r="KZ1" s="271"/>
      <c r="LA1" s="271"/>
      <c r="LB1" s="271"/>
      <c r="LC1" s="271"/>
      <c r="LD1" s="271"/>
      <c r="LE1" s="271"/>
      <c r="LF1" s="271"/>
      <c r="LG1" s="271"/>
      <c r="LH1" s="271"/>
      <c r="LI1" s="271"/>
      <c r="LJ1" s="271"/>
      <c r="LK1" s="271"/>
      <c r="LL1" s="271"/>
      <c r="LM1" s="271"/>
      <c r="LN1" s="284" t="s">
        <v>3159</v>
      </c>
      <c r="LO1" s="271"/>
      <c r="LP1" s="271"/>
      <c r="LQ1" s="271"/>
      <c r="LR1" s="271"/>
      <c r="LS1" s="271"/>
      <c r="LT1" s="271"/>
      <c r="LU1" s="271"/>
      <c r="LV1" s="271" t="s">
        <v>3160</v>
      </c>
      <c r="LW1" s="271"/>
      <c r="LX1" s="271"/>
      <c r="LY1" s="271"/>
      <c r="LZ1" s="271"/>
      <c r="MA1" s="271"/>
      <c r="MB1" s="271"/>
      <c r="MC1" s="271"/>
      <c r="MD1" s="271"/>
      <c r="ME1" s="271"/>
      <c r="MF1" s="271"/>
      <c r="MG1" s="271"/>
      <c r="MH1" s="271" t="s">
        <v>3161</v>
      </c>
      <c r="MI1" s="271"/>
      <c r="MJ1" s="271"/>
      <c r="MK1" s="271"/>
      <c r="ML1" s="271"/>
      <c r="MM1" s="271"/>
      <c r="MN1" s="271"/>
      <c r="MO1" s="271"/>
      <c r="MP1" s="271"/>
      <c r="MQ1" s="271"/>
      <c r="MR1" s="271"/>
      <c r="MS1" s="271"/>
      <c r="MT1" s="271"/>
      <c r="MU1" s="271"/>
      <c r="MV1" s="271"/>
      <c r="MW1" s="271"/>
      <c r="MX1" s="271"/>
      <c r="MY1" s="271"/>
      <c r="MZ1" s="271"/>
      <c r="NA1" s="271"/>
      <c r="NB1" s="271" t="s">
        <v>3162</v>
      </c>
      <c r="NC1" s="271"/>
      <c r="ND1" s="271"/>
      <c r="NE1" s="271"/>
      <c r="NF1" s="271"/>
      <c r="NG1" s="271"/>
      <c r="NH1" s="271"/>
      <c r="NI1" s="271"/>
      <c r="NJ1" s="271"/>
      <c r="NK1" s="271"/>
      <c r="NL1" s="271"/>
      <c r="NM1" s="271"/>
      <c r="NN1" s="271" t="s">
        <v>3163</v>
      </c>
      <c r="NO1" s="271"/>
      <c r="NP1" s="271"/>
      <c r="NQ1" s="271"/>
      <c r="NR1" s="271"/>
      <c r="NS1" s="271"/>
      <c r="NT1" s="271"/>
      <c r="NU1" s="271"/>
      <c r="NV1" s="271"/>
      <c r="NW1" s="271"/>
      <c r="NX1" s="271"/>
      <c r="NY1" s="271"/>
    </row>
    <row r="2" spans="1:389" s="8" customFormat="1" ht="15" customHeight="1" x14ac:dyDescent="0.35">
      <c r="A2" s="269"/>
      <c r="B2" s="269"/>
      <c r="C2" s="267"/>
      <c r="D2" s="267"/>
      <c r="E2" s="267"/>
      <c r="F2" s="267"/>
      <c r="G2" s="267"/>
      <c r="H2" s="268"/>
      <c r="I2" s="267"/>
      <c r="J2" s="267" t="s">
        <v>94</v>
      </c>
      <c r="K2" s="267" t="s">
        <v>95</v>
      </c>
      <c r="L2" s="267" t="s">
        <v>96</v>
      </c>
      <c r="M2" s="269" t="s">
        <v>97</v>
      </c>
      <c r="N2" s="267" t="s">
        <v>3164</v>
      </c>
      <c r="O2" s="267"/>
      <c r="P2" s="267"/>
      <c r="Q2" s="267"/>
      <c r="R2" s="267" t="s">
        <v>3165</v>
      </c>
      <c r="S2" s="267"/>
      <c r="T2" s="267"/>
      <c r="U2" s="267"/>
      <c r="V2" s="274" t="s">
        <v>3166</v>
      </c>
      <c r="W2" s="280" t="s">
        <v>3167</v>
      </c>
      <c r="X2" s="275" t="s">
        <v>3168</v>
      </c>
      <c r="Y2" s="275" t="s">
        <v>3169</v>
      </c>
      <c r="Z2" s="274" t="s">
        <v>3112</v>
      </c>
      <c r="AA2" s="274"/>
      <c r="AB2" s="274"/>
      <c r="AC2" s="274"/>
      <c r="AD2" s="274" t="s">
        <v>3170</v>
      </c>
      <c r="AE2" s="274"/>
      <c r="AF2" s="274"/>
      <c r="AG2" s="274"/>
      <c r="AH2" s="274" t="s">
        <v>3171</v>
      </c>
      <c r="AI2" s="274"/>
      <c r="AJ2" s="274"/>
      <c r="AK2" s="274"/>
      <c r="AL2" s="274" t="s">
        <v>3172</v>
      </c>
      <c r="AM2" s="274"/>
      <c r="AN2" s="274"/>
      <c r="AO2" s="274"/>
      <c r="AP2" s="274" t="s">
        <v>3173</v>
      </c>
      <c r="AQ2" s="280" t="s">
        <v>3167</v>
      </c>
      <c r="AR2" s="275" t="s">
        <v>91</v>
      </c>
      <c r="AS2" s="275" t="s">
        <v>3169</v>
      </c>
      <c r="AT2" s="274" t="s">
        <v>3110</v>
      </c>
      <c r="AU2" s="274"/>
      <c r="AV2" s="274"/>
      <c r="AW2" s="274"/>
      <c r="AX2" s="274" t="s">
        <v>30</v>
      </c>
      <c r="AY2" s="274"/>
      <c r="AZ2" s="274"/>
      <c r="BA2" s="274"/>
      <c r="BB2" s="274" t="s">
        <v>31</v>
      </c>
      <c r="BC2" s="274"/>
      <c r="BD2" s="274"/>
      <c r="BE2" s="274"/>
      <c r="BF2" s="274" t="s">
        <v>32</v>
      </c>
      <c r="BG2" s="274"/>
      <c r="BH2" s="274"/>
      <c r="BI2" s="274"/>
      <c r="BJ2" s="276" t="s">
        <v>3166</v>
      </c>
      <c r="BK2" s="277" t="s">
        <v>3167</v>
      </c>
      <c r="BL2" s="281" t="s">
        <v>3168</v>
      </c>
      <c r="BM2" s="285" t="s">
        <v>3174</v>
      </c>
      <c r="BN2" s="274" t="s">
        <v>3170</v>
      </c>
      <c r="BO2" s="274"/>
      <c r="BP2" s="274"/>
      <c r="BQ2" s="274"/>
      <c r="BR2" s="274" t="s">
        <v>3173</v>
      </c>
      <c r="BS2" s="277" t="s">
        <v>3167</v>
      </c>
      <c r="BT2" s="274" t="s">
        <v>3168</v>
      </c>
      <c r="BU2" s="275" t="s">
        <v>3169</v>
      </c>
      <c r="BV2" s="274" t="s">
        <v>30</v>
      </c>
      <c r="BW2" s="274"/>
      <c r="BX2" s="274"/>
      <c r="BY2" s="274"/>
      <c r="BZ2" s="274" t="s">
        <v>3175</v>
      </c>
      <c r="CA2" s="276" t="s">
        <v>3167</v>
      </c>
      <c r="CB2" s="274" t="s">
        <v>91</v>
      </c>
      <c r="CC2" s="275" t="s">
        <v>3169</v>
      </c>
      <c r="CD2" s="274" t="s">
        <v>541</v>
      </c>
      <c r="CE2" s="274"/>
      <c r="CF2" s="274"/>
      <c r="CG2" s="274"/>
      <c r="CH2" s="274" t="s">
        <v>3173</v>
      </c>
      <c r="CI2" s="274" t="s">
        <v>3167</v>
      </c>
      <c r="CJ2" s="274" t="s">
        <v>3176</v>
      </c>
      <c r="CK2" s="275" t="s">
        <v>3177</v>
      </c>
      <c r="CL2" s="274" t="s">
        <v>3178</v>
      </c>
      <c r="CM2" s="274"/>
      <c r="CN2" s="274"/>
      <c r="CO2" s="274"/>
      <c r="CP2" s="274" t="s">
        <v>3166</v>
      </c>
      <c r="CQ2" s="286" t="s">
        <v>3167</v>
      </c>
      <c r="CR2" s="274" t="s">
        <v>3168</v>
      </c>
      <c r="CS2" s="275" t="s">
        <v>3177</v>
      </c>
      <c r="CT2" s="274" t="s">
        <v>3179</v>
      </c>
      <c r="CU2" s="274"/>
      <c r="CV2" s="274"/>
      <c r="CW2" s="274"/>
      <c r="CX2" s="274" t="s">
        <v>3180</v>
      </c>
      <c r="CY2" s="274"/>
      <c r="CZ2" s="274"/>
      <c r="DA2" s="274"/>
      <c r="DB2" s="274" t="s">
        <v>3173</v>
      </c>
      <c r="DC2" s="277" t="s">
        <v>3167</v>
      </c>
      <c r="DD2" s="274" t="s">
        <v>91</v>
      </c>
      <c r="DE2" s="275" t="s">
        <v>3169</v>
      </c>
      <c r="DF2" s="274" t="s">
        <v>3107</v>
      </c>
      <c r="DG2" s="274"/>
      <c r="DH2" s="274"/>
      <c r="DI2" s="274"/>
      <c r="DJ2" s="274" t="s">
        <v>3181</v>
      </c>
      <c r="DK2" s="274"/>
      <c r="DL2" s="274"/>
      <c r="DM2" s="274"/>
      <c r="DN2" s="274" t="s">
        <v>3166</v>
      </c>
      <c r="DO2" s="277" t="s">
        <v>3167</v>
      </c>
      <c r="DP2" s="274" t="s">
        <v>91</v>
      </c>
      <c r="DQ2" s="275" t="s">
        <v>3177</v>
      </c>
      <c r="DR2" s="274" t="s">
        <v>3182</v>
      </c>
      <c r="DS2" s="274"/>
      <c r="DT2" s="274"/>
      <c r="DU2" s="274"/>
      <c r="DV2" s="275" t="s">
        <v>3181</v>
      </c>
      <c r="DW2" s="275"/>
      <c r="DX2" s="275"/>
      <c r="DY2" s="275"/>
      <c r="DZ2" s="274" t="s">
        <v>3166</v>
      </c>
      <c r="EA2" s="274" t="s">
        <v>3167</v>
      </c>
      <c r="EB2" s="274" t="s">
        <v>3168</v>
      </c>
      <c r="EC2" s="275" t="s">
        <v>3177</v>
      </c>
      <c r="ED2" s="274" t="s">
        <v>3183</v>
      </c>
      <c r="EE2" s="274"/>
      <c r="EF2" s="274"/>
      <c r="EG2" s="274"/>
      <c r="EH2" s="274" t="s">
        <v>3184</v>
      </c>
      <c r="EI2" s="274"/>
      <c r="EJ2" s="274"/>
      <c r="EK2" s="274"/>
      <c r="EL2" s="274" t="s">
        <v>3185</v>
      </c>
      <c r="EM2" s="274"/>
      <c r="EN2" s="274"/>
      <c r="EO2" s="274"/>
      <c r="EP2" s="274" t="s">
        <v>3186</v>
      </c>
      <c r="EQ2" s="274"/>
      <c r="ER2" s="274"/>
      <c r="ES2" s="274"/>
      <c r="ET2" s="274" t="s">
        <v>3187</v>
      </c>
      <c r="EU2" s="274"/>
      <c r="EV2" s="274"/>
      <c r="EW2" s="274"/>
      <c r="EX2" s="274" t="s">
        <v>3166</v>
      </c>
      <c r="EY2" s="274" t="s">
        <v>3167</v>
      </c>
      <c r="EZ2" s="274" t="s">
        <v>3168</v>
      </c>
      <c r="FA2" s="287" t="s">
        <v>3169</v>
      </c>
      <c r="FB2" s="274" t="s">
        <v>3109</v>
      </c>
      <c r="FC2" s="274"/>
      <c r="FD2" s="274"/>
      <c r="FE2" s="274"/>
      <c r="FF2" s="274" t="s">
        <v>3184</v>
      </c>
      <c r="FG2" s="274"/>
      <c r="FH2" s="274"/>
      <c r="FI2" s="274"/>
      <c r="FJ2" s="274" t="s">
        <v>3185</v>
      </c>
      <c r="FK2" s="274"/>
      <c r="FL2" s="274"/>
      <c r="FM2" s="274"/>
      <c r="FN2" s="274" t="s">
        <v>3186</v>
      </c>
      <c r="FO2" s="274"/>
      <c r="FP2" s="274"/>
      <c r="FQ2" s="274"/>
      <c r="FR2" s="274" t="s">
        <v>3187</v>
      </c>
      <c r="FS2" s="274"/>
      <c r="FT2" s="274"/>
      <c r="FU2" s="274"/>
      <c r="FV2" s="276" t="s">
        <v>3166</v>
      </c>
      <c r="FW2" s="277" t="s">
        <v>3167</v>
      </c>
      <c r="FX2" s="274" t="s">
        <v>91</v>
      </c>
      <c r="FY2" s="275" t="s">
        <v>3177</v>
      </c>
      <c r="FZ2" s="274" t="s">
        <v>3188</v>
      </c>
      <c r="GA2" s="274"/>
      <c r="GB2" s="274"/>
      <c r="GC2" s="274"/>
      <c r="GD2" s="274" t="s">
        <v>3173</v>
      </c>
      <c r="GE2" s="277" t="s">
        <v>3167</v>
      </c>
      <c r="GF2" s="274" t="s">
        <v>91</v>
      </c>
      <c r="GG2" s="275" t="s">
        <v>3169</v>
      </c>
      <c r="GH2" s="274" t="s">
        <v>3189</v>
      </c>
      <c r="GI2" s="274"/>
      <c r="GJ2" s="274"/>
      <c r="GK2" s="274"/>
      <c r="GL2" s="274" t="s">
        <v>3175</v>
      </c>
      <c r="GM2" s="277" t="s">
        <v>3167</v>
      </c>
      <c r="GN2" s="274" t="s">
        <v>3168</v>
      </c>
      <c r="GO2" s="275" t="s">
        <v>3169</v>
      </c>
      <c r="GP2" s="274" t="s">
        <v>3190</v>
      </c>
      <c r="GQ2" s="274"/>
      <c r="GR2" s="274"/>
      <c r="GS2" s="274"/>
      <c r="GT2" s="274" t="s">
        <v>3166</v>
      </c>
      <c r="GU2" s="274" t="s">
        <v>3167</v>
      </c>
      <c r="GV2" s="274" t="s">
        <v>91</v>
      </c>
      <c r="GW2" s="288" t="s">
        <v>3174</v>
      </c>
      <c r="GX2" s="274" t="s">
        <v>3108</v>
      </c>
      <c r="GY2" s="274"/>
      <c r="GZ2" s="274"/>
      <c r="HA2" s="274"/>
      <c r="HB2" s="274" t="s">
        <v>3191</v>
      </c>
      <c r="HC2" s="274"/>
      <c r="HD2" s="274"/>
      <c r="HE2" s="274"/>
      <c r="HF2" s="274" t="s">
        <v>71</v>
      </c>
      <c r="HG2" s="274"/>
      <c r="HH2" s="274"/>
      <c r="HI2" s="274"/>
      <c r="HJ2" s="274" t="s">
        <v>72</v>
      </c>
      <c r="HK2" s="274"/>
      <c r="HL2" s="274"/>
      <c r="HM2" s="274"/>
      <c r="HN2" s="274" t="s">
        <v>73</v>
      </c>
      <c r="HO2" s="274"/>
      <c r="HP2" s="274"/>
      <c r="HQ2" s="274"/>
      <c r="HR2" s="274" t="s">
        <v>3173</v>
      </c>
      <c r="HS2" s="274" t="s">
        <v>3167</v>
      </c>
      <c r="HT2" s="274" t="s">
        <v>91</v>
      </c>
      <c r="HU2" s="288" t="s">
        <v>3177</v>
      </c>
      <c r="HV2" s="274" t="s">
        <v>3192</v>
      </c>
      <c r="HW2" s="274"/>
      <c r="HX2" s="274"/>
      <c r="HY2" s="274"/>
      <c r="HZ2" s="274" t="s">
        <v>3191</v>
      </c>
      <c r="IA2" s="274"/>
      <c r="IB2" s="274"/>
      <c r="IC2" s="274"/>
      <c r="ID2" s="274" t="s">
        <v>71</v>
      </c>
      <c r="IE2" s="274"/>
      <c r="IF2" s="274"/>
      <c r="IG2" s="274"/>
      <c r="IH2" s="274" t="s">
        <v>72</v>
      </c>
      <c r="II2" s="274"/>
      <c r="IJ2" s="274"/>
      <c r="IK2" s="274"/>
      <c r="IL2" s="274" t="s">
        <v>73</v>
      </c>
      <c r="IM2" s="274"/>
      <c r="IN2" s="274"/>
      <c r="IO2" s="274"/>
      <c r="IP2" s="274" t="s">
        <v>3173</v>
      </c>
      <c r="IQ2" s="274" t="s">
        <v>3167</v>
      </c>
      <c r="IR2" s="274" t="s">
        <v>3176</v>
      </c>
      <c r="IS2" s="275" t="s">
        <v>3177</v>
      </c>
      <c r="IT2" s="274" t="s">
        <v>3193</v>
      </c>
      <c r="IU2" s="274"/>
      <c r="IV2" s="274"/>
      <c r="IW2" s="274"/>
      <c r="IX2" s="274" t="s">
        <v>3166</v>
      </c>
      <c r="IY2" s="280" t="s">
        <v>3167</v>
      </c>
      <c r="IZ2" s="274" t="s">
        <v>3168</v>
      </c>
      <c r="JA2" s="275" t="s">
        <v>3169</v>
      </c>
      <c r="JB2" s="274" t="s">
        <v>3194</v>
      </c>
      <c r="JC2" s="274"/>
      <c r="JD2" s="274"/>
      <c r="JE2" s="274"/>
      <c r="JF2" s="274" t="s">
        <v>3195</v>
      </c>
      <c r="JG2" s="274"/>
      <c r="JH2" s="274"/>
      <c r="JI2" s="274"/>
      <c r="JJ2" s="267" t="s">
        <v>3173</v>
      </c>
      <c r="JK2" s="289" t="s">
        <v>3167</v>
      </c>
      <c r="JL2" s="267" t="s">
        <v>91</v>
      </c>
      <c r="JM2" s="269" t="s">
        <v>3169</v>
      </c>
      <c r="JN2" s="267" t="s">
        <v>3196</v>
      </c>
      <c r="JO2" s="267"/>
      <c r="JP2" s="267"/>
      <c r="JQ2" s="267"/>
      <c r="JR2" s="267" t="s">
        <v>3197</v>
      </c>
      <c r="JS2" s="267"/>
      <c r="JT2" s="267"/>
      <c r="JU2" s="267"/>
      <c r="JV2" s="267" t="s">
        <v>3166</v>
      </c>
      <c r="JW2" s="272" t="s">
        <v>3167</v>
      </c>
      <c r="JX2" s="267" t="s">
        <v>3168</v>
      </c>
      <c r="JY2" s="269" t="s">
        <v>3177</v>
      </c>
      <c r="JZ2" s="267" t="s">
        <v>3196</v>
      </c>
      <c r="KA2" s="267"/>
      <c r="KB2" s="267"/>
      <c r="KC2" s="267"/>
      <c r="KD2" s="267" t="s">
        <v>3242</v>
      </c>
      <c r="KE2" s="267"/>
      <c r="KF2" s="267"/>
      <c r="KG2" s="267"/>
      <c r="KH2" s="267" t="s">
        <v>3243</v>
      </c>
      <c r="KI2" s="267"/>
      <c r="KJ2" s="267"/>
      <c r="KK2" s="267"/>
      <c r="KL2" s="267" t="s">
        <v>3166</v>
      </c>
      <c r="KM2" s="289" t="s">
        <v>3167</v>
      </c>
      <c r="KN2" s="267" t="s">
        <v>3168</v>
      </c>
      <c r="KO2" s="269" t="s">
        <v>3177</v>
      </c>
      <c r="KP2" s="267" t="s">
        <v>3198</v>
      </c>
      <c r="KQ2" s="267"/>
      <c r="KR2" s="267"/>
      <c r="KS2" s="267"/>
      <c r="KT2" s="267" t="s">
        <v>3199</v>
      </c>
      <c r="KU2" s="267"/>
      <c r="KV2" s="267"/>
      <c r="KW2" s="267"/>
      <c r="KX2" s="267" t="s">
        <v>3166</v>
      </c>
      <c r="KY2" s="289" t="s">
        <v>3167</v>
      </c>
      <c r="KZ2" s="267" t="s">
        <v>3168</v>
      </c>
      <c r="LA2" s="269" t="s">
        <v>3169</v>
      </c>
      <c r="LB2" s="267" t="s">
        <v>166</v>
      </c>
      <c r="LC2" s="267"/>
      <c r="LD2" s="267"/>
      <c r="LE2" s="267"/>
      <c r="LF2" s="267" t="s">
        <v>3200</v>
      </c>
      <c r="LG2" s="267"/>
      <c r="LH2" s="267"/>
      <c r="LI2" s="267"/>
      <c r="LJ2" s="267" t="s">
        <v>3106</v>
      </c>
      <c r="LK2" s="267"/>
      <c r="LL2" s="267"/>
      <c r="LM2" s="267"/>
      <c r="LN2" s="267" t="s">
        <v>3175</v>
      </c>
      <c r="LO2" s="267" t="s">
        <v>3167</v>
      </c>
      <c r="LP2" s="267" t="s">
        <v>3168</v>
      </c>
      <c r="LQ2" s="267" t="s">
        <v>3177</v>
      </c>
      <c r="LR2" s="267" t="s">
        <v>3201</v>
      </c>
      <c r="LS2" s="267"/>
      <c r="LT2" s="267"/>
      <c r="LU2" s="267"/>
      <c r="LV2" s="268" t="s">
        <v>3173</v>
      </c>
      <c r="LW2" s="289" t="s">
        <v>3167</v>
      </c>
      <c r="LX2" s="267" t="s">
        <v>3176</v>
      </c>
      <c r="LY2" s="269" t="s">
        <v>3177</v>
      </c>
      <c r="LZ2" s="267" t="s">
        <v>3202</v>
      </c>
      <c r="MA2" s="267"/>
      <c r="MB2" s="267"/>
      <c r="MC2" s="267"/>
      <c r="MD2" s="267" t="s">
        <v>3203</v>
      </c>
      <c r="ME2" s="267"/>
      <c r="MF2" s="267"/>
      <c r="MG2" s="267"/>
      <c r="MH2" s="267" t="s">
        <v>3173</v>
      </c>
      <c r="MI2" s="289" t="s">
        <v>3167</v>
      </c>
      <c r="MJ2" s="267" t="s">
        <v>91</v>
      </c>
      <c r="MK2" s="269" t="s">
        <v>3169</v>
      </c>
      <c r="ML2" s="267" t="s">
        <v>3204</v>
      </c>
      <c r="MM2" s="267"/>
      <c r="MN2" s="267"/>
      <c r="MO2" s="267"/>
      <c r="MP2" s="267" t="s">
        <v>93</v>
      </c>
      <c r="MQ2" s="267"/>
      <c r="MR2" s="267"/>
      <c r="MS2" s="267"/>
      <c r="MT2" s="270" t="s">
        <v>3205</v>
      </c>
      <c r="MU2" s="270"/>
      <c r="MV2" s="270"/>
      <c r="MW2" s="270"/>
      <c r="MX2" s="270" t="s">
        <v>167</v>
      </c>
      <c r="MY2" s="270"/>
      <c r="MZ2" s="270"/>
      <c r="NA2" s="270"/>
      <c r="NB2" s="267" t="s">
        <v>94</v>
      </c>
      <c r="NC2" s="267" t="s">
        <v>95</v>
      </c>
      <c r="ND2" s="267" t="s">
        <v>96</v>
      </c>
      <c r="NE2" s="269" t="s">
        <v>3206</v>
      </c>
      <c r="NF2" s="290" t="s">
        <v>3207</v>
      </c>
      <c r="NG2" s="290"/>
      <c r="NH2" s="290"/>
      <c r="NI2" s="290"/>
      <c r="NJ2" s="267" t="s">
        <v>3208</v>
      </c>
      <c r="NK2" s="267"/>
      <c r="NL2" s="267"/>
      <c r="NM2" s="267"/>
      <c r="NN2" s="267" t="s">
        <v>3166</v>
      </c>
      <c r="NO2" s="289" t="s">
        <v>3167</v>
      </c>
      <c r="NP2" s="267" t="s">
        <v>91</v>
      </c>
      <c r="NQ2" s="269" t="s">
        <v>3177</v>
      </c>
      <c r="NR2" s="267" t="s">
        <v>99</v>
      </c>
      <c r="NS2" s="267"/>
      <c r="NT2" s="267"/>
      <c r="NU2" s="267"/>
      <c r="NV2" s="267" t="s">
        <v>3209</v>
      </c>
      <c r="NW2" s="267"/>
      <c r="NX2" s="267"/>
      <c r="NY2" s="267"/>
    </row>
    <row r="3" spans="1:389" s="8" customFormat="1" ht="15" customHeight="1" x14ac:dyDescent="0.35">
      <c r="A3" s="269"/>
      <c r="B3" s="269"/>
      <c r="C3" s="267"/>
      <c r="D3" s="267"/>
      <c r="E3" s="267"/>
      <c r="F3" s="267"/>
      <c r="G3" s="267"/>
      <c r="H3" s="268"/>
      <c r="I3" s="267"/>
      <c r="J3" s="267"/>
      <c r="K3" s="267"/>
      <c r="L3" s="267"/>
      <c r="M3" s="269"/>
      <c r="N3" s="165" t="s">
        <v>105</v>
      </c>
      <c r="O3" s="165" t="s">
        <v>106</v>
      </c>
      <c r="P3" s="165" t="s">
        <v>107</v>
      </c>
      <c r="Q3" s="165" t="s">
        <v>3210</v>
      </c>
      <c r="R3" s="165" t="s">
        <v>105</v>
      </c>
      <c r="S3" s="250" t="s">
        <v>106</v>
      </c>
      <c r="T3" s="165" t="s">
        <v>107</v>
      </c>
      <c r="U3" s="165" t="s">
        <v>3211</v>
      </c>
      <c r="V3" s="274"/>
      <c r="W3" s="280"/>
      <c r="X3" s="275"/>
      <c r="Y3" s="275"/>
      <c r="Z3" s="166" t="s">
        <v>103</v>
      </c>
      <c r="AA3" s="252" t="s">
        <v>3212</v>
      </c>
      <c r="AB3" s="166" t="s">
        <v>3213</v>
      </c>
      <c r="AC3" s="166" t="s">
        <v>102</v>
      </c>
      <c r="AD3" s="166" t="s">
        <v>103</v>
      </c>
      <c r="AE3" s="247" t="s">
        <v>3212</v>
      </c>
      <c r="AF3" s="166" t="s">
        <v>101</v>
      </c>
      <c r="AG3" s="166" t="s">
        <v>102</v>
      </c>
      <c r="AH3" s="166" t="s">
        <v>103</v>
      </c>
      <c r="AI3" s="247" t="s">
        <v>104</v>
      </c>
      <c r="AJ3" s="166" t="s">
        <v>3213</v>
      </c>
      <c r="AK3" s="166" t="s">
        <v>102</v>
      </c>
      <c r="AL3" s="166" t="s">
        <v>103</v>
      </c>
      <c r="AM3" s="247" t="s">
        <v>104</v>
      </c>
      <c r="AN3" s="166" t="s">
        <v>3213</v>
      </c>
      <c r="AO3" s="166" t="s">
        <v>102</v>
      </c>
      <c r="AP3" s="274"/>
      <c r="AQ3" s="280"/>
      <c r="AR3" s="275"/>
      <c r="AS3" s="275"/>
      <c r="AT3" s="166" t="s">
        <v>103</v>
      </c>
      <c r="AU3" s="252" t="s">
        <v>3212</v>
      </c>
      <c r="AV3" s="166" t="s">
        <v>3213</v>
      </c>
      <c r="AW3" s="166" t="s">
        <v>102</v>
      </c>
      <c r="AX3" s="166" t="s">
        <v>103</v>
      </c>
      <c r="AY3" s="247" t="s">
        <v>3212</v>
      </c>
      <c r="AZ3" s="166" t="s">
        <v>101</v>
      </c>
      <c r="BA3" s="166" t="s">
        <v>102</v>
      </c>
      <c r="BB3" s="166" t="s">
        <v>103</v>
      </c>
      <c r="BC3" s="247" t="s">
        <v>3212</v>
      </c>
      <c r="BD3" s="166" t="s">
        <v>101</v>
      </c>
      <c r="BE3" s="166" t="s">
        <v>102</v>
      </c>
      <c r="BF3" s="166" t="s">
        <v>103</v>
      </c>
      <c r="BG3" s="247" t="s">
        <v>104</v>
      </c>
      <c r="BH3" s="166" t="s">
        <v>101</v>
      </c>
      <c r="BI3" s="166" t="s">
        <v>102</v>
      </c>
      <c r="BJ3" s="276"/>
      <c r="BK3" s="277"/>
      <c r="BL3" s="281"/>
      <c r="BM3" s="285"/>
      <c r="BN3" s="244" t="s">
        <v>103</v>
      </c>
      <c r="BO3" s="244" t="s">
        <v>3212</v>
      </c>
      <c r="BP3" s="166" t="s">
        <v>3213</v>
      </c>
      <c r="BQ3" s="166" t="s">
        <v>102</v>
      </c>
      <c r="BR3" s="274"/>
      <c r="BS3" s="277"/>
      <c r="BT3" s="274"/>
      <c r="BU3" s="275"/>
      <c r="BV3" s="166" t="s">
        <v>103</v>
      </c>
      <c r="BW3" s="247" t="s">
        <v>3212</v>
      </c>
      <c r="BX3" s="166" t="s">
        <v>101</v>
      </c>
      <c r="BY3" s="166" t="s">
        <v>102</v>
      </c>
      <c r="BZ3" s="274"/>
      <c r="CA3" s="276"/>
      <c r="CB3" s="274"/>
      <c r="CC3" s="275"/>
      <c r="CD3" s="166" t="s">
        <v>103</v>
      </c>
      <c r="CE3" s="251" t="s">
        <v>104</v>
      </c>
      <c r="CF3" s="166" t="s">
        <v>101</v>
      </c>
      <c r="CG3" s="166" t="s">
        <v>102</v>
      </c>
      <c r="CH3" s="274"/>
      <c r="CI3" s="274"/>
      <c r="CJ3" s="274"/>
      <c r="CK3" s="275"/>
      <c r="CL3" s="166" t="s">
        <v>103</v>
      </c>
      <c r="CM3" s="166" t="s">
        <v>3212</v>
      </c>
      <c r="CN3" s="166" t="s">
        <v>3213</v>
      </c>
      <c r="CO3" s="166" t="s">
        <v>102</v>
      </c>
      <c r="CP3" s="274"/>
      <c r="CQ3" s="286"/>
      <c r="CR3" s="274"/>
      <c r="CS3" s="275"/>
      <c r="CT3" s="166" t="s">
        <v>103</v>
      </c>
      <c r="CU3" s="247" t="s">
        <v>104</v>
      </c>
      <c r="CV3" s="166" t="s">
        <v>3213</v>
      </c>
      <c r="CW3" s="166" t="s">
        <v>102</v>
      </c>
      <c r="CX3" s="166" t="s">
        <v>103</v>
      </c>
      <c r="CY3" s="247" t="s">
        <v>104</v>
      </c>
      <c r="CZ3" s="166" t="s">
        <v>101</v>
      </c>
      <c r="DA3" s="166" t="s">
        <v>102</v>
      </c>
      <c r="DB3" s="274"/>
      <c r="DC3" s="277"/>
      <c r="DD3" s="274"/>
      <c r="DE3" s="275"/>
      <c r="DF3" s="166" t="s">
        <v>103</v>
      </c>
      <c r="DG3" s="166" t="s">
        <v>104</v>
      </c>
      <c r="DH3" s="166" t="s">
        <v>3213</v>
      </c>
      <c r="DI3" s="166" t="s">
        <v>102</v>
      </c>
      <c r="DJ3" s="166" t="s">
        <v>103</v>
      </c>
      <c r="DK3" s="247" t="s">
        <v>3214</v>
      </c>
      <c r="DL3" s="166" t="s">
        <v>101</v>
      </c>
      <c r="DM3" s="166" t="s">
        <v>102</v>
      </c>
      <c r="DN3" s="274"/>
      <c r="DO3" s="277"/>
      <c r="DP3" s="274"/>
      <c r="DQ3" s="275"/>
      <c r="DR3" s="166" t="s">
        <v>103</v>
      </c>
      <c r="DS3" s="244" t="s">
        <v>3212</v>
      </c>
      <c r="DT3" s="166" t="s">
        <v>3213</v>
      </c>
      <c r="DU3" s="166" t="s">
        <v>102</v>
      </c>
      <c r="DV3" s="166" t="s">
        <v>103</v>
      </c>
      <c r="DW3" s="247" t="s">
        <v>3212</v>
      </c>
      <c r="DX3" s="166" t="s">
        <v>101</v>
      </c>
      <c r="DY3" s="166" t="s">
        <v>102</v>
      </c>
      <c r="DZ3" s="274"/>
      <c r="EA3" s="274"/>
      <c r="EB3" s="274"/>
      <c r="EC3" s="275"/>
      <c r="ED3" s="166" t="s">
        <v>103</v>
      </c>
      <c r="EE3" s="167" t="s">
        <v>104</v>
      </c>
      <c r="EF3" s="166" t="s">
        <v>101</v>
      </c>
      <c r="EG3" s="166" t="s">
        <v>102</v>
      </c>
      <c r="EH3" s="166" t="s">
        <v>103</v>
      </c>
      <c r="EI3" s="252" t="s">
        <v>104</v>
      </c>
      <c r="EJ3" s="166" t="s">
        <v>101</v>
      </c>
      <c r="EK3" s="166" t="s">
        <v>102</v>
      </c>
      <c r="EL3" s="166" t="s">
        <v>103</v>
      </c>
      <c r="EM3" s="252" t="s">
        <v>3214</v>
      </c>
      <c r="EN3" s="166" t="s">
        <v>3213</v>
      </c>
      <c r="EO3" s="166" t="s">
        <v>102</v>
      </c>
      <c r="EP3" s="166" t="s">
        <v>103</v>
      </c>
      <c r="EQ3" s="252" t="s">
        <v>3212</v>
      </c>
      <c r="ER3" s="166" t="s">
        <v>3213</v>
      </c>
      <c r="ES3" s="166" t="s">
        <v>102</v>
      </c>
      <c r="ET3" s="166" t="s">
        <v>103</v>
      </c>
      <c r="EU3" s="252" t="s">
        <v>3212</v>
      </c>
      <c r="EV3" s="166" t="s">
        <v>101</v>
      </c>
      <c r="EW3" s="166" t="s">
        <v>102</v>
      </c>
      <c r="EX3" s="274"/>
      <c r="EY3" s="274"/>
      <c r="EZ3" s="274"/>
      <c r="FA3" s="287"/>
      <c r="FB3" s="166" t="s">
        <v>103</v>
      </c>
      <c r="FC3" s="167" t="s">
        <v>3212</v>
      </c>
      <c r="FD3" s="166" t="s">
        <v>3213</v>
      </c>
      <c r="FE3" s="166" t="s">
        <v>102</v>
      </c>
      <c r="FF3" s="166" t="s">
        <v>103</v>
      </c>
      <c r="FG3" s="252" t="s">
        <v>3214</v>
      </c>
      <c r="FH3" s="166" t="s">
        <v>101</v>
      </c>
      <c r="FI3" s="166" t="s">
        <v>102</v>
      </c>
      <c r="FJ3" s="166" t="s">
        <v>103</v>
      </c>
      <c r="FK3" s="252" t="s">
        <v>3212</v>
      </c>
      <c r="FL3" s="166" t="s">
        <v>101</v>
      </c>
      <c r="FM3" s="166" t="s">
        <v>102</v>
      </c>
      <c r="FN3" s="166" t="s">
        <v>103</v>
      </c>
      <c r="FO3" s="252" t="s">
        <v>3214</v>
      </c>
      <c r="FP3" s="166" t="s">
        <v>101</v>
      </c>
      <c r="FQ3" s="166" t="s">
        <v>102</v>
      </c>
      <c r="FR3" s="166" t="s">
        <v>103</v>
      </c>
      <c r="FS3" s="252" t="s">
        <v>3212</v>
      </c>
      <c r="FT3" s="166" t="s">
        <v>101</v>
      </c>
      <c r="FU3" s="166" t="s">
        <v>102</v>
      </c>
      <c r="FV3" s="276"/>
      <c r="FW3" s="277"/>
      <c r="FX3" s="274"/>
      <c r="FY3" s="275"/>
      <c r="FZ3" s="166" t="s">
        <v>103</v>
      </c>
      <c r="GA3" s="166" t="s">
        <v>3212</v>
      </c>
      <c r="GB3" s="166" t="s">
        <v>101</v>
      </c>
      <c r="GC3" s="166" t="s">
        <v>102</v>
      </c>
      <c r="GD3" s="274"/>
      <c r="GE3" s="277"/>
      <c r="GF3" s="274"/>
      <c r="GG3" s="275"/>
      <c r="GH3" s="166" t="s">
        <v>103</v>
      </c>
      <c r="GI3" s="166" t="s">
        <v>104</v>
      </c>
      <c r="GJ3" s="166" t="s">
        <v>101</v>
      </c>
      <c r="GK3" s="166" t="s">
        <v>102</v>
      </c>
      <c r="GL3" s="274"/>
      <c r="GM3" s="277"/>
      <c r="GN3" s="274"/>
      <c r="GO3" s="275"/>
      <c r="GP3" s="166" t="s">
        <v>103</v>
      </c>
      <c r="GQ3" s="247" t="s">
        <v>3212</v>
      </c>
      <c r="GR3" s="166" t="s">
        <v>3213</v>
      </c>
      <c r="GS3" s="166" t="s">
        <v>102</v>
      </c>
      <c r="GT3" s="274"/>
      <c r="GU3" s="274"/>
      <c r="GV3" s="274"/>
      <c r="GW3" s="288"/>
      <c r="GX3" s="166" t="s">
        <v>103</v>
      </c>
      <c r="GY3" s="166" t="s">
        <v>3214</v>
      </c>
      <c r="GZ3" s="166" t="s">
        <v>3213</v>
      </c>
      <c r="HA3" s="166" t="s">
        <v>102</v>
      </c>
      <c r="HB3" s="166" t="s">
        <v>103</v>
      </c>
      <c r="HC3" s="252" t="s">
        <v>3212</v>
      </c>
      <c r="HD3" s="166" t="s">
        <v>101</v>
      </c>
      <c r="HE3" s="166" t="s">
        <v>102</v>
      </c>
      <c r="HF3" s="166" t="s">
        <v>103</v>
      </c>
      <c r="HG3" s="252" t="s">
        <v>104</v>
      </c>
      <c r="HH3" s="166" t="s">
        <v>3213</v>
      </c>
      <c r="HI3" s="166" t="s">
        <v>102</v>
      </c>
      <c r="HJ3" s="166" t="s">
        <v>103</v>
      </c>
      <c r="HK3" s="252" t="s">
        <v>3212</v>
      </c>
      <c r="HL3" s="166" t="s">
        <v>101</v>
      </c>
      <c r="HM3" s="166" t="s">
        <v>102</v>
      </c>
      <c r="HN3" s="166" t="s">
        <v>103</v>
      </c>
      <c r="HO3" s="252" t="s">
        <v>3212</v>
      </c>
      <c r="HP3" s="166" t="s">
        <v>101</v>
      </c>
      <c r="HQ3" s="166" t="s">
        <v>102</v>
      </c>
      <c r="HR3" s="274"/>
      <c r="HS3" s="274"/>
      <c r="HT3" s="274"/>
      <c r="HU3" s="288"/>
      <c r="HV3" s="166" t="s">
        <v>103</v>
      </c>
      <c r="HW3" s="166" t="s">
        <v>104</v>
      </c>
      <c r="HX3" s="166" t="s">
        <v>101</v>
      </c>
      <c r="HY3" s="166" t="s">
        <v>102</v>
      </c>
      <c r="HZ3" s="166" t="s">
        <v>103</v>
      </c>
      <c r="IA3" s="252" t="s">
        <v>3212</v>
      </c>
      <c r="IB3" s="166" t="s">
        <v>3213</v>
      </c>
      <c r="IC3" s="166" t="s">
        <v>102</v>
      </c>
      <c r="ID3" s="166" t="s">
        <v>103</v>
      </c>
      <c r="IE3" s="252" t="s">
        <v>3212</v>
      </c>
      <c r="IF3" s="166" t="s">
        <v>3213</v>
      </c>
      <c r="IG3" s="166" t="s">
        <v>102</v>
      </c>
      <c r="IH3" s="166" t="s">
        <v>103</v>
      </c>
      <c r="II3" s="252" t="s">
        <v>3212</v>
      </c>
      <c r="IJ3" s="166" t="s">
        <v>101</v>
      </c>
      <c r="IK3" s="166" t="s">
        <v>102</v>
      </c>
      <c r="IL3" s="166" t="s">
        <v>103</v>
      </c>
      <c r="IM3" s="252" t="s">
        <v>104</v>
      </c>
      <c r="IN3" s="166" t="s">
        <v>101</v>
      </c>
      <c r="IO3" s="166" t="s">
        <v>102</v>
      </c>
      <c r="IP3" s="274"/>
      <c r="IQ3" s="274"/>
      <c r="IR3" s="274"/>
      <c r="IS3" s="275"/>
      <c r="IT3" s="166" t="s">
        <v>103</v>
      </c>
      <c r="IU3" s="166" t="s">
        <v>104</v>
      </c>
      <c r="IV3" s="166" t="s">
        <v>101</v>
      </c>
      <c r="IW3" s="166" t="s">
        <v>102</v>
      </c>
      <c r="IX3" s="274"/>
      <c r="IY3" s="280"/>
      <c r="IZ3" s="274"/>
      <c r="JA3" s="275"/>
      <c r="JB3" s="247" t="s">
        <v>103</v>
      </c>
      <c r="JC3" s="166" t="s">
        <v>3212</v>
      </c>
      <c r="JD3" s="166" t="s">
        <v>3213</v>
      </c>
      <c r="JE3" s="166" t="s">
        <v>102</v>
      </c>
      <c r="JF3" s="166" t="s">
        <v>103</v>
      </c>
      <c r="JG3" s="247" t="s">
        <v>104</v>
      </c>
      <c r="JH3" s="166" t="s">
        <v>3213</v>
      </c>
      <c r="JI3" s="166" t="s">
        <v>102</v>
      </c>
      <c r="JJ3" s="267"/>
      <c r="JK3" s="289"/>
      <c r="JL3" s="267"/>
      <c r="JM3" s="269"/>
      <c r="JN3" s="165" t="s">
        <v>103</v>
      </c>
      <c r="JO3" s="165" t="s">
        <v>104</v>
      </c>
      <c r="JP3" s="165" t="s">
        <v>3213</v>
      </c>
      <c r="JQ3" s="165" t="s">
        <v>102</v>
      </c>
      <c r="JR3" s="165" t="s">
        <v>103</v>
      </c>
      <c r="JS3" s="245" t="s">
        <v>3212</v>
      </c>
      <c r="JT3" s="165" t="s">
        <v>101</v>
      </c>
      <c r="JU3" s="165" t="s">
        <v>102</v>
      </c>
      <c r="JV3" s="267"/>
      <c r="JW3" s="272"/>
      <c r="JX3" s="267"/>
      <c r="JY3" s="269"/>
      <c r="JZ3" s="165" t="s">
        <v>103</v>
      </c>
      <c r="KA3" s="165" t="s">
        <v>3212</v>
      </c>
      <c r="KB3" s="165" t="s">
        <v>3213</v>
      </c>
      <c r="KC3" s="165" t="s">
        <v>102</v>
      </c>
      <c r="KD3" s="165" t="s">
        <v>103</v>
      </c>
      <c r="KE3" s="245" t="s">
        <v>3212</v>
      </c>
      <c r="KF3" s="165" t="s">
        <v>101</v>
      </c>
      <c r="KG3" s="165" t="s">
        <v>102</v>
      </c>
      <c r="KH3" s="165" t="s">
        <v>103</v>
      </c>
      <c r="KI3" s="245" t="s">
        <v>3212</v>
      </c>
      <c r="KJ3" s="165" t="s">
        <v>3213</v>
      </c>
      <c r="KK3" s="165" t="s">
        <v>102</v>
      </c>
      <c r="KL3" s="267"/>
      <c r="KM3" s="289"/>
      <c r="KN3" s="267"/>
      <c r="KO3" s="269"/>
      <c r="KP3" s="165" t="s">
        <v>103</v>
      </c>
      <c r="KQ3" s="245" t="s">
        <v>3212</v>
      </c>
      <c r="KR3" s="165" t="s">
        <v>3213</v>
      </c>
      <c r="KS3" s="165" t="s">
        <v>102</v>
      </c>
      <c r="KT3" s="165" t="s">
        <v>103</v>
      </c>
      <c r="KU3" s="245" t="s">
        <v>104</v>
      </c>
      <c r="KV3" s="165" t="s">
        <v>101</v>
      </c>
      <c r="KW3" s="165" t="s">
        <v>102</v>
      </c>
      <c r="KX3" s="267"/>
      <c r="KY3" s="289"/>
      <c r="KZ3" s="267"/>
      <c r="LA3" s="269"/>
      <c r="LB3" s="165" t="s">
        <v>103</v>
      </c>
      <c r="LC3" s="254" t="s">
        <v>104</v>
      </c>
      <c r="LD3" s="165" t="s">
        <v>3213</v>
      </c>
      <c r="LE3" s="165" t="s">
        <v>102</v>
      </c>
      <c r="LF3" s="165" t="s">
        <v>103</v>
      </c>
      <c r="LG3" s="245" t="s">
        <v>104</v>
      </c>
      <c r="LH3" s="165" t="s">
        <v>101</v>
      </c>
      <c r="LI3" s="165" t="s">
        <v>102</v>
      </c>
      <c r="LJ3" s="165" t="s">
        <v>103</v>
      </c>
      <c r="LK3" s="245" t="s">
        <v>3212</v>
      </c>
      <c r="LL3" s="165" t="s">
        <v>3213</v>
      </c>
      <c r="LM3" s="165" t="s">
        <v>102</v>
      </c>
      <c r="LN3" s="267"/>
      <c r="LO3" s="267"/>
      <c r="LP3" s="267"/>
      <c r="LQ3" s="267"/>
      <c r="LR3" s="165" t="s">
        <v>103</v>
      </c>
      <c r="LS3" s="165" t="s">
        <v>104</v>
      </c>
      <c r="LT3" s="165" t="s">
        <v>101</v>
      </c>
      <c r="LU3" s="165" t="s">
        <v>102</v>
      </c>
      <c r="LV3" s="268"/>
      <c r="LW3" s="289"/>
      <c r="LX3" s="267"/>
      <c r="LY3" s="269"/>
      <c r="LZ3" s="165" t="s">
        <v>103</v>
      </c>
      <c r="MA3" s="245" t="s">
        <v>104</v>
      </c>
      <c r="MB3" s="165" t="s">
        <v>3213</v>
      </c>
      <c r="MC3" s="165" t="s">
        <v>102</v>
      </c>
      <c r="MD3" s="165" t="s">
        <v>103</v>
      </c>
      <c r="ME3" s="245" t="s">
        <v>3212</v>
      </c>
      <c r="MF3" s="165" t="s">
        <v>3213</v>
      </c>
      <c r="MG3" s="165" t="s">
        <v>102</v>
      </c>
      <c r="MH3" s="267"/>
      <c r="MI3" s="289"/>
      <c r="MJ3" s="267"/>
      <c r="MK3" s="269"/>
      <c r="ML3" s="165" t="s">
        <v>103</v>
      </c>
      <c r="MM3" s="245" t="s">
        <v>104</v>
      </c>
      <c r="MN3" s="165" t="s">
        <v>3213</v>
      </c>
      <c r="MO3" s="165" t="s">
        <v>102</v>
      </c>
      <c r="MP3" s="165" t="s">
        <v>103</v>
      </c>
      <c r="MQ3" s="245" t="s">
        <v>104</v>
      </c>
      <c r="MR3" s="165" t="s">
        <v>3213</v>
      </c>
      <c r="MS3" s="165" t="s">
        <v>102</v>
      </c>
      <c r="MT3" s="165" t="s">
        <v>103</v>
      </c>
      <c r="MU3" s="245" t="s">
        <v>3212</v>
      </c>
      <c r="MV3" s="165" t="s">
        <v>101</v>
      </c>
      <c r="MW3" s="165" t="s">
        <v>102</v>
      </c>
      <c r="MX3" s="165" t="s">
        <v>103</v>
      </c>
      <c r="MY3" s="245" t="s">
        <v>104</v>
      </c>
      <c r="MZ3" s="165" t="s">
        <v>3213</v>
      </c>
      <c r="NA3" s="165" t="s">
        <v>102</v>
      </c>
      <c r="NB3" s="267"/>
      <c r="NC3" s="267"/>
      <c r="ND3" s="267"/>
      <c r="NE3" s="269"/>
      <c r="NF3" s="248" t="s">
        <v>105</v>
      </c>
      <c r="NG3" s="256" t="s">
        <v>106</v>
      </c>
      <c r="NH3" s="249" t="s">
        <v>107</v>
      </c>
      <c r="NI3" s="249" t="s">
        <v>3210</v>
      </c>
      <c r="NJ3" s="255" t="s">
        <v>105</v>
      </c>
      <c r="NK3" s="165" t="s">
        <v>106</v>
      </c>
      <c r="NL3" s="165" t="s">
        <v>107</v>
      </c>
      <c r="NM3" s="165" t="s">
        <v>3211</v>
      </c>
      <c r="NN3" s="267"/>
      <c r="NO3" s="289"/>
      <c r="NP3" s="267"/>
      <c r="NQ3" s="269"/>
      <c r="NR3" s="165" t="s">
        <v>103</v>
      </c>
      <c r="NS3" s="246" t="s">
        <v>3212</v>
      </c>
      <c r="NT3" s="165" t="s">
        <v>3213</v>
      </c>
      <c r="NU3" s="165" t="s">
        <v>102</v>
      </c>
      <c r="NV3" s="165" t="s">
        <v>103</v>
      </c>
      <c r="NW3" s="245" t="s">
        <v>104</v>
      </c>
      <c r="NX3" s="165" t="s">
        <v>101</v>
      </c>
      <c r="NY3" s="165" t="s">
        <v>102</v>
      </c>
    </row>
    <row r="4" spans="1:389" s="29" customFormat="1" ht="13" x14ac:dyDescent="0.35">
      <c r="A4" s="29">
        <v>492486</v>
      </c>
      <c r="B4" s="29" t="s">
        <v>3116</v>
      </c>
      <c r="C4" s="253">
        <v>42957</v>
      </c>
      <c r="D4" s="29" t="s">
        <v>3114</v>
      </c>
      <c r="E4" s="29" t="s">
        <v>3115</v>
      </c>
      <c r="F4" s="29" t="s">
        <v>2304</v>
      </c>
      <c r="G4" s="257" t="s">
        <v>3117</v>
      </c>
      <c r="H4" s="253">
        <v>42735</v>
      </c>
      <c r="I4" s="29" t="s">
        <v>3136</v>
      </c>
      <c r="J4" s="29">
        <v>4</v>
      </c>
      <c r="K4" s="29" t="s">
        <v>3126</v>
      </c>
      <c r="N4" s="29" t="s">
        <v>1850</v>
      </c>
      <c r="O4" s="29" t="s">
        <v>3220</v>
      </c>
      <c r="P4" s="29" t="s">
        <v>3123</v>
      </c>
      <c r="R4" s="29" t="s">
        <v>709</v>
      </c>
      <c r="S4" s="29">
        <v>1</v>
      </c>
      <c r="T4" s="29" t="s">
        <v>3123</v>
      </c>
      <c r="V4" s="29">
        <v>1</v>
      </c>
      <c r="W4" s="29">
        <v>0.80348585490573377</v>
      </c>
      <c r="AA4" s="29">
        <v>0.80348585490573377</v>
      </c>
      <c r="AE4" s="29">
        <v>105.46</v>
      </c>
      <c r="AF4" s="29" t="s">
        <v>3125</v>
      </c>
      <c r="AI4" s="29">
        <v>49.69</v>
      </c>
      <c r="AJ4" s="29" t="s">
        <v>3125</v>
      </c>
      <c r="AM4" s="29">
        <v>33.47</v>
      </c>
      <c r="AN4" s="29" t="s">
        <v>3125</v>
      </c>
      <c r="AP4" s="29">
        <v>1</v>
      </c>
      <c r="AQ4" s="29">
        <v>0.67091008303485866</v>
      </c>
      <c r="AU4" s="29">
        <v>0.67091008303485866</v>
      </c>
      <c r="AY4" s="29">
        <v>78.709999999999994</v>
      </c>
      <c r="AZ4" s="29" t="s">
        <v>3125</v>
      </c>
      <c r="BC4" s="29">
        <v>41.39</v>
      </c>
      <c r="BD4" s="29" t="s">
        <v>3125</v>
      </c>
      <c r="BG4" s="29">
        <v>28.74</v>
      </c>
      <c r="BH4" s="29" t="s">
        <v>3125</v>
      </c>
      <c r="BJ4" s="29">
        <v>3</v>
      </c>
      <c r="BK4" s="29">
        <v>105.46</v>
      </c>
      <c r="BO4" s="29">
        <v>105.46</v>
      </c>
      <c r="BP4" s="29" t="s">
        <v>3125</v>
      </c>
      <c r="BR4" s="29">
        <v>4</v>
      </c>
      <c r="BS4" s="29">
        <v>78.709999999999994</v>
      </c>
      <c r="BW4" s="29">
        <v>78.709999999999994</v>
      </c>
      <c r="BX4" s="29" t="s">
        <v>3125</v>
      </c>
      <c r="BZ4" s="29">
        <v>2</v>
      </c>
      <c r="CA4" s="29">
        <v>30</v>
      </c>
      <c r="CE4" s="29">
        <v>30</v>
      </c>
      <c r="CF4" s="29" t="s">
        <v>3215</v>
      </c>
      <c r="CG4" s="29" t="s">
        <v>3221</v>
      </c>
      <c r="CH4" s="29">
        <v>1</v>
      </c>
      <c r="CI4" s="29" t="s">
        <v>132</v>
      </c>
      <c r="CL4" s="29" t="s">
        <v>132</v>
      </c>
      <c r="CM4" s="29" t="s">
        <v>3222</v>
      </c>
      <c r="CN4" s="29" t="s">
        <v>360</v>
      </c>
      <c r="CP4" s="29">
        <v>1</v>
      </c>
      <c r="CQ4" s="29">
        <v>1.1221316138820407</v>
      </c>
      <c r="CU4" s="29">
        <v>118.34</v>
      </c>
      <c r="CV4" s="29" t="s">
        <v>3125</v>
      </c>
      <c r="CY4" s="29">
        <v>105.46</v>
      </c>
      <c r="CZ4" s="29" t="s">
        <v>3125</v>
      </c>
      <c r="DB4" s="29">
        <v>3</v>
      </c>
      <c r="DC4" s="29">
        <v>352.9</v>
      </c>
      <c r="DK4" s="29">
        <v>352.9</v>
      </c>
      <c r="DL4" s="29" t="s">
        <v>3125</v>
      </c>
      <c r="DM4" s="29" t="s">
        <v>3223</v>
      </c>
      <c r="DN4" s="29">
        <v>1</v>
      </c>
      <c r="DO4" s="29">
        <v>4.483547198577055</v>
      </c>
      <c r="DS4" s="29">
        <v>78.709999999999994</v>
      </c>
      <c r="DT4" s="29" t="s">
        <v>3125</v>
      </c>
      <c r="DW4" s="29">
        <v>352.9</v>
      </c>
      <c r="DX4" s="29" t="s">
        <v>3125</v>
      </c>
      <c r="DZ4" s="260">
        <v>5</v>
      </c>
      <c r="EA4" s="264" t="s">
        <v>3245</v>
      </c>
      <c r="EB4" s="261"/>
      <c r="EC4" s="264" t="s">
        <v>3246</v>
      </c>
      <c r="ED4" s="261"/>
      <c r="EE4" s="264" t="s">
        <v>3245</v>
      </c>
      <c r="EF4" s="261" t="s">
        <v>3125</v>
      </c>
      <c r="EX4" s="260">
        <v>5</v>
      </c>
      <c r="EY4" s="264" t="s">
        <v>3245</v>
      </c>
      <c r="EZ4" s="261"/>
      <c r="FA4" s="264" t="s">
        <v>3246</v>
      </c>
      <c r="FB4" s="261"/>
      <c r="FC4" s="264" t="s">
        <v>3245</v>
      </c>
      <c r="FD4" s="261" t="s">
        <v>3125</v>
      </c>
      <c r="FV4" s="29">
        <v>2</v>
      </c>
      <c r="FW4" s="29">
        <v>116.42</v>
      </c>
      <c r="GA4" s="29">
        <v>116.42</v>
      </c>
      <c r="GB4" s="29" t="s">
        <v>3125</v>
      </c>
      <c r="GD4" s="29">
        <v>2</v>
      </c>
      <c r="GE4" s="29">
        <v>109.61</v>
      </c>
      <c r="GI4" s="29">
        <v>109.61</v>
      </c>
      <c r="GJ4" s="29" t="s">
        <v>3125</v>
      </c>
      <c r="GL4" s="29">
        <v>3</v>
      </c>
      <c r="GM4" s="29">
        <v>240.69</v>
      </c>
      <c r="GQ4" s="29">
        <v>240.69</v>
      </c>
      <c r="GR4" s="29" t="s">
        <v>3125</v>
      </c>
      <c r="GT4" s="29">
        <v>2</v>
      </c>
      <c r="GU4" s="29" t="s">
        <v>3224</v>
      </c>
      <c r="GW4" s="258" t="s">
        <v>3135</v>
      </c>
      <c r="GY4" s="29" t="s">
        <v>3224</v>
      </c>
      <c r="GZ4" s="29" t="s">
        <v>3125</v>
      </c>
      <c r="HR4" s="29">
        <v>2</v>
      </c>
      <c r="HS4" s="29" t="s">
        <v>3224</v>
      </c>
      <c r="HU4" s="258" t="s">
        <v>3135</v>
      </c>
      <c r="HW4" s="29" t="s">
        <v>3224</v>
      </c>
      <c r="HX4" s="29" t="s">
        <v>3125</v>
      </c>
      <c r="IP4" s="29">
        <v>2</v>
      </c>
      <c r="IQ4" s="29" t="s">
        <v>3217</v>
      </c>
      <c r="IU4" s="29" t="s">
        <v>3225</v>
      </c>
      <c r="IV4" s="29" t="s">
        <v>3123</v>
      </c>
      <c r="IX4" s="29">
        <v>4</v>
      </c>
      <c r="IY4" s="29">
        <v>0</v>
      </c>
      <c r="JB4" s="29">
        <v>0</v>
      </c>
      <c r="JC4" s="29" t="s">
        <v>3020</v>
      </c>
      <c r="JD4" s="29" t="s">
        <v>3123</v>
      </c>
      <c r="JG4" s="29">
        <v>98.5323702285</v>
      </c>
      <c r="JH4" s="29" t="s">
        <v>2105</v>
      </c>
      <c r="JJ4" s="29">
        <v>3</v>
      </c>
      <c r="JK4" s="29">
        <v>0.10894765251679578</v>
      </c>
      <c r="JO4" s="29">
        <v>21.897006139999998</v>
      </c>
      <c r="JP4" s="29" t="s">
        <v>3123</v>
      </c>
      <c r="JS4" s="29">
        <v>200.9864887784</v>
      </c>
      <c r="JT4" s="29" t="s">
        <v>2105</v>
      </c>
      <c r="JV4" s="29">
        <v>1</v>
      </c>
      <c r="JW4" s="29">
        <v>0.29362665635518226</v>
      </c>
      <c r="KA4" s="29">
        <v>21.897006139999998</v>
      </c>
      <c r="KB4" s="29" t="s">
        <v>3123</v>
      </c>
      <c r="KE4" s="29">
        <v>74.574312876800008</v>
      </c>
      <c r="KF4" s="29" t="s">
        <v>3216</v>
      </c>
      <c r="KI4" s="29">
        <v>0</v>
      </c>
      <c r="KJ4" s="29" t="s">
        <v>2105</v>
      </c>
      <c r="KL4" s="29">
        <v>1</v>
      </c>
      <c r="KM4" s="29">
        <v>1.8357728710797123E-2</v>
      </c>
      <c r="KQ4" s="29">
        <v>0.72</v>
      </c>
      <c r="KR4" s="29" t="s">
        <v>3123</v>
      </c>
      <c r="KU4" s="29">
        <v>39.220538190900001</v>
      </c>
      <c r="KV4" s="29" t="s">
        <v>2105</v>
      </c>
      <c r="KX4" s="29">
        <v>4</v>
      </c>
      <c r="KY4" s="29">
        <v>0</v>
      </c>
      <c r="LC4" s="29">
        <v>0</v>
      </c>
      <c r="LG4" s="29">
        <v>0</v>
      </c>
      <c r="LH4" s="29" t="s">
        <v>3123</v>
      </c>
      <c r="LK4" s="29">
        <v>9.4710000000000001</v>
      </c>
      <c r="LL4" s="29" t="s">
        <v>2105</v>
      </c>
      <c r="LN4" s="29">
        <v>4</v>
      </c>
      <c r="LO4" s="29" t="s">
        <v>3129</v>
      </c>
      <c r="LS4" s="29" t="s">
        <v>3129</v>
      </c>
      <c r="LT4" s="29" t="s">
        <v>3216</v>
      </c>
      <c r="LV4" s="29">
        <v>3</v>
      </c>
      <c r="LW4" s="29">
        <v>0.52792977207903935</v>
      </c>
      <c r="MA4" s="29">
        <v>39.369999999999997</v>
      </c>
      <c r="MB4" s="29" t="s">
        <v>3123</v>
      </c>
      <c r="ME4" s="29">
        <v>74.574312876800008</v>
      </c>
      <c r="MF4" s="29" t="s">
        <v>2105</v>
      </c>
      <c r="MH4" s="29">
        <v>1</v>
      </c>
      <c r="MI4" s="29">
        <v>4.8977047574523036E-2</v>
      </c>
      <c r="MM4" s="29">
        <v>15.18</v>
      </c>
      <c r="MN4" s="29" t="s">
        <v>3125</v>
      </c>
      <c r="MQ4" s="29">
        <v>8.3699999999999992</v>
      </c>
      <c r="MR4" s="29" t="s">
        <v>3125</v>
      </c>
      <c r="MU4" s="29">
        <v>46.32</v>
      </c>
      <c r="MV4" s="29" t="s">
        <v>3125</v>
      </c>
      <c r="MY4" s="29">
        <v>27.74</v>
      </c>
      <c r="MZ4" s="29" t="s">
        <v>3125</v>
      </c>
      <c r="NB4" s="29">
        <v>1</v>
      </c>
      <c r="NC4" s="29" t="s">
        <v>120</v>
      </c>
      <c r="NG4" s="29">
        <v>3</v>
      </c>
      <c r="NJ4" s="29">
        <v>3</v>
      </c>
      <c r="NK4" s="29" t="s">
        <v>120</v>
      </c>
      <c r="NL4" s="29" t="s">
        <v>2105</v>
      </c>
      <c r="NN4" s="29">
        <v>1</v>
      </c>
      <c r="NO4" s="29">
        <v>9.1050118171619954E-2</v>
      </c>
      <c r="NS4" s="29">
        <v>6.79</v>
      </c>
      <c r="NT4" s="29" t="s">
        <v>3123</v>
      </c>
      <c r="NW4" s="29">
        <v>74.574312876800008</v>
      </c>
      <c r="NX4" s="29" t="s">
        <v>2105</v>
      </c>
    </row>
    <row r="5" spans="1:389" s="29" customFormat="1" ht="13" x14ac:dyDescent="0.35">
      <c r="A5" s="29">
        <v>140636</v>
      </c>
      <c r="B5" s="29" t="s">
        <v>3119</v>
      </c>
      <c r="C5" s="253">
        <v>42985</v>
      </c>
      <c r="D5" s="29" t="s">
        <v>3114</v>
      </c>
      <c r="E5" s="29" t="s">
        <v>3118</v>
      </c>
      <c r="F5" s="29" t="s">
        <v>3115</v>
      </c>
      <c r="G5" s="257" t="s">
        <v>3120</v>
      </c>
      <c r="H5" s="253">
        <v>42735</v>
      </c>
      <c r="I5" s="29" t="s">
        <v>3137</v>
      </c>
      <c r="J5" s="29">
        <v>2</v>
      </c>
      <c r="K5" s="29" t="s">
        <v>3127</v>
      </c>
      <c r="N5" s="29" t="s">
        <v>864</v>
      </c>
      <c r="O5" s="29" t="s">
        <v>1062</v>
      </c>
      <c r="P5" s="29" t="s">
        <v>3125</v>
      </c>
      <c r="R5" s="29" t="s">
        <v>709</v>
      </c>
      <c r="S5" s="29">
        <v>1</v>
      </c>
      <c r="T5" s="29" t="s">
        <v>3123</v>
      </c>
      <c r="V5" s="29">
        <v>1</v>
      </c>
      <c r="W5" s="29">
        <v>0.45787737802937978</v>
      </c>
      <c r="AA5" s="29">
        <v>0.45787737802937978</v>
      </c>
      <c r="AE5" s="29">
        <v>50.4</v>
      </c>
      <c r="AF5" s="29" t="s">
        <v>3125</v>
      </c>
      <c r="AI5" s="29">
        <v>21.22</v>
      </c>
      <c r="AJ5" s="29" t="s">
        <v>3227</v>
      </c>
      <c r="AM5" s="29">
        <v>39.25</v>
      </c>
      <c r="AN5" s="29" t="s">
        <v>3228</v>
      </c>
      <c r="AP5" s="29">
        <v>1</v>
      </c>
      <c r="AQ5" s="29">
        <v>0.47485393713413881</v>
      </c>
      <c r="AU5" s="29">
        <v>0.47485393713413881</v>
      </c>
      <c r="AY5" s="29">
        <v>37.619999999999997</v>
      </c>
      <c r="AZ5" s="29" t="s">
        <v>3125</v>
      </c>
      <c r="BC5" s="29">
        <v>16.03</v>
      </c>
      <c r="BD5" s="29" t="s">
        <v>3226</v>
      </c>
      <c r="BG5" s="29">
        <v>26.59</v>
      </c>
      <c r="BH5" s="29" t="s">
        <v>3228</v>
      </c>
      <c r="BJ5" s="29">
        <v>4</v>
      </c>
      <c r="BK5" s="29">
        <v>50.4</v>
      </c>
      <c r="BO5" s="29">
        <v>50.4</v>
      </c>
      <c r="BP5" s="29" t="s">
        <v>3125</v>
      </c>
      <c r="BR5" s="29">
        <v>4</v>
      </c>
      <c r="BS5" s="29">
        <v>37.619999999999997</v>
      </c>
      <c r="BW5" s="29">
        <v>37.619999999999997</v>
      </c>
      <c r="BX5" s="29" t="s">
        <v>3125</v>
      </c>
      <c r="BZ5" s="29">
        <v>3</v>
      </c>
      <c r="CA5" s="29">
        <v>196</v>
      </c>
      <c r="CE5" s="29">
        <v>196</v>
      </c>
      <c r="CF5" s="29" t="s">
        <v>3215</v>
      </c>
      <c r="CH5" s="29">
        <v>1</v>
      </c>
      <c r="CI5" s="29" t="s">
        <v>132</v>
      </c>
      <c r="CL5" s="29" t="s">
        <v>132</v>
      </c>
      <c r="CM5" s="29" t="s">
        <v>774</v>
      </c>
      <c r="CN5" s="29" t="s">
        <v>360</v>
      </c>
      <c r="CP5" s="29">
        <v>2</v>
      </c>
      <c r="CQ5" s="29">
        <v>0</v>
      </c>
      <c r="CU5" s="29">
        <v>0</v>
      </c>
      <c r="CV5" s="29" t="s">
        <v>3125</v>
      </c>
      <c r="CW5" s="29" t="s">
        <v>3229</v>
      </c>
      <c r="CY5" s="29">
        <v>50.4</v>
      </c>
      <c r="CZ5" s="29" t="s">
        <v>3125</v>
      </c>
      <c r="DB5" s="29">
        <v>3</v>
      </c>
      <c r="DC5" s="29">
        <v>148.6</v>
      </c>
      <c r="DK5" s="29">
        <v>148.6</v>
      </c>
      <c r="DL5" s="29" t="s">
        <v>3125</v>
      </c>
      <c r="DN5" s="29">
        <v>1</v>
      </c>
      <c r="DO5" s="29">
        <v>3.9500265816055289</v>
      </c>
      <c r="DS5" s="29">
        <v>37.619999999999997</v>
      </c>
      <c r="DT5" s="29" t="s">
        <v>3125</v>
      </c>
      <c r="DW5" s="29">
        <v>148.6</v>
      </c>
      <c r="DX5" s="29" t="s">
        <v>3125</v>
      </c>
      <c r="DZ5" s="260">
        <v>3</v>
      </c>
      <c r="EA5" s="259" t="s">
        <v>3247</v>
      </c>
      <c r="EB5" s="263"/>
      <c r="EC5" s="262">
        <v>2.7559</v>
      </c>
      <c r="ED5" s="263"/>
      <c r="EE5" s="259" t="s">
        <v>3247</v>
      </c>
      <c r="EF5" s="263" t="s">
        <v>3125</v>
      </c>
      <c r="EI5" s="257">
        <v>0</v>
      </c>
      <c r="EJ5" s="29" t="s">
        <v>3125</v>
      </c>
      <c r="EM5" s="257">
        <v>0.24410000000000001</v>
      </c>
      <c r="EN5" s="29" t="s">
        <v>3125</v>
      </c>
      <c r="EQ5" s="257">
        <v>0.75590000000000002</v>
      </c>
      <c r="ER5" s="29" t="s">
        <v>3125</v>
      </c>
      <c r="EU5" s="29">
        <v>0</v>
      </c>
      <c r="EV5" s="29" t="s">
        <v>3125</v>
      </c>
      <c r="EX5" s="260">
        <v>3</v>
      </c>
      <c r="EY5" s="259" t="s">
        <v>3247</v>
      </c>
      <c r="EZ5" s="263"/>
      <c r="FA5" s="262">
        <v>2.7559</v>
      </c>
      <c r="FB5" s="263"/>
      <c r="FC5" s="259" t="s">
        <v>3247</v>
      </c>
      <c r="FD5" s="263" t="s">
        <v>3125</v>
      </c>
      <c r="FG5" s="257">
        <v>0</v>
      </c>
      <c r="FH5" s="29" t="s">
        <v>3125</v>
      </c>
      <c r="FK5" s="257">
        <v>0.24410000000000001</v>
      </c>
      <c r="FL5" s="29" t="s">
        <v>3125</v>
      </c>
      <c r="FO5" s="257">
        <v>0.75590000000000002</v>
      </c>
      <c r="FP5" s="29" t="s">
        <v>3125</v>
      </c>
      <c r="FS5" s="29">
        <v>0</v>
      </c>
      <c r="FT5" s="29" t="s">
        <v>3125</v>
      </c>
      <c r="FV5" s="29">
        <v>6</v>
      </c>
      <c r="FW5" s="29" t="s">
        <v>3133</v>
      </c>
      <c r="FY5" s="29" t="s">
        <v>36</v>
      </c>
      <c r="GC5" s="29" t="s">
        <v>36</v>
      </c>
      <c r="GD5" s="29">
        <v>6</v>
      </c>
      <c r="GE5" s="29" t="s">
        <v>3133</v>
      </c>
      <c r="GG5" s="29" t="s">
        <v>36</v>
      </c>
      <c r="GK5" s="29" t="s">
        <v>36</v>
      </c>
      <c r="GL5" s="29">
        <v>5</v>
      </c>
      <c r="GM5" s="29" t="s">
        <v>3133</v>
      </c>
      <c r="GO5" s="29" t="s">
        <v>36</v>
      </c>
      <c r="GS5" s="29" t="s">
        <v>36</v>
      </c>
      <c r="GT5" s="29">
        <v>2</v>
      </c>
      <c r="GU5" s="29" t="s">
        <v>3230</v>
      </c>
      <c r="GW5" s="258" t="s">
        <v>3135</v>
      </c>
      <c r="GY5" s="29" t="s">
        <v>3230</v>
      </c>
      <c r="GZ5" s="29" t="s">
        <v>3125</v>
      </c>
      <c r="HR5" s="29">
        <v>2</v>
      </c>
      <c r="HS5" s="29" t="s">
        <v>3230</v>
      </c>
      <c r="HU5" s="258" t="s">
        <v>3135</v>
      </c>
      <c r="HW5" s="29" t="s">
        <v>3230</v>
      </c>
      <c r="HX5" s="29" t="s">
        <v>3125</v>
      </c>
      <c r="IP5" s="29">
        <v>1</v>
      </c>
      <c r="IQ5" s="29" t="s">
        <v>3231</v>
      </c>
      <c r="IU5" s="29" t="s">
        <v>3232</v>
      </c>
      <c r="IV5" s="29" t="s">
        <v>3123</v>
      </c>
      <c r="IX5" s="29">
        <v>4</v>
      </c>
      <c r="IY5" s="29">
        <v>2.2480998613638975E-2</v>
      </c>
      <c r="JB5" s="29">
        <v>1.7200000000000002</v>
      </c>
      <c r="JC5" s="29" t="s">
        <v>3233</v>
      </c>
      <c r="JD5" s="29" t="s">
        <v>3123</v>
      </c>
      <c r="JG5" s="29">
        <v>76.5090568066</v>
      </c>
      <c r="JH5" s="29" t="s">
        <v>2105</v>
      </c>
      <c r="JJ5" s="29">
        <v>3</v>
      </c>
      <c r="JK5" s="29">
        <v>0.30834202987492659</v>
      </c>
      <c r="JO5" s="29">
        <v>84.189723999999998</v>
      </c>
      <c r="JP5" s="29" t="s">
        <v>3123</v>
      </c>
      <c r="JS5" s="29">
        <v>273.04005241890002</v>
      </c>
      <c r="JT5" s="29" t="s">
        <v>2105</v>
      </c>
      <c r="JV5" s="29">
        <v>4</v>
      </c>
      <c r="JW5" s="29">
        <v>1.3210054384315133</v>
      </c>
      <c r="KA5" s="29">
        <v>84.189723999999998</v>
      </c>
      <c r="KB5" s="29" t="s">
        <v>3123</v>
      </c>
      <c r="KE5" s="29">
        <v>63.731549886700002</v>
      </c>
      <c r="KF5" s="29" t="s">
        <v>3216</v>
      </c>
      <c r="KI5" s="29">
        <v>0</v>
      </c>
      <c r="KJ5" s="29" t="s">
        <v>2105</v>
      </c>
      <c r="KL5" s="29">
        <v>1</v>
      </c>
      <c r="KM5" s="29">
        <v>1.2859816180635829E-2</v>
      </c>
      <c r="KQ5" s="29">
        <v>0.74</v>
      </c>
      <c r="KR5" s="29" t="s">
        <v>3123</v>
      </c>
      <c r="KU5" s="29">
        <v>57.543590795200004</v>
      </c>
      <c r="KV5" s="29" t="s">
        <v>2105</v>
      </c>
      <c r="KX5" s="29">
        <v>4</v>
      </c>
      <c r="KY5" s="29">
        <v>7.0926897734286385E-4</v>
      </c>
      <c r="LC5" s="29">
        <v>7.0926897734286385E-4</v>
      </c>
      <c r="LG5" s="29">
        <v>0.04</v>
      </c>
      <c r="LH5" s="29" t="s">
        <v>3123</v>
      </c>
      <c r="LK5" s="29">
        <v>56.396094116299999</v>
      </c>
      <c r="LL5" s="29" t="s">
        <v>2105</v>
      </c>
      <c r="LN5" s="29">
        <v>4</v>
      </c>
      <c r="LO5" s="29" t="s">
        <v>3129</v>
      </c>
      <c r="LS5" s="29" t="s">
        <v>3129</v>
      </c>
      <c r="LT5" s="29" t="s">
        <v>3216</v>
      </c>
      <c r="LV5" s="29">
        <v>2</v>
      </c>
      <c r="LW5" s="29">
        <v>2.7400871359703611</v>
      </c>
      <c r="MA5" s="29">
        <v>174.63</v>
      </c>
      <c r="MB5" s="29" t="s">
        <v>3234</v>
      </c>
      <c r="ME5" s="29">
        <v>63.731549886700002</v>
      </c>
      <c r="MF5" s="29" t="s">
        <v>2105</v>
      </c>
      <c r="MH5" s="29">
        <v>2</v>
      </c>
      <c r="MI5" s="29">
        <v>6.5040574685478775E-2</v>
      </c>
      <c r="MM5" s="29">
        <v>16.760000000000002</v>
      </c>
      <c r="MN5" s="29" t="s">
        <v>3125</v>
      </c>
      <c r="MQ5" s="29">
        <v>2.61</v>
      </c>
      <c r="MR5" s="29" t="s">
        <v>3125</v>
      </c>
      <c r="MU5" s="29">
        <v>115.77</v>
      </c>
      <c r="MV5" s="29" t="s">
        <v>3125</v>
      </c>
      <c r="MW5" s="29" t="s">
        <v>3130</v>
      </c>
      <c r="MY5" s="29">
        <v>81.69</v>
      </c>
      <c r="MZ5" s="29" t="s">
        <v>3125</v>
      </c>
      <c r="NA5" s="29" t="s">
        <v>3130</v>
      </c>
      <c r="NB5" s="29">
        <v>3</v>
      </c>
      <c r="NC5" s="29" t="s">
        <v>121</v>
      </c>
      <c r="NG5" s="29">
        <v>16</v>
      </c>
      <c r="NJ5" s="29">
        <v>16</v>
      </c>
      <c r="NK5" s="29" t="s">
        <v>121</v>
      </c>
      <c r="NL5" s="29" t="s">
        <v>2105</v>
      </c>
      <c r="NN5" s="29">
        <v>1</v>
      </c>
      <c r="NO5" s="29">
        <v>0</v>
      </c>
      <c r="NS5" s="29">
        <v>0</v>
      </c>
      <c r="NT5" s="29" t="s">
        <v>3123</v>
      </c>
      <c r="NW5" s="29">
        <v>63.731549886700002</v>
      </c>
      <c r="NX5" s="29" t="s">
        <v>2105</v>
      </c>
    </row>
    <row r="6" spans="1:389" s="29" customFormat="1" ht="13" x14ac:dyDescent="0.35">
      <c r="A6" s="29">
        <v>256671</v>
      </c>
      <c r="B6" s="29" t="s">
        <v>3121</v>
      </c>
      <c r="C6" s="253">
        <v>42985</v>
      </c>
      <c r="D6" s="29" t="s">
        <v>3114</v>
      </c>
      <c r="E6" s="29" t="s">
        <v>3118</v>
      </c>
      <c r="F6" s="29" t="s">
        <v>3115</v>
      </c>
      <c r="G6" s="257" t="s">
        <v>3122</v>
      </c>
      <c r="H6" s="253">
        <v>42735</v>
      </c>
      <c r="I6" s="29" t="s">
        <v>3138</v>
      </c>
      <c r="J6" s="29">
        <v>3</v>
      </c>
      <c r="K6" s="29" t="s">
        <v>3128</v>
      </c>
      <c r="N6" s="29" t="s">
        <v>1872</v>
      </c>
      <c r="O6" s="29" t="s">
        <v>3235</v>
      </c>
      <c r="P6" s="29" t="s">
        <v>3124</v>
      </c>
      <c r="R6" s="29" t="s">
        <v>709</v>
      </c>
      <c r="S6" s="29">
        <v>1</v>
      </c>
      <c r="T6" s="29" t="s">
        <v>3124</v>
      </c>
      <c r="V6" s="29">
        <v>1</v>
      </c>
      <c r="W6" s="29">
        <v>2.2242665948454459</v>
      </c>
      <c r="AA6" s="29">
        <v>2.2242665948454459</v>
      </c>
      <c r="AE6" s="29">
        <v>16.04</v>
      </c>
      <c r="AF6" s="29" t="s">
        <v>3124</v>
      </c>
      <c r="AG6" s="29" t="s">
        <v>3236</v>
      </c>
      <c r="AI6" s="29">
        <v>10.97</v>
      </c>
      <c r="AJ6" s="29" t="s">
        <v>3124</v>
      </c>
      <c r="AK6" s="29" t="s">
        <v>3236</v>
      </c>
      <c r="AM6" s="29">
        <v>2.2000000000000002</v>
      </c>
      <c r="AN6" s="29" t="s">
        <v>3237</v>
      </c>
      <c r="AO6" s="29" t="s">
        <v>3236</v>
      </c>
      <c r="AP6" s="29">
        <v>1</v>
      </c>
      <c r="AQ6" s="29">
        <v>1.2170471871584967</v>
      </c>
      <c r="AU6" s="29">
        <v>1.2170471871584967</v>
      </c>
      <c r="AY6" s="29">
        <v>17.86</v>
      </c>
      <c r="AZ6" s="29" t="s">
        <v>3124</v>
      </c>
      <c r="BA6" s="29" t="s">
        <v>3236</v>
      </c>
      <c r="BC6" s="29">
        <v>11.49</v>
      </c>
      <c r="BD6" s="29" t="s">
        <v>3237</v>
      </c>
      <c r="BE6" s="29" t="s">
        <v>3236</v>
      </c>
      <c r="BG6" s="29">
        <v>3.99</v>
      </c>
      <c r="BH6" s="29" t="s">
        <v>3237</v>
      </c>
      <c r="BI6" s="29" t="s">
        <v>3236</v>
      </c>
      <c r="BJ6" s="29">
        <v>5</v>
      </c>
      <c r="BK6" s="29">
        <v>16.04</v>
      </c>
      <c r="BO6" s="29">
        <v>16.04</v>
      </c>
      <c r="BP6" s="29" t="s">
        <v>3124</v>
      </c>
      <c r="BR6" s="29">
        <v>5</v>
      </c>
      <c r="BS6" s="29">
        <v>17.86</v>
      </c>
      <c r="BW6" s="29">
        <v>17.86</v>
      </c>
      <c r="BX6" s="29" t="s">
        <v>3124</v>
      </c>
      <c r="BZ6" s="29">
        <v>5</v>
      </c>
      <c r="CA6" s="29" t="s">
        <v>3134</v>
      </c>
      <c r="CE6" s="29" t="s">
        <v>3134</v>
      </c>
      <c r="CF6" s="29" t="s">
        <v>3215</v>
      </c>
      <c r="CH6" s="29">
        <v>1</v>
      </c>
      <c r="CI6" s="29" t="s">
        <v>132</v>
      </c>
      <c r="CL6" s="29" t="s">
        <v>132</v>
      </c>
      <c r="CM6" s="29" t="s">
        <v>3238</v>
      </c>
      <c r="CN6" s="29" t="s">
        <v>3123</v>
      </c>
      <c r="CP6" s="29">
        <v>4</v>
      </c>
      <c r="CQ6" s="29" t="s">
        <v>3133</v>
      </c>
      <c r="CS6" s="29" t="s">
        <v>36</v>
      </c>
      <c r="CW6" s="29" t="s">
        <v>36</v>
      </c>
      <c r="CY6" s="29">
        <v>16.04</v>
      </c>
      <c r="CZ6" s="29" t="s">
        <v>3124</v>
      </c>
      <c r="DB6" s="29">
        <v>5</v>
      </c>
      <c r="DC6" s="29" t="s">
        <v>3133</v>
      </c>
      <c r="DE6" s="29" t="s">
        <v>36</v>
      </c>
      <c r="DI6" s="29" t="s">
        <v>36</v>
      </c>
      <c r="DM6" s="29" t="s">
        <v>36</v>
      </c>
      <c r="DN6" s="29">
        <v>4</v>
      </c>
      <c r="DO6" s="29" t="s">
        <v>3133</v>
      </c>
      <c r="DQ6" s="29" t="s">
        <v>36</v>
      </c>
      <c r="DS6" s="29">
        <v>17.86</v>
      </c>
      <c r="DT6" s="29" t="s">
        <v>3124</v>
      </c>
      <c r="DY6" s="29" t="s">
        <v>36</v>
      </c>
      <c r="DZ6" s="260">
        <v>5</v>
      </c>
      <c r="EA6" s="263"/>
      <c r="EB6" s="263"/>
      <c r="EC6" s="264" t="s">
        <v>36</v>
      </c>
      <c r="ED6" s="263"/>
      <c r="EE6" s="263"/>
      <c r="EF6" s="263"/>
      <c r="EG6" s="264" t="s">
        <v>36</v>
      </c>
      <c r="EX6" s="260">
        <v>5</v>
      </c>
      <c r="EY6" s="263"/>
      <c r="EZ6" s="263"/>
      <c r="FA6" s="264" t="s">
        <v>36</v>
      </c>
      <c r="FB6" s="263"/>
      <c r="FC6" s="263"/>
      <c r="FD6" s="263"/>
      <c r="FE6" s="264" t="s">
        <v>36</v>
      </c>
      <c r="FV6" s="29">
        <v>6</v>
      </c>
      <c r="FW6" s="29" t="s">
        <v>3133</v>
      </c>
      <c r="FY6" s="29" t="s">
        <v>36</v>
      </c>
      <c r="GC6" s="29" t="s">
        <v>36</v>
      </c>
      <c r="GD6" s="29">
        <v>6</v>
      </c>
      <c r="GE6" s="29" t="s">
        <v>3133</v>
      </c>
      <c r="GG6" s="29" t="s">
        <v>36</v>
      </c>
      <c r="GK6" s="29" t="s">
        <v>36</v>
      </c>
      <c r="GL6" s="29">
        <v>4</v>
      </c>
      <c r="GM6" s="29">
        <v>19.68</v>
      </c>
      <c r="GQ6" s="29">
        <v>19.68</v>
      </c>
      <c r="GR6" s="29" t="s">
        <v>3124</v>
      </c>
      <c r="GT6" s="29">
        <v>2</v>
      </c>
      <c r="GU6" s="29" t="s">
        <v>3219</v>
      </c>
      <c r="GW6" s="258">
        <v>2</v>
      </c>
      <c r="GY6" s="29" t="s">
        <v>3219</v>
      </c>
      <c r="GZ6" s="29" t="s">
        <v>3124</v>
      </c>
      <c r="HC6" s="29">
        <v>0</v>
      </c>
      <c r="HD6" s="29" t="s">
        <v>3124</v>
      </c>
      <c r="HG6" s="29">
        <v>1</v>
      </c>
      <c r="HH6" s="29" t="s">
        <v>3124</v>
      </c>
      <c r="HK6" s="29">
        <v>0</v>
      </c>
      <c r="HL6" s="29" t="s">
        <v>3124</v>
      </c>
      <c r="HO6" s="29">
        <v>0</v>
      </c>
      <c r="HP6" s="29" t="s">
        <v>3124</v>
      </c>
      <c r="HR6" s="29">
        <v>2</v>
      </c>
      <c r="HS6" s="29" t="s">
        <v>3219</v>
      </c>
      <c r="HU6" s="258">
        <v>2</v>
      </c>
      <c r="HW6" s="29" t="s">
        <v>3219</v>
      </c>
      <c r="HX6" s="29" t="s">
        <v>3124</v>
      </c>
      <c r="IA6" s="29">
        <v>0</v>
      </c>
      <c r="IB6" s="29" t="s">
        <v>3124</v>
      </c>
      <c r="IE6" s="29">
        <v>1</v>
      </c>
      <c r="IF6" s="29" t="s">
        <v>3124</v>
      </c>
      <c r="II6" s="29">
        <v>0</v>
      </c>
      <c r="IJ6" s="29" t="s">
        <v>3124</v>
      </c>
      <c r="IM6" s="29">
        <v>0</v>
      </c>
      <c r="IN6" s="29" t="s">
        <v>3124</v>
      </c>
      <c r="IP6" s="29">
        <v>1</v>
      </c>
      <c r="IQ6" s="29" t="s">
        <v>3239</v>
      </c>
      <c r="IU6" s="29" t="s">
        <v>3240</v>
      </c>
      <c r="IV6" s="29" t="s">
        <v>3123</v>
      </c>
      <c r="IX6" s="29">
        <v>2</v>
      </c>
      <c r="IY6" s="29">
        <v>0.12768975350171877</v>
      </c>
      <c r="JB6" s="29">
        <v>5.69</v>
      </c>
      <c r="JC6" s="29" t="s">
        <v>3241</v>
      </c>
      <c r="JD6" s="29" t="s">
        <v>3123</v>
      </c>
      <c r="JG6" s="29">
        <v>44.561132306700003</v>
      </c>
      <c r="JH6" s="29" t="s">
        <v>2105</v>
      </c>
      <c r="JJ6" s="29">
        <v>3</v>
      </c>
      <c r="JK6" s="29">
        <v>0.176912988292553</v>
      </c>
      <c r="JO6" s="29">
        <v>66.13</v>
      </c>
      <c r="JP6" s="29" t="s">
        <v>3123</v>
      </c>
      <c r="JS6" s="29">
        <v>373.79957592849996</v>
      </c>
      <c r="JT6" s="29" t="s">
        <v>2105</v>
      </c>
      <c r="JV6" s="29">
        <v>1</v>
      </c>
      <c r="JW6" s="29">
        <v>0.47750859628330294</v>
      </c>
      <c r="KA6" s="29">
        <v>66.13</v>
      </c>
      <c r="KB6" s="29" t="s">
        <v>3123</v>
      </c>
      <c r="KE6" s="29">
        <v>138.48965341089999</v>
      </c>
      <c r="KF6" s="29" t="s">
        <v>3216</v>
      </c>
      <c r="KI6" s="29">
        <v>0</v>
      </c>
      <c r="KJ6" s="29" t="s">
        <v>2105</v>
      </c>
      <c r="KL6" s="29">
        <v>1</v>
      </c>
      <c r="KM6" s="29">
        <v>1.8835802043802381E-2</v>
      </c>
      <c r="KQ6" s="29">
        <v>1.1099999999999999</v>
      </c>
      <c r="KR6" s="29" t="s">
        <v>3123</v>
      </c>
      <c r="KU6" s="29">
        <v>58.930328393700002</v>
      </c>
      <c r="KV6" s="29" t="s">
        <v>2105</v>
      </c>
      <c r="KX6" s="29">
        <v>1</v>
      </c>
      <c r="KY6" s="29">
        <v>0.31241156714856017</v>
      </c>
      <c r="LC6" s="29">
        <v>0.31241156714856017</v>
      </c>
      <c r="LG6" s="29">
        <v>31.159999999999997</v>
      </c>
      <c r="LH6" s="29" t="s">
        <v>3123</v>
      </c>
      <c r="LI6" s="29" t="s">
        <v>3218</v>
      </c>
      <c r="LK6" s="29">
        <v>99.740224999999995</v>
      </c>
      <c r="LL6" s="29" t="s">
        <v>2105</v>
      </c>
      <c r="LN6" s="29">
        <v>4</v>
      </c>
      <c r="LO6" s="29" t="s">
        <v>3131</v>
      </c>
      <c r="LS6" s="29" t="s">
        <v>3131</v>
      </c>
      <c r="LT6" s="29" t="s">
        <v>3216</v>
      </c>
      <c r="LV6" s="29">
        <v>2</v>
      </c>
      <c r="LW6" s="29">
        <v>1.9051242710326124</v>
      </c>
      <c r="MA6" s="29">
        <v>263.83999999999997</v>
      </c>
      <c r="MB6" s="29" t="s">
        <v>3123</v>
      </c>
      <c r="ME6" s="29">
        <v>138.48965341089999</v>
      </c>
      <c r="MF6" s="29" t="s">
        <v>2105</v>
      </c>
      <c r="MH6" s="29">
        <v>2</v>
      </c>
      <c r="MI6" s="29">
        <v>6.026976113718184E-2</v>
      </c>
      <c r="MM6" s="29">
        <v>18.71</v>
      </c>
      <c r="MN6" s="29" t="s">
        <v>3124</v>
      </c>
      <c r="MQ6" s="29">
        <v>2.42</v>
      </c>
      <c r="MR6" s="29" t="s">
        <v>3124</v>
      </c>
      <c r="MU6" s="29">
        <v>145.84</v>
      </c>
      <c r="MV6" s="29" t="s">
        <v>3124</v>
      </c>
      <c r="MY6" s="29">
        <v>110.72</v>
      </c>
      <c r="MZ6" s="29" t="s">
        <v>3124</v>
      </c>
      <c r="NB6" s="29">
        <v>4</v>
      </c>
      <c r="NC6" s="29" t="s">
        <v>122</v>
      </c>
      <c r="NG6" s="29">
        <v>36</v>
      </c>
      <c r="NJ6" s="29">
        <v>36</v>
      </c>
      <c r="NK6" s="29" t="s">
        <v>122</v>
      </c>
      <c r="NL6" s="29" t="s">
        <v>2105</v>
      </c>
      <c r="NN6" s="29">
        <v>2</v>
      </c>
      <c r="NO6" s="29">
        <v>0.15669040585736693</v>
      </c>
      <c r="NS6" s="29">
        <v>21.7</v>
      </c>
      <c r="NT6" s="29" t="s">
        <v>3123</v>
      </c>
      <c r="NW6" s="29">
        <v>138.48965341089999</v>
      </c>
      <c r="NX6" s="29" t="s">
        <v>2105</v>
      </c>
    </row>
    <row r="7" spans="1:389" s="29" customFormat="1" ht="13" x14ac:dyDescent="0.35">
      <c r="A7" s="29">
        <v>323906</v>
      </c>
      <c r="B7" s="29" t="s">
        <v>3248</v>
      </c>
      <c r="C7" s="253">
        <v>42972</v>
      </c>
      <c r="D7" s="29" t="s">
        <v>3114</v>
      </c>
      <c r="E7" s="29" t="s">
        <v>3249</v>
      </c>
      <c r="F7" s="29" t="s">
        <v>3115</v>
      </c>
      <c r="G7" s="29" t="s">
        <v>198</v>
      </c>
      <c r="H7" s="253">
        <v>42735</v>
      </c>
      <c r="I7" s="29" t="s">
        <v>3250</v>
      </c>
      <c r="J7" s="29">
        <v>4</v>
      </c>
      <c r="K7" s="29" t="s">
        <v>3251</v>
      </c>
      <c r="N7" s="29" t="s">
        <v>126</v>
      </c>
      <c r="O7" s="29" t="s">
        <v>3252</v>
      </c>
      <c r="P7" s="29" t="s">
        <v>3253</v>
      </c>
      <c r="R7" s="29" t="s">
        <v>203</v>
      </c>
      <c r="S7" s="29">
        <v>0.50729858175999998</v>
      </c>
      <c r="T7" s="29" t="s">
        <v>3253</v>
      </c>
      <c r="V7" s="29">
        <v>5</v>
      </c>
      <c r="W7" s="29">
        <v>-0.16089291949961998</v>
      </c>
      <c r="AA7" s="29">
        <v>-0.16089291949961998</v>
      </c>
      <c r="AE7" s="29">
        <v>1073</v>
      </c>
      <c r="AF7" s="29" t="s">
        <v>3253</v>
      </c>
      <c r="AI7" s="29">
        <v>1641</v>
      </c>
      <c r="AJ7" s="29" t="s">
        <v>3253</v>
      </c>
      <c r="AM7" s="29">
        <v>1602</v>
      </c>
      <c r="AN7" s="29" t="s">
        <v>3253</v>
      </c>
      <c r="AP7" s="29">
        <v>4</v>
      </c>
      <c r="AQ7" s="29">
        <v>-8.7480819159474518E-2</v>
      </c>
      <c r="AU7" s="29">
        <v>-8.7480819159474518E-2</v>
      </c>
      <c r="AY7" s="29">
        <v>1160</v>
      </c>
      <c r="AZ7" s="29" t="s">
        <v>3253</v>
      </c>
      <c r="BC7" s="29">
        <v>1672</v>
      </c>
      <c r="BD7" s="29" t="s">
        <v>3253</v>
      </c>
      <c r="BG7" s="29">
        <v>1478</v>
      </c>
      <c r="BH7" s="29" t="s">
        <v>3253</v>
      </c>
      <c r="BJ7" s="29">
        <v>1</v>
      </c>
      <c r="BK7" s="29">
        <v>1073</v>
      </c>
      <c r="BO7" s="29">
        <v>1073</v>
      </c>
      <c r="BP7" s="29" t="s">
        <v>3253</v>
      </c>
      <c r="BR7" s="29">
        <v>1</v>
      </c>
      <c r="BS7" s="29">
        <v>1160</v>
      </c>
      <c r="BW7" s="29">
        <v>1160</v>
      </c>
      <c r="BX7" s="29" t="s">
        <v>3253</v>
      </c>
      <c r="BZ7" s="29">
        <v>1</v>
      </c>
      <c r="CA7" s="29">
        <v>7</v>
      </c>
      <c r="CE7" s="29">
        <v>7</v>
      </c>
      <c r="CF7" s="29" t="s">
        <v>3215</v>
      </c>
      <c r="CH7" s="29">
        <v>1</v>
      </c>
      <c r="CI7" s="29" t="s">
        <v>132</v>
      </c>
      <c r="CL7" s="29" t="s">
        <v>132</v>
      </c>
      <c r="CM7" s="29" t="s">
        <v>774</v>
      </c>
      <c r="CN7" s="29" t="s">
        <v>360</v>
      </c>
      <c r="CP7" s="29">
        <v>4</v>
      </c>
      <c r="CQ7" s="29" t="s">
        <v>3133</v>
      </c>
      <c r="CS7" s="29" t="s">
        <v>36</v>
      </c>
      <c r="CW7" s="29" t="s">
        <v>36</v>
      </c>
      <c r="CY7" s="29">
        <v>1073</v>
      </c>
      <c r="CZ7" s="29" t="s">
        <v>3253</v>
      </c>
      <c r="DB7" s="29">
        <v>1</v>
      </c>
      <c r="DC7" s="259">
        <v>6723.98</v>
      </c>
      <c r="DK7" s="259">
        <v>6723.98</v>
      </c>
      <c r="DL7" s="29" t="s">
        <v>3254</v>
      </c>
      <c r="DN7" s="29">
        <v>3</v>
      </c>
      <c r="DO7" s="259">
        <f>DW7/DS7</f>
        <v>5.79653448275862</v>
      </c>
      <c r="DS7" s="29">
        <v>1160</v>
      </c>
      <c r="DT7" s="29" t="s">
        <v>3253</v>
      </c>
      <c r="DW7" s="259">
        <v>6723.98</v>
      </c>
      <c r="DX7" s="29" t="s">
        <v>3254</v>
      </c>
      <c r="DZ7" s="33">
        <v>3</v>
      </c>
      <c r="EA7" s="265" t="s">
        <v>3256</v>
      </c>
      <c r="EB7" s="265"/>
      <c r="EC7" s="266">
        <f>IF(EI7="","",EI7*1+EM7*2+EQ7*3+EU7*4)</f>
        <v>2.6049000000000002</v>
      </c>
      <c r="ED7" s="265"/>
      <c r="EE7" s="265" t="s">
        <v>3255</v>
      </c>
      <c r="EF7" s="265" t="s">
        <v>3254</v>
      </c>
      <c r="EG7" s="265"/>
      <c r="EH7" s="265"/>
      <c r="EI7" s="265">
        <v>6.8000000000000005E-2</v>
      </c>
      <c r="EJ7" s="265" t="s">
        <v>3254</v>
      </c>
      <c r="EK7" s="265"/>
      <c r="EL7" s="265"/>
      <c r="EM7" s="265">
        <v>0.51470000000000005</v>
      </c>
      <c r="EN7" s="265" t="s">
        <v>3254</v>
      </c>
      <c r="EO7" s="265"/>
      <c r="EP7" s="265"/>
      <c r="EQ7" s="265">
        <v>0.16170000000000001</v>
      </c>
      <c r="ER7" s="265" t="s">
        <v>3254</v>
      </c>
      <c r="ES7" s="265"/>
      <c r="ET7" s="265"/>
      <c r="EU7" s="265">
        <v>0.25559999999999999</v>
      </c>
      <c r="EV7" s="265" t="s">
        <v>3254</v>
      </c>
      <c r="EW7" s="265"/>
      <c r="EX7" s="29">
        <v>3</v>
      </c>
      <c r="EY7" s="29" t="s">
        <v>3257</v>
      </c>
      <c r="FA7" s="258">
        <v>2.6577000000000002</v>
      </c>
      <c r="FC7" s="29" t="s">
        <v>3257</v>
      </c>
      <c r="FD7" s="29" t="s">
        <v>3254</v>
      </c>
      <c r="FG7" s="29">
        <v>6.3299999999999995E-2</v>
      </c>
      <c r="FH7" s="29" t="s">
        <v>3254</v>
      </c>
      <c r="FK7" s="29">
        <v>0.4703</v>
      </c>
      <c r="FL7" s="29" t="s">
        <v>3254</v>
      </c>
      <c r="FO7" s="29">
        <v>0.2114</v>
      </c>
      <c r="FP7" s="29" t="s">
        <v>3254</v>
      </c>
      <c r="FS7" s="29">
        <v>0.25490000000000002</v>
      </c>
      <c r="FT7" s="29" t="s">
        <v>3254</v>
      </c>
      <c r="FV7" s="29">
        <v>1</v>
      </c>
      <c r="FW7" s="29">
        <v>1322</v>
      </c>
      <c r="GA7" s="29">
        <v>1322</v>
      </c>
      <c r="GB7" s="29" t="s">
        <v>3258</v>
      </c>
      <c r="GD7" s="29">
        <v>1</v>
      </c>
      <c r="GE7" s="29">
        <v>2482</v>
      </c>
      <c r="GI7" s="29">
        <v>2482</v>
      </c>
      <c r="GJ7" s="29" t="s">
        <v>3258</v>
      </c>
      <c r="GL7" s="29">
        <v>1</v>
      </c>
      <c r="GM7" s="29">
        <v>9323.99</v>
      </c>
      <c r="GQ7" s="29">
        <v>9323.99</v>
      </c>
      <c r="GR7" s="29" t="s">
        <v>3254</v>
      </c>
      <c r="GT7" s="29">
        <v>3</v>
      </c>
      <c r="GU7" s="29" t="s">
        <v>3259</v>
      </c>
      <c r="GW7" s="258">
        <v>2.7340999999999998</v>
      </c>
      <c r="GY7" s="29" t="s">
        <v>3259</v>
      </c>
      <c r="GZ7" s="29" t="s">
        <v>3254</v>
      </c>
      <c r="HC7" s="29">
        <v>3.95E-2</v>
      </c>
      <c r="HD7" s="29" t="s">
        <v>3254</v>
      </c>
      <c r="HG7" s="29">
        <v>0.48099999999999998</v>
      </c>
      <c r="HH7" s="29" t="s">
        <v>3254</v>
      </c>
      <c r="HK7" s="29">
        <v>0.185</v>
      </c>
      <c r="HL7" s="29" t="s">
        <v>3254</v>
      </c>
      <c r="HO7" s="29">
        <v>0.2944</v>
      </c>
      <c r="HP7" s="29" t="s">
        <v>3254</v>
      </c>
      <c r="HR7" s="29">
        <v>3</v>
      </c>
      <c r="HS7" s="29" t="s">
        <v>3259</v>
      </c>
      <c r="HU7" s="258">
        <v>2.7340999999999998</v>
      </c>
      <c r="HW7" s="29" t="s">
        <v>3259</v>
      </c>
      <c r="HX7" s="29" t="s">
        <v>3254</v>
      </c>
      <c r="IA7" s="29">
        <v>3.95E-2</v>
      </c>
      <c r="IB7" s="29" t="s">
        <v>3254</v>
      </c>
      <c r="IE7" s="29">
        <v>0.48099999999999998</v>
      </c>
      <c r="IF7" s="29" t="s">
        <v>3254</v>
      </c>
      <c r="II7" s="29">
        <v>0.185</v>
      </c>
      <c r="IJ7" s="29" t="s">
        <v>3254</v>
      </c>
      <c r="IM7" s="29">
        <v>0.2944</v>
      </c>
      <c r="IN7" s="29" t="s">
        <v>3254</v>
      </c>
      <c r="IP7" s="29">
        <v>2</v>
      </c>
      <c r="IQ7" s="29" t="s">
        <v>3260</v>
      </c>
      <c r="IU7" s="29" t="s">
        <v>3261</v>
      </c>
      <c r="IV7" s="29" t="s">
        <v>3123</v>
      </c>
      <c r="IX7" s="29">
        <v>2</v>
      </c>
      <c r="IY7" s="29">
        <v>0.1416274311666112</v>
      </c>
      <c r="JB7" s="29">
        <v>183.91</v>
      </c>
      <c r="JC7" s="29" t="s">
        <v>3262</v>
      </c>
      <c r="JD7" s="29" t="s">
        <v>3123</v>
      </c>
      <c r="JG7" s="29">
        <v>1298.5478765314001</v>
      </c>
      <c r="JH7" s="29" t="s">
        <v>2105</v>
      </c>
      <c r="JJ7" s="29">
        <v>4</v>
      </c>
      <c r="JK7" s="29">
        <v>0.4192675763455716</v>
      </c>
      <c r="JO7" s="29">
        <v>3149.31</v>
      </c>
      <c r="JP7" s="29" t="s">
        <v>3123</v>
      </c>
      <c r="JS7" s="29">
        <v>7511.4561146131991</v>
      </c>
      <c r="JT7" s="29" t="s">
        <v>2105</v>
      </c>
      <c r="JV7" s="29">
        <v>4</v>
      </c>
      <c r="JW7" s="29">
        <v>1.4098688194608091</v>
      </c>
      <c r="KA7" s="29">
        <v>3149.31</v>
      </c>
      <c r="KB7" s="29" t="s">
        <v>3123</v>
      </c>
      <c r="KE7" s="29">
        <v>2233.7610113289998</v>
      </c>
      <c r="KF7" s="29" t="s">
        <v>3216</v>
      </c>
      <c r="KI7" s="29">
        <v>0</v>
      </c>
      <c r="KJ7" s="29" t="s">
        <v>2105</v>
      </c>
      <c r="KL7" s="29">
        <v>2</v>
      </c>
      <c r="KM7" s="29">
        <v>5.4899705122862269E-2</v>
      </c>
      <c r="KQ7" s="29">
        <v>55.03</v>
      </c>
      <c r="KR7" s="29" t="s">
        <v>3123</v>
      </c>
      <c r="KU7" s="29">
        <v>1002.373325628</v>
      </c>
      <c r="KV7" s="29" t="s">
        <v>2105</v>
      </c>
      <c r="KX7" s="29">
        <v>4</v>
      </c>
      <c r="KY7" s="29">
        <v>9.9775973989089002E-3</v>
      </c>
      <c r="LC7" s="29">
        <v>9.9775973989089002E-3</v>
      </c>
      <c r="LG7" s="29">
        <v>11.8</v>
      </c>
      <c r="LH7" s="29" t="s">
        <v>3123</v>
      </c>
      <c r="LK7" s="29">
        <v>1182.6494423688</v>
      </c>
      <c r="LL7" s="29" t="s">
        <v>2105</v>
      </c>
      <c r="LN7" s="29">
        <v>3</v>
      </c>
      <c r="LO7" s="29" t="s">
        <v>3263</v>
      </c>
      <c r="LS7" s="29" t="s">
        <v>3263</v>
      </c>
      <c r="LT7" s="29" t="s">
        <v>3216</v>
      </c>
      <c r="LV7" s="29">
        <v>2</v>
      </c>
      <c r="LW7" s="29">
        <v>1.6246142633857183</v>
      </c>
      <c r="MA7" s="29">
        <v>3629</v>
      </c>
      <c r="MB7" s="29" t="s">
        <v>3123</v>
      </c>
      <c r="ME7" s="29">
        <v>2233.7610113289998</v>
      </c>
      <c r="MF7" s="29" t="s">
        <v>2105</v>
      </c>
      <c r="MH7" s="29">
        <v>2</v>
      </c>
      <c r="MI7" s="29">
        <v>5.5286664674105035E-2</v>
      </c>
      <c r="MM7" s="29">
        <v>543.24</v>
      </c>
      <c r="MN7" s="29" t="s">
        <v>3253</v>
      </c>
      <c r="MQ7" s="29">
        <v>4.76</v>
      </c>
      <c r="MR7" s="29" t="s">
        <v>3253</v>
      </c>
      <c r="MU7" s="29">
        <v>2262.0500000000002</v>
      </c>
      <c r="MV7" s="29" t="s">
        <v>3253</v>
      </c>
      <c r="MY7" s="29">
        <v>1866.47</v>
      </c>
      <c r="MZ7" s="29" t="s">
        <v>3253</v>
      </c>
      <c r="NB7" s="29">
        <v>2</v>
      </c>
      <c r="NC7" s="29" t="s">
        <v>3264</v>
      </c>
      <c r="NG7" s="29">
        <v>10</v>
      </c>
      <c r="NJ7" s="29">
        <v>10</v>
      </c>
      <c r="NK7" s="29" t="s">
        <v>3264</v>
      </c>
      <c r="NL7" s="29" t="s">
        <v>2105</v>
      </c>
      <c r="NN7" s="29">
        <v>1</v>
      </c>
      <c r="NO7" s="29">
        <v>0</v>
      </c>
      <c r="NS7" s="29">
        <v>0</v>
      </c>
      <c r="NT7" s="29" t="s">
        <v>3123</v>
      </c>
      <c r="NW7" s="29">
        <v>2233.7610113289998</v>
      </c>
      <c r="NX7" s="29" t="s">
        <v>2105</v>
      </c>
    </row>
  </sheetData>
  <mergeCells count="216">
    <mergeCell ref="NP2:NP3"/>
    <mergeCell ref="NQ2:NQ3"/>
    <mergeCell ref="NR2:NU2"/>
    <mergeCell ref="NV2:NY2"/>
    <mergeCell ref="ND2:ND3"/>
    <mergeCell ref="NE2:NE3"/>
    <mergeCell ref="NF2:NI2"/>
    <mergeCell ref="NJ2:NM2"/>
    <mergeCell ref="NN2:NN3"/>
    <mergeCell ref="NO2:NO3"/>
    <mergeCell ref="ML2:MO2"/>
    <mergeCell ref="MP2:MS2"/>
    <mergeCell ref="MT2:MW2"/>
    <mergeCell ref="MX2:NA2"/>
    <mergeCell ref="NB2:NB3"/>
    <mergeCell ref="NC2:NC3"/>
    <mergeCell ref="LZ2:MC2"/>
    <mergeCell ref="MD2:MG2"/>
    <mergeCell ref="MH2:MH3"/>
    <mergeCell ref="MI2:MI3"/>
    <mergeCell ref="MJ2:MJ3"/>
    <mergeCell ref="MK2:MK3"/>
    <mergeCell ref="LQ2:LQ3"/>
    <mergeCell ref="LR2:LU2"/>
    <mergeCell ref="LV2:LV3"/>
    <mergeCell ref="LW2:LW3"/>
    <mergeCell ref="LX2:LX3"/>
    <mergeCell ref="LY2:LY3"/>
    <mergeCell ref="LB2:LE2"/>
    <mergeCell ref="LF2:LI2"/>
    <mergeCell ref="LJ2:LM2"/>
    <mergeCell ref="LN2:LN3"/>
    <mergeCell ref="LO2:LO3"/>
    <mergeCell ref="LP2:LP3"/>
    <mergeCell ref="KP2:KS2"/>
    <mergeCell ref="KT2:KW2"/>
    <mergeCell ref="KX2:KX3"/>
    <mergeCell ref="KY2:KY3"/>
    <mergeCell ref="KZ2:KZ3"/>
    <mergeCell ref="LA2:LA3"/>
    <mergeCell ref="KD2:KG2"/>
    <mergeCell ref="KH2:KK2"/>
    <mergeCell ref="KL2:KL3"/>
    <mergeCell ref="KM2:KM3"/>
    <mergeCell ref="KN2:KN3"/>
    <mergeCell ref="KO2:KO3"/>
    <mergeCell ref="JR2:JU2"/>
    <mergeCell ref="JV2:JV3"/>
    <mergeCell ref="JW2:JW3"/>
    <mergeCell ref="JX2:JX3"/>
    <mergeCell ref="JY2:JY3"/>
    <mergeCell ref="JZ2:KC2"/>
    <mergeCell ref="JF2:JI2"/>
    <mergeCell ref="JJ2:JJ3"/>
    <mergeCell ref="JK2:JK3"/>
    <mergeCell ref="JL2:JL3"/>
    <mergeCell ref="JM2:JM3"/>
    <mergeCell ref="JN2:JQ2"/>
    <mergeCell ref="IT2:IW2"/>
    <mergeCell ref="IX2:IX3"/>
    <mergeCell ref="IY2:IY3"/>
    <mergeCell ref="IZ2:IZ3"/>
    <mergeCell ref="JA2:JA3"/>
    <mergeCell ref="JB2:JE2"/>
    <mergeCell ref="IH2:IK2"/>
    <mergeCell ref="IL2:IO2"/>
    <mergeCell ref="IP2:IP3"/>
    <mergeCell ref="IQ2:IQ3"/>
    <mergeCell ref="IR2:IR3"/>
    <mergeCell ref="IS2:IS3"/>
    <mergeCell ref="HS2:HS3"/>
    <mergeCell ref="HT2:HT3"/>
    <mergeCell ref="HU2:HU3"/>
    <mergeCell ref="HV2:HY2"/>
    <mergeCell ref="HZ2:IC2"/>
    <mergeCell ref="ID2:IG2"/>
    <mergeCell ref="GX2:HA2"/>
    <mergeCell ref="HB2:HE2"/>
    <mergeCell ref="HF2:HI2"/>
    <mergeCell ref="HJ2:HM2"/>
    <mergeCell ref="HN2:HQ2"/>
    <mergeCell ref="HR2:HR3"/>
    <mergeCell ref="GO2:GO3"/>
    <mergeCell ref="GP2:GS2"/>
    <mergeCell ref="GT2:GT3"/>
    <mergeCell ref="GU2:GU3"/>
    <mergeCell ref="GV2:GV3"/>
    <mergeCell ref="GW2:GW3"/>
    <mergeCell ref="GF2:GF3"/>
    <mergeCell ref="GG2:GG3"/>
    <mergeCell ref="GH2:GK2"/>
    <mergeCell ref="GL2:GL3"/>
    <mergeCell ref="GM2:GM3"/>
    <mergeCell ref="GN2:GN3"/>
    <mergeCell ref="FW2:FW3"/>
    <mergeCell ref="FX2:FX3"/>
    <mergeCell ref="FY2:FY3"/>
    <mergeCell ref="FZ2:GC2"/>
    <mergeCell ref="GD2:GD3"/>
    <mergeCell ref="GE2:GE3"/>
    <mergeCell ref="FB2:FE2"/>
    <mergeCell ref="FF2:FI2"/>
    <mergeCell ref="FJ2:FM2"/>
    <mergeCell ref="FN2:FQ2"/>
    <mergeCell ref="FR2:FU2"/>
    <mergeCell ref="FV2:FV3"/>
    <mergeCell ref="EP2:ES2"/>
    <mergeCell ref="ET2:EW2"/>
    <mergeCell ref="EX2:EX3"/>
    <mergeCell ref="EY2:EY3"/>
    <mergeCell ref="EZ2:EZ3"/>
    <mergeCell ref="FA2:FA3"/>
    <mergeCell ref="EA2:EA3"/>
    <mergeCell ref="EB2:EB3"/>
    <mergeCell ref="EC2:EC3"/>
    <mergeCell ref="ED2:EG2"/>
    <mergeCell ref="EH2:EK2"/>
    <mergeCell ref="EL2:EO2"/>
    <mergeCell ref="DO2:DO3"/>
    <mergeCell ref="DP2:DP3"/>
    <mergeCell ref="DQ2:DQ3"/>
    <mergeCell ref="DR2:DU2"/>
    <mergeCell ref="DV2:DY2"/>
    <mergeCell ref="DZ2:DZ3"/>
    <mergeCell ref="DC2:DC3"/>
    <mergeCell ref="DD2:DD3"/>
    <mergeCell ref="DE2:DE3"/>
    <mergeCell ref="DF2:DI2"/>
    <mergeCell ref="DJ2:DM2"/>
    <mergeCell ref="DN2:DN3"/>
    <mergeCell ref="CQ2:CQ3"/>
    <mergeCell ref="CR2:CR3"/>
    <mergeCell ref="CS2:CS3"/>
    <mergeCell ref="CT2:CW2"/>
    <mergeCell ref="CX2:DA2"/>
    <mergeCell ref="DB2:DB3"/>
    <mergeCell ref="CH2:CH3"/>
    <mergeCell ref="CI2:CI3"/>
    <mergeCell ref="CJ2:CJ3"/>
    <mergeCell ref="CK2:CK3"/>
    <mergeCell ref="CL2:CO2"/>
    <mergeCell ref="CP2:CP3"/>
    <mergeCell ref="CB2:CB3"/>
    <mergeCell ref="CC2:CC3"/>
    <mergeCell ref="CD2:CG2"/>
    <mergeCell ref="BM2:BM3"/>
    <mergeCell ref="BN2:BQ2"/>
    <mergeCell ref="BR2:BR3"/>
    <mergeCell ref="BS2:BS3"/>
    <mergeCell ref="BT2:BT3"/>
    <mergeCell ref="BU2:BU3"/>
    <mergeCell ref="AL2:AO2"/>
    <mergeCell ref="AP2:AP3"/>
    <mergeCell ref="AQ2:AQ3"/>
    <mergeCell ref="AR2:AR3"/>
    <mergeCell ref="AS2:AS3"/>
    <mergeCell ref="AT2:AW2"/>
    <mergeCell ref="BV2:BY2"/>
    <mergeCell ref="BZ2:BZ3"/>
    <mergeCell ref="CA2:CA3"/>
    <mergeCell ref="GD1:GK1"/>
    <mergeCell ref="GL1:GS1"/>
    <mergeCell ref="BJ1:BQ1"/>
    <mergeCell ref="BR1:BY1"/>
    <mergeCell ref="BZ1:CG1"/>
    <mergeCell ref="CH1:CO1"/>
    <mergeCell ref="CP1:DA1"/>
    <mergeCell ref="DB1:DM1"/>
    <mergeCell ref="NN1:NY1"/>
    <mergeCell ref="KL1:KW1"/>
    <mergeCell ref="KX1:LM1"/>
    <mergeCell ref="LN1:LU1"/>
    <mergeCell ref="LV1:MG1"/>
    <mergeCell ref="MH1:NA1"/>
    <mergeCell ref="NB1:NM1"/>
    <mergeCell ref="GT1:HQ1"/>
    <mergeCell ref="HR1:IO1"/>
    <mergeCell ref="IP1:IW1"/>
    <mergeCell ref="IX1:JI1"/>
    <mergeCell ref="JJ1:JU1"/>
    <mergeCell ref="JV1:KK1"/>
    <mergeCell ref="DN1:DY1"/>
    <mergeCell ref="DZ1:EW1"/>
    <mergeCell ref="J1:U1"/>
    <mergeCell ref="V1:AO1"/>
    <mergeCell ref="AP1:BI1"/>
    <mergeCell ref="Y2:Y3"/>
    <mergeCell ref="Z2:AC2"/>
    <mergeCell ref="AD2:AG2"/>
    <mergeCell ref="AH2:AK2"/>
    <mergeCell ref="EX1:FU1"/>
    <mergeCell ref="FV1:GC1"/>
    <mergeCell ref="J2:J3"/>
    <mergeCell ref="K2:K3"/>
    <mergeCell ref="L2:L3"/>
    <mergeCell ref="M2:M3"/>
    <mergeCell ref="N2:Q2"/>
    <mergeCell ref="R2:U2"/>
    <mergeCell ref="V2:V3"/>
    <mergeCell ref="W2:W3"/>
    <mergeCell ref="X2:X3"/>
    <mergeCell ref="AX2:BA2"/>
    <mergeCell ref="BB2:BE2"/>
    <mergeCell ref="BF2:BI2"/>
    <mergeCell ref="BJ2:BJ3"/>
    <mergeCell ref="BK2:BK3"/>
    <mergeCell ref="BL2:BL3"/>
    <mergeCell ref="A1:A3"/>
    <mergeCell ref="B1:B3"/>
    <mergeCell ref="C1:C3"/>
    <mergeCell ref="D1:D3"/>
    <mergeCell ref="E1:E3"/>
    <mergeCell ref="F1:F3"/>
    <mergeCell ref="G1:G3"/>
    <mergeCell ref="H1:H3"/>
    <mergeCell ref="I1:I3"/>
  </mergeCells>
  <phoneticPr fontId="11" type="noConversion"/>
  <conditionalFormatting sqref="G1:G3">
    <cfRule type="duplicateValues" dxfId="5" priority="6"/>
  </conditionalFormatting>
  <conditionalFormatting sqref="A1:A3">
    <cfRule type="duplicateValues" dxfId="4" priority="5"/>
  </conditionalFormatting>
  <conditionalFormatting sqref="G4:G6">
    <cfRule type="duplicateValues" dxfId="3" priority="4"/>
  </conditionalFormatting>
  <conditionalFormatting sqref="A4:A6">
    <cfRule type="duplicateValues" dxfId="2" priority="3"/>
  </conditionalFormatting>
  <conditionalFormatting sqref="G7">
    <cfRule type="duplicateValues" dxfId="1" priority="2"/>
  </conditionalFormatting>
  <conditionalFormatting sqref="A7">
    <cfRule type="duplicateValues" dxfId="0" priority="1"/>
  </conditionalFormatting>
  <dataValidations count="1">
    <dataValidation type="list" allowBlank="1" showInputMessage="1" showErrorMessage="1" sqref="CL4:CL7">
      <formula1>"一级,二级,三级,四级,暂定"</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'C:\Users\shihl\Desktop\[房地产敞口2016年数据汇总_20170908.xlsx]dropdown'!#REF!</xm:f>
          </x14:formula1>
          <xm:sqref>N4:N6</xm:sqref>
        </x14:dataValidation>
        <x14:dataValidation type="list" allowBlank="1" showInputMessage="1" showErrorMessage="1">
          <x14:formula1>
            <xm:f>'C:\Users\shihl\Desktop\[房地产敞口2016年数据汇总_20170908.xlsx]dropdown'!#REF!</xm:f>
          </x14:formula1>
          <xm:sqref>N7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Q16"/>
  <sheetViews>
    <sheetView workbookViewId="0">
      <selection sqref="A1:A3"/>
    </sheetView>
  </sheetViews>
  <sheetFormatPr defaultRowHeight="14" x14ac:dyDescent="0.3"/>
  <sheetData>
    <row r="1" spans="1:303" s="8" customFormat="1" ht="16.5" customHeight="1" x14ac:dyDescent="0.35">
      <c r="A1" s="269" t="s">
        <v>53</v>
      </c>
      <c r="B1" s="269" t="s">
        <v>54</v>
      </c>
      <c r="C1" s="269" t="s">
        <v>55</v>
      </c>
      <c r="D1" s="269" t="s">
        <v>56</v>
      </c>
      <c r="E1" s="269" t="s">
        <v>57</v>
      </c>
      <c r="F1" s="267" t="s">
        <v>58</v>
      </c>
      <c r="G1" s="268" t="s">
        <v>59</v>
      </c>
      <c r="H1" s="269" t="s">
        <v>161</v>
      </c>
      <c r="I1" s="269" t="s">
        <v>164</v>
      </c>
      <c r="J1" s="267" t="s">
        <v>160</v>
      </c>
      <c r="K1" s="267" t="s">
        <v>162</v>
      </c>
      <c r="L1" s="271" t="s">
        <v>41</v>
      </c>
      <c r="M1" s="271"/>
      <c r="N1" s="271"/>
      <c r="O1" s="271"/>
      <c r="P1" s="271"/>
      <c r="Q1" s="271"/>
      <c r="R1" s="271"/>
      <c r="S1" s="271"/>
      <c r="T1" s="271"/>
      <c r="U1" s="271"/>
      <c r="V1" s="271"/>
      <c r="W1" s="271"/>
      <c r="X1" s="273" t="s">
        <v>19</v>
      </c>
      <c r="Y1" s="273"/>
      <c r="Z1" s="273"/>
      <c r="AA1" s="273"/>
      <c r="AB1" s="273"/>
      <c r="AC1" s="273"/>
      <c r="AD1" s="273"/>
      <c r="AE1" s="273"/>
      <c r="AF1" s="273"/>
      <c r="AG1" s="273"/>
      <c r="AH1" s="273"/>
      <c r="AI1" s="273"/>
      <c r="AJ1" s="273"/>
      <c r="AK1" s="273"/>
      <c r="AL1" s="273"/>
      <c r="AM1" s="273"/>
      <c r="AN1" s="273" t="s">
        <v>29</v>
      </c>
      <c r="AO1" s="273"/>
      <c r="AP1" s="273"/>
      <c r="AQ1" s="273"/>
      <c r="AR1" s="273"/>
      <c r="AS1" s="273"/>
      <c r="AT1" s="273"/>
      <c r="AU1" s="273"/>
      <c r="AV1" s="273"/>
      <c r="AW1" s="273"/>
      <c r="AX1" s="273"/>
      <c r="AY1" s="273"/>
      <c r="AZ1" s="273"/>
      <c r="BA1" s="273"/>
      <c r="BB1" s="273"/>
      <c r="BC1" s="273"/>
      <c r="BD1" s="273" t="s">
        <v>0</v>
      </c>
      <c r="BE1" s="273"/>
      <c r="BF1" s="273"/>
      <c r="BG1" s="273"/>
      <c r="BH1" s="273"/>
      <c r="BI1" s="273"/>
      <c r="BJ1" s="273"/>
      <c r="BK1" s="273"/>
      <c r="BL1" s="273" t="s">
        <v>38</v>
      </c>
      <c r="BM1" s="273"/>
      <c r="BN1" s="273"/>
      <c r="BO1" s="273"/>
      <c r="BP1" s="273"/>
      <c r="BQ1" s="273"/>
      <c r="BR1" s="273"/>
      <c r="BS1" s="273"/>
      <c r="BT1" s="273" t="s">
        <v>61</v>
      </c>
      <c r="BU1" s="273"/>
      <c r="BV1" s="273"/>
      <c r="BW1" s="273"/>
      <c r="BX1" s="273"/>
      <c r="BY1" s="273"/>
      <c r="BZ1" s="273"/>
      <c r="CA1" s="273"/>
      <c r="CB1" s="273" t="s">
        <v>16</v>
      </c>
      <c r="CC1" s="273"/>
      <c r="CD1" s="273"/>
      <c r="CE1" s="273"/>
      <c r="CF1" s="273"/>
      <c r="CG1" s="273"/>
      <c r="CH1" s="273"/>
      <c r="CI1" s="273"/>
      <c r="CJ1" s="273" t="s">
        <v>26</v>
      </c>
      <c r="CK1" s="273"/>
      <c r="CL1" s="273"/>
      <c r="CM1" s="273"/>
      <c r="CN1" s="273"/>
      <c r="CO1" s="273"/>
      <c r="CP1" s="273"/>
      <c r="CQ1" s="273"/>
      <c r="CR1" s="273"/>
      <c r="CS1" s="273"/>
      <c r="CT1" s="273"/>
      <c r="CU1" s="273"/>
      <c r="CV1" s="273" t="s">
        <v>17</v>
      </c>
      <c r="CW1" s="273"/>
      <c r="CX1" s="273"/>
      <c r="CY1" s="273"/>
      <c r="CZ1" s="273"/>
      <c r="DA1" s="273"/>
      <c r="DB1" s="273"/>
      <c r="DC1" s="273"/>
      <c r="DD1" s="273" t="s">
        <v>1</v>
      </c>
      <c r="DE1" s="273"/>
      <c r="DF1" s="273"/>
      <c r="DG1" s="273"/>
      <c r="DH1" s="273"/>
      <c r="DI1" s="273"/>
      <c r="DJ1" s="273"/>
      <c r="DK1" s="273"/>
      <c r="DL1" s="273"/>
      <c r="DM1" s="273"/>
      <c r="DN1" s="273"/>
      <c r="DO1" s="273"/>
      <c r="DP1" s="273" t="s">
        <v>2</v>
      </c>
      <c r="DQ1" s="273"/>
      <c r="DR1" s="273"/>
      <c r="DS1" s="273"/>
      <c r="DT1" s="273"/>
      <c r="DU1" s="273"/>
      <c r="DV1" s="273"/>
      <c r="DW1" s="273"/>
      <c r="DX1" s="273"/>
      <c r="DY1" s="273"/>
      <c r="DZ1" s="273"/>
      <c r="EA1" s="273"/>
      <c r="EB1" s="273"/>
      <c r="EC1" s="273"/>
      <c r="ED1" s="273"/>
      <c r="EE1" s="273"/>
      <c r="EF1" s="273"/>
      <c r="EG1" s="273"/>
      <c r="EH1" s="273"/>
      <c r="EI1" s="273"/>
      <c r="EJ1" s="273" t="s">
        <v>66</v>
      </c>
      <c r="EK1" s="273"/>
      <c r="EL1" s="273"/>
      <c r="EM1" s="273"/>
      <c r="EN1" s="273"/>
      <c r="EO1" s="273"/>
      <c r="EP1" s="273"/>
      <c r="EQ1" s="273"/>
      <c r="ER1" s="273" t="s">
        <v>68</v>
      </c>
      <c r="ES1" s="273"/>
      <c r="ET1" s="273"/>
      <c r="EU1" s="273"/>
      <c r="EV1" s="273"/>
      <c r="EW1" s="273"/>
      <c r="EX1" s="273"/>
      <c r="EY1" s="273"/>
      <c r="EZ1" s="273" t="s">
        <v>39</v>
      </c>
      <c r="FA1" s="273"/>
      <c r="FB1" s="273"/>
      <c r="FC1" s="273"/>
      <c r="FD1" s="273"/>
      <c r="FE1" s="273"/>
      <c r="FF1" s="273"/>
      <c r="FG1" s="273"/>
      <c r="FH1" s="273" t="s">
        <v>70</v>
      </c>
      <c r="FI1" s="273"/>
      <c r="FJ1" s="273"/>
      <c r="FK1" s="273"/>
      <c r="FL1" s="273"/>
      <c r="FM1" s="273"/>
      <c r="FN1" s="273"/>
      <c r="FO1" s="273"/>
      <c r="FP1" s="273"/>
      <c r="FQ1" s="273"/>
      <c r="FR1" s="273"/>
      <c r="FS1" s="273"/>
      <c r="FT1" s="273"/>
      <c r="FU1" s="273"/>
      <c r="FV1" s="273"/>
      <c r="FW1" s="273"/>
      <c r="FX1" s="273"/>
      <c r="FY1" s="273"/>
      <c r="FZ1" s="273"/>
      <c r="GA1" s="273"/>
      <c r="GB1" s="273" t="s">
        <v>3</v>
      </c>
      <c r="GC1" s="273"/>
      <c r="GD1" s="273"/>
      <c r="GE1" s="273"/>
      <c r="GF1" s="273"/>
      <c r="GG1" s="273"/>
      <c r="GH1" s="273"/>
      <c r="GI1" s="273"/>
      <c r="GJ1" s="273" t="s">
        <v>33</v>
      </c>
      <c r="GK1" s="273"/>
      <c r="GL1" s="273"/>
      <c r="GM1" s="273"/>
      <c r="GN1" s="273"/>
      <c r="GO1" s="273"/>
      <c r="GP1" s="273"/>
      <c r="GQ1" s="273"/>
      <c r="GR1" s="273"/>
      <c r="GS1" s="273"/>
      <c r="GT1" s="273"/>
      <c r="GU1" s="273"/>
      <c r="GV1" s="271" t="s">
        <v>4</v>
      </c>
      <c r="GW1" s="271"/>
      <c r="GX1" s="271"/>
      <c r="GY1" s="271"/>
      <c r="GZ1" s="271"/>
      <c r="HA1" s="271"/>
      <c r="HB1" s="271"/>
      <c r="HC1" s="271"/>
      <c r="HD1" s="271"/>
      <c r="HE1" s="271"/>
      <c r="HF1" s="271"/>
      <c r="HG1" s="271"/>
      <c r="HH1" s="271" t="s">
        <v>74</v>
      </c>
      <c r="HI1" s="271"/>
      <c r="HJ1" s="271"/>
      <c r="HK1" s="271"/>
      <c r="HL1" s="271"/>
      <c r="HM1" s="271"/>
      <c r="HN1" s="271"/>
      <c r="HO1" s="271"/>
      <c r="HP1" s="271"/>
      <c r="HQ1" s="271"/>
      <c r="HR1" s="271"/>
      <c r="HS1" s="271"/>
      <c r="HT1" s="271" t="s">
        <v>5</v>
      </c>
      <c r="HU1" s="271"/>
      <c r="HV1" s="271"/>
      <c r="HW1" s="271"/>
      <c r="HX1" s="271"/>
      <c r="HY1" s="271"/>
      <c r="HZ1" s="271"/>
      <c r="IA1" s="271"/>
      <c r="IB1" s="271"/>
      <c r="IC1" s="271"/>
      <c r="ID1" s="271"/>
      <c r="IE1" s="271"/>
      <c r="IF1" s="271" t="s">
        <v>75</v>
      </c>
      <c r="IG1" s="271"/>
      <c r="IH1" s="271"/>
      <c r="II1" s="271"/>
      <c r="IJ1" s="271"/>
      <c r="IK1" s="271"/>
      <c r="IL1" s="271"/>
      <c r="IM1" s="271"/>
      <c r="IN1" s="271"/>
      <c r="IO1" s="271"/>
      <c r="IP1" s="271"/>
      <c r="IQ1" s="271"/>
      <c r="IR1" s="271" t="s">
        <v>76</v>
      </c>
      <c r="IS1" s="271"/>
      <c r="IT1" s="271"/>
      <c r="IU1" s="271"/>
      <c r="IV1" s="271"/>
      <c r="IW1" s="271"/>
      <c r="IX1" s="271"/>
      <c r="IY1" s="271"/>
      <c r="IZ1" s="271"/>
      <c r="JA1" s="271"/>
      <c r="JB1" s="271"/>
      <c r="JC1" s="271"/>
      <c r="JD1" s="271" t="s">
        <v>77</v>
      </c>
      <c r="JE1" s="271"/>
      <c r="JF1" s="271"/>
      <c r="JG1" s="271"/>
      <c r="JH1" s="271"/>
      <c r="JI1" s="271"/>
      <c r="JJ1" s="271"/>
      <c r="JK1" s="271"/>
      <c r="JL1" s="271"/>
      <c r="JM1" s="271"/>
      <c r="JN1" s="271"/>
      <c r="JO1" s="271"/>
      <c r="JP1" s="271"/>
      <c r="JQ1" s="271"/>
      <c r="JR1" s="271"/>
      <c r="JS1" s="271"/>
      <c r="JT1" s="271"/>
      <c r="JU1" s="271"/>
      <c r="JV1" s="271"/>
      <c r="JW1" s="271"/>
      <c r="JX1" s="271" t="s">
        <v>78</v>
      </c>
      <c r="JY1" s="271"/>
      <c r="JZ1" s="271"/>
      <c r="KA1" s="271"/>
      <c r="KB1" s="271"/>
      <c r="KC1" s="271"/>
      <c r="KD1" s="271"/>
      <c r="KE1" s="271"/>
      <c r="KF1" s="271" t="s">
        <v>79</v>
      </c>
      <c r="KG1" s="271"/>
      <c r="KH1" s="271"/>
      <c r="KI1" s="271"/>
      <c r="KJ1" s="271"/>
      <c r="KK1" s="271"/>
      <c r="KL1" s="271"/>
      <c r="KM1" s="271"/>
      <c r="KN1" s="271"/>
      <c r="KO1" s="271"/>
      <c r="KP1" s="271"/>
      <c r="KQ1" s="271"/>
    </row>
    <row r="2" spans="1:303" s="8" customFormat="1" ht="16.5" customHeight="1" x14ac:dyDescent="0.35">
      <c r="A2" s="269"/>
      <c r="B2" s="269"/>
      <c r="C2" s="269"/>
      <c r="D2" s="269"/>
      <c r="E2" s="269"/>
      <c r="F2" s="267"/>
      <c r="G2" s="268"/>
      <c r="H2" s="269"/>
      <c r="I2" s="269"/>
      <c r="J2" s="267"/>
      <c r="K2" s="267"/>
      <c r="L2" s="268" t="s">
        <v>42</v>
      </c>
      <c r="M2" s="267" t="s">
        <v>43</v>
      </c>
      <c r="N2" s="267" t="s">
        <v>44</v>
      </c>
      <c r="O2" s="269" t="s">
        <v>45</v>
      </c>
      <c r="P2" s="267" t="s">
        <v>46</v>
      </c>
      <c r="Q2" s="267"/>
      <c r="R2" s="267"/>
      <c r="S2" s="267"/>
      <c r="T2" s="267" t="s">
        <v>47</v>
      </c>
      <c r="U2" s="267"/>
      <c r="V2" s="267"/>
      <c r="W2" s="267"/>
      <c r="X2" s="274" t="s">
        <v>6</v>
      </c>
      <c r="Y2" s="274" t="s">
        <v>7</v>
      </c>
      <c r="Z2" s="275" t="s">
        <v>8</v>
      </c>
      <c r="AA2" s="275" t="s">
        <v>9</v>
      </c>
      <c r="AB2" s="274" t="s">
        <v>20</v>
      </c>
      <c r="AC2" s="274"/>
      <c r="AD2" s="274"/>
      <c r="AE2" s="274"/>
      <c r="AF2" s="274" t="s">
        <v>21</v>
      </c>
      <c r="AG2" s="274"/>
      <c r="AH2" s="274"/>
      <c r="AI2" s="274"/>
      <c r="AJ2" s="274" t="s">
        <v>22</v>
      </c>
      <c r="AK2" s="274"/>
      <c r="AL2" s="274"/>
      <c r="AM2" s="274"/>
      <c r="AN2" s="274" t="s">
        <v>6</v>
      </c>
      <c r="AO2" s="274" t="s">
        <v>7</v>
      </c>
      <c r="AP2" s="275" t="s">
        <v>8</v>
      </c>
      <c r="AQ2" s="275" t="s">
        <v>9</v>
      </c>
      <c r="AR2" s="274" t="s">
        <v>30</v>
      </c>
      <c r="AS2" s="274"/>
      <c r="AT2" s="274"/>
      <c r="AU2" s="274"/>
      <c r="AV2" s="274" t="s">
        <v>31</v>
      </c>
      <c r="AW2" s="274"/>
      <c r="AX2" s="274"/>
      <c r="AY2" s="274"/>
      <c r="AZ2" s="274" t="s">
        <v>32</v>
      </c>
      <c r="BA2" s="274"/>
      <c r="BB2" s="274"/>
      <c r="BC2" s="274"/>
      <c r="BD2" s="276" t="s">
        <v>6</v>
      </c>
      <c r="BE2" s="274" t="s">
        <v>7</v>
      </c>
      <c r="BF2" s="274" t="s">
        <v>8</v>
      </c>
      <c r="BG2" s="275" t="s">
        <v>9</v>
      </c>
      <c r="BH2" s="274" t="s">
        <v>20</v>
      </c>
      <c r="BI2" s="274"/>
      <c r="BJ2" s="274"/>
      <c r="BK2" s="274"/>
      <c r="BL2" s="276" t="s">
        <v>6</v>
      </c>
      <c r="BM2" s="274" t="s">
        <v>7</v>
      </c>
      <c r="BN2" s="274" t="s">
        <v>8</v>
      </c>
      <c r="BO2" s="275" t="s">
        <v>9</v>
      </c>
      <c r="BP2" s="274" t="s">
        <v>60</v>
      </c>
      <c r="BQ2" s="274"/>
      <c r="BR2" s="274"/>
      <c r="BS2" s="274"/>
      <c r="BT2" s="274" t="s">
        <v>6</v>
      </c>
      <c r="BU2" s="274" t="s">
        <v>7</v>
      </c>
      <c r="BV2" s="274" t="s">
        <v>8</v>
      </c>
      <c r="BW2" s="275" t="s">
        <v>9</v>
      </c>
      <c r="BX2" s="274" t="s">
        <v>61</v>
      </c>
      <c r="BY2" s="274"/>
      <c r="BZ2" s="274"/>
      <c r="CA2" s="274"/>
      <c r="CB2" s="274" t="s">
        <v>6</v>
      </c>
      <c r="CC2" s="274" t="s">
        <v>7</v>
      </c>
      <c r="CD2" s="274" t="s">
        <v>8</v>
      </c>
      <c r="CE2" s="275" t="s">
        <v>9</v>
      </c>
      <c r="CF2" s="274" t="s">
        <v>16</v>
      </c>
      <c r="CG2" s="274"/>
      <c r="CH2" s="274"/>
      <c r="CI2" s="274"/>
      <c r="CJ2" s="274" t="s">
        <v>6</v>
      </c>
      <c r="CK2" s="274" t="s">
        <v>7</v>
      </c>
      <c r="CL2" s="274" t="s">
        <v>8</v>
      </c>
      <c r="CM2" s="275" t="s">
        <v>9</v>
      </c>
      <c r="CN2" s="274" t="s">
        <v>27</v>
      </c>
      <c r="CO2" s="274"/>
      <c r="CP2" s="274"/>
      <c r="CQ2" s="274"/>
      <c r="CR2" s="274" t="s">
        <v>20</v>
      </c>
      <c r="CS2" s="274"/>
      <c r="CT2" s="274"/>
      <c r="CU2" s="274"/>
      <c r="CV2" s="274" t="s">
        <v>6</v>
      </c>
      <c r="CW2" s="274" t="s">
        <v>7</v>
      </c>
      <c r="CX2" s="274" t="s">
        <v>8</v>
      </c>
      <c r="CY2" s="275" t="s">
        <v>9</v>
      </c>
      <c r="CZ2" s="274" t="s">
        <v>18</v>
      </c>
      <c r="DA2" s="274"/>
      <c r="DB2" s="274"/>
      <c r="DC2" s="274"/>
      <c r="DD2" s="274" t="s">
        <v>6</v>
      </c>
      <c r="DE2" s="277" t="s">
        <v>7</v>
      </c>
      <c r="DF2" s="274" t="s">
        <v>8</v>
      </c>
      <c r="DG2" s="275" t="s">
        <v>9</v>
      </c>
      <c r="DH2" s="274" t="s">
        <v>25</v>
      </c>
      <c r="DI2" s="274"/>
      <c r="DJ2" s="274"/>
      <c r="DK2" s="274"/>
      <c r="DL2" s="275" t="s">
        <v>18</v>
      </c>
      <c r="DM2" s="275"/>
      <c r="DN2" s="275"/>
      <c r="DO2" s="275"/>
      <c r="DP2" s="274" t="s">
        <v>6</v>
      </c>
      <c r="DQ2" s="274" t="s">
        <v>7</v>
      </c>
      <c r="DR2" s="274" t="s">
        <v>8</v>
      </c>
      <c r="DS2" s="275" t="s">
        <v>9</v>
      </c>
      <c r="DT2" s="274" t="s">
        <v>62</v>
      </c>
      <c r="DU2" s="274"/>
      <c r="DV2" s="274"/>
      <c r="DW2" s="274"/>
      <c r="DX2" s="274" t="s">
        <v>63</v>
      </c>
      <c r="DY2" s="274"/>
      <c r="DZ2" s="274"/>
      <c r="EA2" s="274"/>
      <c r="EB2" s="274" t="s">
        <v>64</v>
      </c>
      <c r="EC2" s="274"/>
      <c r="ED2" s="274"/>
      <c r="EE2" s="274"/>
      <c r="EF2" s="274" t="s">
        <v>65</v>
      </c>
      <c r="EG2" s="274"/>
      <c r="EH2" s="274"/>
      <c r="EI2" s="274"/>
      <c r="EJ2" s="276" t="s">
        <v>6</v>
      </c>
      <c r="EK2" s="274" t="s">
        <v>7</v>
      </c>
      <c r="EL2" s="274" t="s">
        <v>8</v>
      </c>
      <c r="EM2" s="275" t="s">
        <v>9</v>
      </c>
      <c r="EN2" s="274" t="s">
        <v>67</v>
      </c>
      <c r="EO2" s="274"/>
      <c r="EP2" s="274"/>
      <c r="EQ2" s="274"/>
      <c r="ER2" s="274" t="s">
        <v>6</v>
      </c>
      <c r="ES2" s="274" t="s">
        <v>7</v>
      </c>
      <c r="ET2" s="274" t="s">
        <v>8</v>
      </c>
      <c r="EU2" s="275" t="s">
        <v>9</v>
      </c>
      <c r="EV2" s="274" t="s">
        <v>69</v>
      </c>
      <c r="EW2" s="274"/>
      <c r="EX2" s="274"/>
      <c r="EY2" s="274"/>
      <c r="EZ2" s="274" t="s">
        <v>6</v>
      </c>
      <c r="FA2" s="274" t="s">
        <v>7</v>
      </c>
      <c r="FB2" s="274" t="s">
        <v>8</v>
      </c>
      <c r="FC2" s="275" t="s">
        <v>9</v>
      </c>
      <c r="FD2" s="274" t="s">
        <v>40</v>
      </c>
      <c r="FE2" s="274"/>
      <c r="FF2" s="274"/>
      <c r="FG2" s="274"/>
      <c r="FH2" s="274" t="s">
        <v>6</v>
      </c>
      <c r="FI2" s="274" t="s">
        <v>7</v>
      </c>
      <c r="FJ2" s="274" t="s">
        <v>8</v>
      </c>
      <c r="FK2" s="275" t="s">
        <v>9</v>
      </c>
      <c r="FL2" s="274" t="s">
        <v>158</v>
      </c>
      <c r="FM2" s="274"/>
      <c r="FN2" s="274"/>
      <c r="FO2" s="274"/>
      <c r="FP2" s="274" t="s">
        <v>71</v>
      </c>
      <c r="FQ2" s="274"/>
      <c r="FR2" s="274"/>
      <c r="FS2" s="274"/>
      <c r="FT2" s="274" t="s">
        <v>72</v>
      </c>
      <c r="FU2" s="274"/>
      <c r="FV2" s="274"/>
      <c r="FW2" s="274"/>
      <c r="FX2" s="274" t="s">
        <v>73</v>
      </c>
      <c r="FY2" s="274"/>
      <c r="FZ2" s="274"/>
      <c r="GA2" s="274"/>
      <c r="GB2" s="274" t="s">
        <v>6</v>
      </c>
      <c r="GC2" s="274" t="s">
        <v>7</v>
      </c>
      <c r="GD2" s="274" t="s">
        <v>8</v>
      </c>
      <c r="GE2" s="275" t="s">
        <v>9</v>
      </c>
      <c r="GF2" s="274" t="s">
        <v>28</v>
      </c>
      <c r="GG2" s="274"/>
      <c r="GH2" s="274"/>
      <c r="GI2" s="274"/>
      <c r="GJ2" s="274" t="s">
        <v>6</v>
      </c>
      <c r="GK2" s="274" t="s">
        <v>7</v>
      </c>
      <c r="GL2" s="274" t="s">
        <v>8</v>
      </c>
      <c r="GM2" s="275" t="s">
        <v>9</v>
      </c>
      <c r="GN2" s="274" t="s">
        <v>34</v>
      </c>
      <c r="GO2" s="274"/>
      <c r="GP2" s="274"/>
      <c r="GQ2" s="274"/>
      <c r="GR2" s="274" t="s">
        <v>35</v>
      </c>
      <c r="GS2" s="274"/>
      <c r="GT2" s="274"/>
      <c r="GU2" s="274"/>
      <c r="GV2" s="267" t="s">
        <v>6</v>
      </c>
      <c r="GW2" s="267" t="s">
        <v>7</v>
      </c>
      <c r="GX2" s="267" t="s">
        <v>8</v>
      </c>
      <c r="GY2" s="269" t="s">
        <v>9</v>
      </c>
      <c r="GZ2" s="267" t="s">
        <v>82</v>
      </c>
      <c r="HA2" s="267"/>
      <c r="HB2" s="267"/>
      <c r="HC2" s="267"/>
      <c r="HD2" s="267" t="s">
        <v>83</v>
      </c>
      <c r="HE2" s="267"/>
      <c r="HF2" s="267"/>
      <c r="HG2" s="267"/>
      <c r="HH2" s="267" t="s">
        <v>6</v>
      </c>
      <c r="HI2" s="267" t="s">
        <v>7</v>
      </c>
      <c r="HJ2" s="267" t="s">
        <v>8</v>
      </c>
      <c r="HK2" s="269" t="s">
        <v>9</v>
      </c>
      <c r="HL2" s="267" t="s">
        <v>15</v>
      </c>
      <c r="HM2" s="267"/>
      <c r="HN2" s="267"/>
      <c r="HO2" s="267"/>
      <c r="HP2" s="267" t="s">
        <v>84</v>
      </c>
      <c r="HQ2" s="267"/>
      <c r="HR2" s="267"/>
      <c r="HS2" s="267"/>
      <c r="HT2" s="267" t="s">
        <v>6</v>
      </c>
      <c r="HU2" s="272" t="s">
        <v>7</v>
      </c>
      <c r="HV2" s="267" t="s">
        <v>8</v>
      </c>
      <c r="HW2" s="269" t="s">
        <v>9</v>
      </c>
      <c r="HX2" s="267" t="s">
        <v>14</v>
      </c>
      <c r="HY2" s="267"/>
      <c r="HZ2" s="267"/>
      <c r="IA2" s="267"/>
      <c r="IB2" s="267" t="s">
        <v>86</v>
      </c>
      <c r="IC2" s="267"/>
      <c r="ID2" s="267"/>
      <c r="IE2" s="267"/>
      <c r="IF2" s="267" t="s">
        <v>6</v>
      </c>
      <c r="IG2" s="267" t="s">
        <v>7</v>
      </c>
      <c r="IH2" s="267" t="s">
        <v>8</v>
      </c>
      <c r="II2" s="269" t="s">
        <v>9</v>
      </c>
      <c r="IJ2" s="267" t="s">
        <v>87</v>
      </c>
      <c r="IK2" s="267"/>
      <c r="IL2" s="267"/>
      <c r="IM2" s="267"/>
      <c r="IN2" s="267" t="s">
        <v>88</v>
      </c>
      <c r="IO2" s="267"/>
      <c r="IP2" s="267"/>
      <c r="IQ2" s="267"/>
      <c r="IR2" s="268" t="s">
        <v>6</v>
      </c>
      <c r="IS2" s="267" t="s">
        <v>7</v>
      </c>
      <c r="IT2" s="267" t="s">
        <v>8</v>
      </c>
      <c r="IU2" s="269" t="s">
        <v>9</v>
      </c>
      <c r="IV2" s="267" t="s">
        <v>89</v>
      </c>
      <c r="IW2" s="267"/>
      <c r="IX2" s="267"/>
      <c r="IY2" s="267"/>
      <c r="IZ2" s="267" t="s">
        <v>90</v>
      </c>
      <c r="JA2" s="267"/>
      <c r="JB2" s="267"/>
      <c r="JC2" s="267"/>
      <c r="JD2" s="267" t="s">
        <v>6</v>
      </c>
      <c r="JE2" s="267" t="s">
        <v>7</v>
      </c>
      <c r="JF2" s="267" t="s">
        <v>8</v>
      </c>
      <c r="JG2" s="269" t="s">
        <v>9</v>
      </c>
      <c r="JH2" s="267" t="s">
        <v>92</v>
      </c>
      <c r="JI2" s="267"/>
      <c r="JJ2" s="267"/>
      <c r="JK2" s="267"/>
      <c r="JL2" s="267" t="s">
        <v>93</v>
      </c>
      <c r="JM2" s="267"/>
      <c r="JN2" s="267"/>
      <c r="JO2" s="267"/>
      <c r="JP2" s="270" t="s">
        <v>168</v>
      </c>
      <c r="JQ2" s="270"/>
      <c r="JR2" s="270"/>
      <c r="JS2" s="270"/>
      <c r="JT2" s="270" t="s">
        <v>167</v>
      </c>
      <c r="JU2" s="270"/>
      <c r="JV2" s="270"/>
      <c r="JW2" s="270"/>
      <c r="JX2" s="267" t="s">
        <v>42</v>
      </c>
      <c r="JY2" s="267" t="s">
        <v>43</v>
      </c>
      <c r="JZ2" s="267" t="s">
        <v>44</v>
      </c>
      <c r="KA2" s="269" t="s">
        <v>45</v>
      </c>
      <c r="KB2" s="267" t="s">
        <v>98</v>
      </c>
      <c r="KC2" s="267"/>
      <c r="KD2" s="267"/>
      <c r="KE2" s="267"/>
      <c r="KF2" s="267" t="s">
        <v>6</v>
      </c>
      <c r="KG2" s="267" t="s">
        <v>7</v>
      </c>
      <c r="KH2" s="267" t="s">
        <v>8</v>
      </c>
      <c r="KI2" s="269" t="s">
        <v>9</v>
      </c>
      <c r="KJ2" s="267" t="s">
        <v>99</v>
      </c>
      <c r="KK2" s="267"/>
      <c r="KL2" s="267"/>
      <c r="KM2" s="267"/>
      <c r="KN2" s="267" t="s">
        <v>100</v>
      </c>
      <c r="KO2" s="267"/>
      <c r="KP2" s="267"/>
      <c r="KQ2" s="267"/>
    </row>
    <row r="3" spans="1:303" s="8" customFormat="1" ht="16.5" customHeight="1" x14ac:dyDescent="0.35">
      <c r="A3" s="269"/>
      <c r="B3" s="269"/>
      <c r="C3" s="269"/>
      <c r="D3" s="269"/>
      <c r="E3" s="269"/>
      <c r="F3" s="267"/>
      <c r="G3" s="268"/>
      <c r="H3" s="269"/>
      <c r="I3" s="269"/>
      <c r="J3" s="267"/>
      <c r="K3" s="267"/>
      <c r="L3" s="268"/>
      <c r="M3" s="267"/>
      <c r="N3" s="267"/>
      <c r="O3" s="269"/>
      <c r="P3" s="165" t="s">
        <v>48</v>
      </c>
      <c r="Q3" s="165" t="s">
        <v>49</v>
      </c>
      <c r="R3" s="165" t="s">
        <v>50</v>
      </c>
      <c r="S3" s="165" t="s">
        <v>51</v>
      </c>
      <c r="T3" s="165" t="s">
        <v>48</v>
      </c>
      <c r="U3" s="165" t="s">
        <v>49</v>
      </c>
      <c r="V3" s="165" t="s">
        <v>50</v>
      </c>
      <c r="W3" s="165" t="s">
        <v>51</v>
      </c>
      <c r="X3" s="274"/>
      <c r="Y3" s="274"/>
      <c r="Z3" s="275"/>
      <c r="AA3" s="275"/>
      <c r="AB3" s="166" t="s">
        <v>10</v>
      </c>
      <c r="AC3" s="166" t="s">
        <v>11</v>
      </c>
      <c r="AD3" s="166" t="s">
        <v>12</v>
      </c>
      <c r="AE3" s="166" t="s">
        <v>13</v>
      </c>
      <c r="AF3" s="166" t="s">
        <v>10</v>
      </c>
      <c r="AG3" s="166" t="s">
        <v>11</v>
      </c>
      <c r="AH3" s="166" t="s">
        <v>12</v>
      </c>
      <c r="AI3" s="166" t="s">
        <v>13</v>
      </c>
      <c r="AJ3" s="166" t="s">
        <v>10</v>
      </c>
      <c r="AK3" s="166" t="s">
        <v>11</v>
      </c>
      <c r="AL3" s="166" t="s">
        <v>12</v>
      </c>
      <c r="AM3" s="166" t="s">
        <v>13</v>
      </c>
      <c r="AN3" s="274"/>
      <c r="AO3" s="274"/>
      <c r="AP3" s="275"/>
      <c r="AQ3" s="275"/>
      <c r="AR3" s="166" t="s">
        <v>10</v>
      </c>
      <c r="AS3" s="166" t="s">
        <v>11</v>
      </c>
      <c r="AT3" s="166" t="s">
        <v>12</v>
      </c>
      <c r="AU3" s="166" t="s">
        <v>13</v>
      </c>
      <c r="AV3" s="166" t="s">
        <v>10</v>
      </c>
      <c r="AW3" s="166" t="s">
        <v>11</v>
      </c>
      <c r="AX3" s="166" t="s">
        <v>12</v>
      </c>
      <c r="AY3" s="166" t="s">
        <v>13</v>
      </c>
      <c r="AZ3" s="166" t="s">
        <v>10</v>
      </c>
      <c r="BA3" s="166" t="s">
        <v>11</v>
      </c>
      <c r="BB3" s="166" t="s">
        <v>12</v>
      </c>
      <c r="BC3" s="166" t="s">
        <v>13</v>
      </c>
      <c r="BD3" s="276"/>
      <c r="BE3" s="274"/>
      <c r="BF3" s="274"/>
      <c r="BG3" s="275"/>
      <c r="BH3" s="166" t="s">
        <v>10</v>
      </c>
      <c r="BI3" s="166" t="s">
        <v>11</v>
      </c>
      <c r="BJ3" s="166" t="s">
        <v>12</v>
      </c>
      <c r="BK3" s="166" t="s">
        <v>13</v>
      </c>
      <c r="BL3" s="276"/>
      <c r="BM3" s="274"/>
      <c r="BN3" s="274"/>
      <c r="BO3" s="275"/>
      <c r="BP3" s="166" t="s">
        <v>10</v>
      </c>
      <c r="BQ3" s="166" t="s">
        <v>11</v>
      </c>
      <c r="BR3" s="166" t="s">
        <v>12</v>
      </c>
      <c r="BS3" s="166" t="s">
        <v>13</v>
      </c>
      <c r="BT3" s="274"/>
      <c r="BU3" s="274"/>
      <c r="BV3" s="274"/>
      <c r="BW3" s="275"/>
      <c r="BX3" s="166" t="s">
        <v>10</v>
      </c>
      <c r="BY3" s="166" t="s">
        <v>11</v>
      </c>
      <c r="BZ3" s="166" t="s">
        <v>12</v>
      </c>
      <c r="CA3" s="166" t="s">
        <v>13</v>
      </c>
      <c r="CB3" s="274"/>
      <c r="CC3" s="274"/>
      <c r="CD3" s="274"/>
      <c r="CE3" s="275"/>
      <c r="CF3" s="166" t="s">
        <v>10</v>
      </c>
      <c r="CG3" s="166" t="s">
        <v>11</v>
      </c>
      <c r="CH3" s="166" t="s">
        <v>12</v>
      </c>
      <c r="CI3" s="166" t="s">
        <v>13</v>
      </c>
      <c r="CJ3" s="274"/>
      <c r="CK3" s="274"/>
      <c r="CL3" s="274"/>
      <c r="CM3" s="275"/>
      <c r="CN3" s="166" t="s">
        <v>10</v>
      </c>
      <c r="CO3" s="166" t="s">
        <v>11</v>
      </c>
      <c r="CP3" s="166" t="s">
        <v>12</v>
      </c>
      <c r="CQ3" s="166" t="s">
        <v>13</v>
      </c>
      <c r="CR3" s="166" t="s">
        <v>10</v>
      </c>
      <c r="CS3" s="166" t="s">
        <v>11</v>
      </c>
      <c r="CT3" s="166" t="s">
        <v>12</v>
      </c>
      <c r="CU3" s="166" t="s">
        <v>13</v>
      </c>
      <c r="CV3" s="274"/>
      <c r="CW3" s="274"/>
      <c r="CX3" s="274"/>
      <c r="CY3" s="275"/>
      <c r="CZ3" s="166" t="s">
        <v>10</v>
      </c>
      <c r="DA3" s="166" t="s">
        <v>11</v>
      </c>
      <c r="DB3" s="166" t="s">
        <v>12</v>
      </c>
      <c r="DC3" s="166" t="s">
        <v>13</v>
      </c>
      <c r="DD3" s="274"/>
      <c r="DE3" s="277"/>
      <c r="DF3" s="274"/>
      <c r="DG3" s="275"/>
      <c r="DH3" s="166" t="s">
        <v>10</v>
      </c>
      <c r="DI3" s="166" t="s">
        <v>11</v>
      </c>
      <c r="DJ3" s="166" t="s">
        <v>12</v>
      </c>
      <c r="DK3" s="166" t="s">
        <v>13</v>
      </c>
      <c r="DL3" s="166" t="s">
        <v>10</v>
      </c>
      <c r="DM3" s="166" t="s">
        <v>11</v>
      </c>
      <c r="DN3" s="166" t="s">
        <v>12</v>
      </c>
      <c r="DO3" s="166" t="s">
        <v>13</v>
      </c>
      <c r="DP3" s="274"/>
      <c r="DQ3" s="274"/>
      <c r="DR3" s="274"/>
      <c r="DS3" s="275"/>
      <c r="DT3" s="166" t="s">
        <v>10</v>
      </c>
      <c r="DU3" s="167" t="s">
        <v>11</v>
      </c>
      <c r="DV3" s="166" t="s">
        <v>12</v>
      </c>
      <c r="DW3" s="166" t="s">
        <v>13</v>
      </c>
      <c r="DX3" s="166" t="s">
        <v>10</v>
      </c>
      <c r="DY3" s="167" t="s">
        <v>11</v>
      </c>
      <c r="DZ3" s="166" t="s">
        <v>12</v>
      </c>
      <c r="EA3" s="166" t="s">
        <v>13</v>
      </c>
      <c r="EB3" s="166" t="s">
        <v>10</v>
      </c>
      <c r="EC3" s="167" t="s">
        <v>11</v>
      </c>
      <c r="ED3" s="166" t="s">
        <v>12</v>
      </c>
      <c r="EE3" s="166" t="s">
        <v>13</v>
      </c>
      <c r="EF3" s="166" t="s">
        <v>10</v>
      </c>
      <c r="EG3" s="167" t="s">
        <v>11</v>
      </c>
      <c r="EH3" s="166" t="s">
        <v>12</v>
      </c>
      <c r="EI3" s="166" t="s">
        <v>13</v>
      </c>
      <c r="EJ3" s="276"/>
      <c r="EK3" s="274"/>
      <c r="EL3" s="274"/>
      <c r="EM3" s="275"/>
      <c r="EN3" s="166" t="s">
        <v>10</v>
      </c>
      <c r="EO3" s="166" t="s">
        <v>11</v>
      </c>
      <c r="EP3" s="166" t="s">
        <v>12</v>
      </c>
      <c r="EQ3" s="166" t="s">
        <v>13</v>
      </c>
      <c r="ER3" s="274"/>
      <c r="ES3" s="274"/>
      <c r="ET3" s="274"/>
      <c r="EU3" s="275"/>
      <c r="EV3" s="166" t="s">
        <v>10</v>
      </c>
      <c r="EW3" s="166" t="s">
        <v>11</v>
      </c>
      <c r="EX3" s="166" t="s">
        <v>12</v>
      </c>
      <c r="EY3" s="166" t="s">
        <v>13</v>
      </c>
      <c r="EZ3" s="274"/>
      <c r="FA3" s="274"/>
      <c r="FB3" s="274"/>
      <c r="FC3" s="275"/>
      <c r="FD3" s="166" t="s">
        <v>10</v>
      </c>
      <c r="FE3" s="166" t="s">
        <v>11</v>
      </c>
      <c r="FF3" s="166" t="s">
        <v>12</v>
      </c>
      <c r="FG3" s="166" t="s">
        <v>13</v>
      </c>
      <c r="FH3" s="274"/>
      <c r="FI3" s="274"/>
      <c r="FJ3" s="274"/>
      <c r="FK3" s="275"/>
      <c r="FL3" s="166" t="s">
        <v>10</v>
      </c>
      <c r="FM3" s="166" t="s">
        <v>11</v>
      </c>
      <c r="FN3" s="166" t="s">
        <v>12</v>
      </c>
      <c r="FO3" s="166" t="s">
        <v>13</v>
      </c>
      <c r="FP3" s="166" t="s">
        <v>10</v>
      </c>
      <c r="FQ3" s="166" t="s">
        <v>11</v>
      </c>
      <c r="FR3" s="166" t="s">
        <v>12</v>
      </c>
      <c r="FS3" s="166" t="s">
        <v>13</v>
      </c>
      <c r="FT3" s="166" t="s">
        <v>10</v>
      </c>
      <c r="FU3" s="166" t="s">
        <v>11</v>
      </c>
      <c r="FV3" s="166" t="s">
        <v>12</v>
      </c>
      <c r="FW3" s="166" t="s">
        <v>13</v>
      </c>
      <c r="FX3" s="166" t="s">
        <v>10</v>
      </c>
      <c r="FY3" s="166" t="s">
        <v>11</v>
      </c>
      <c r="FZ3" s="166" t="s">
        <v>12</v>
      </c>
      <c r="GA3" s="166" t="s">
        <v>13</v>
      </c>
      <c r="GB3" s="274"/>
      <c r="GC3" s="274"/>
      <c r="GD3" s="274"/>
      <c r="GE3" s="275"/>
      <c r="GF3" s="166" t="s">
        <v>10</v>
      </c>
      <c r="GG3" s="166" t="s">
        <v>11</v>
      </c>
      <c r="GH3" s="166" t="s">
        <v>12</v>
      </c>
      <c r="GI3" s="166" t="s">
        <v>13</v>
      </c>
      <c r="GJ3" s="274"/>
      <c r="GK3" s="274"/>
      <c r="GL3" s="274"/>
      <c r="GM3" s="275"/>
      <c r="GN3" s="166" t="s">
        <v>10</v>
      </c>
      <c r="GO3" s="166" t="s">
        <v>11</v>
      </c>
      <c r="GP3" s="166" t="s">
        <v>12</v>
      </c>
      <c r="GQ3" s="166" t="s">
        <v>13</v>
      </c>
      <c r="GR3" s="166" t="s">
        <v>10</v>
      </c>
      <c r="GS3" s="166" t="s">
        <v>11</v>
      </c>
      <c r="GT3" s="166" t="s">
        <v>12</v>
      </c>
      <c r="GU3" s="166" t="s">
        <v>13</v>
      </c>
      <c r="GV3" s="267"/>
      <c r="GW3" s="267"/>
      <c r="GX3" s="267"/>
      <c r="GY3" s="269"/>
      <c r="GZ3" s="165" t="s">
        <v>10</v>
      </c>
      <c r="HA3" s="165" t="s">
        <v>11</v>
      </c>
      <c r="HB3" s="165" t="s">
        <v>12</v>
      </c>
      <c r="HC3" s="165" t="s">
        <v>13</v>
      </c>
      <c r="HD3" s="165" t="s">
        <v>10</v>
      </c>
      <c r="HE3" s="165" t="s">
        <v>11</v>
      </c>
      <c r="HF3" s="165" t="s">
        <v>12</v>
      </c>
      <c r="HG3" s="165" t="s">
        <v>13</v>
      </c>
      <c r="HH3" s="267"/>
      <c r="HI3" s="267"/>
      <c r="HJ3" s="267"/>
      <c r="HK3" s="269"/>
      <c r="HL3" s="165" t="s">
        <v>10</v>
      </c>
      <c r="HM3" s="165" t="s">
        <v>11</v>
      </c>
      <c r="HN3" s="165" t="s">
        <v>12</v>
      </c>
      <c r="HO3" s="165" t="s">
        <v>13</v>
      </c>
      <c r="HP3" s="165" t="s">
        <v>10</v>
      </c>
      <c r="HQ3" s="165" t="s">
        <v>11</v>
      </c>
      <c r="HR3" s="165" t="s">
        <v>12</v>
      </c>
      <c r="HS3" s="165" t="s">
        <v>13</v>
      </c>
      <c r="HT3" s="267"/>
      <c r="HU3" s="272"/>
      <c r="HV3" s="267"/>
      <c r="HW3" s="269"/>
      <c r="HX3" s="165" t="s">
        <v>10</v>
      </c>
      <c r="HY3" s="165" t="s">
        <v>11</v>
      </c>
      <c r="HZ3" s="165" t="s">
        <v>12</v>
      </c>
      <c r="IA3" s="165" t="s">
        <v>13</v>
      </c>
      <c r="IB3" s="165" t="s">
        <v>10</v>
      </c>
      <c r="IC3" s="165" t="s">
        <v>11</v>
      </c>
      <c r="ID3" s="165" t="s">
        <v>12</v>
      </c>
      <c r="IE3" s="165" t="s">
        <v>13</v>
      </c>
      <c r="IF3" s="267"/>
      <c r="IG3" s="267"/>
      <c r="IH3" s="267"/>
      <c r="II3" s="269"/>
      <c r="IJ3" s="165" t="s">
        <v>10</v>
      </c>
      <c r="IK3" s="165" t="s">
        <v>11</v>
      </c>
      <c r="IL3" s="165" t="s">
        <v>12</v>
      </c>
      <c r="IM3" s="165" t="s">
        <v>13</v>
      </c>
      <c r="IN3" s="165" t="s">
        <v>10</v>
      </c>
      <c r="IO3" s="165" t="s">
        <v>11</v>
      </c>
      <c r="IP3" s="165" t="s">
        <v>12</v>
      </c>
      <c r="IQ3" s="165" t="s">
        <v>13</v>
      </c>
      <c r="IR3" s="268"/>
      <c r="IS3" s="267"/>
      <c r="IT3" s="267"/>
      <c r="IU3" s="269"/>
      <c r="IV3" s="165" t="s">
        <v>10</v>
      </c>
      <c r="IW3" s="165" t="s">
        <v>11</v>
      </c>
      <c r="IX3" s="165" t="s">
        <v>12</v>
      </c>
      <c r="IY3" s="165" t="s">
        <v>13</v>
      </c>
      <c r="IZ3" s="165" t="s">
        <v>10</v>
      </c>
      <c r="JA3" s="165" t="s">
        <v>11</v>
      </c>
      <c r="JB3" s="165" t="s">
        <v>12</v>
      </c>
      <c r="JC3" s="165" t="s">
        <v>13</v>
      </c>
      <c r="JD3" s="267"/>
      <c r="JE3" s="267"/>
      <c r="JF3" s="267"/>
      <c r="JG3" s="269"/>
      <c r="JH3" s="165" t="s">
        <v>10</v>
      </c>
      <c r="JI3" s="165" t="s">
        <v>11</v>
      </c>
      <c r="JJ3" s="165" t="s">
        <v>12</v>
      </c>
      <c r="JK3" s="165" t="s">
        <v>13</v>
      </c>
      <c r="JL3" s="165" t="s">
        <v>10</v>
      </c>
      <c r="JM3" s="165" t="s">
        <v>11</v>
      </c>
      <c r="JN3" s="165" t="s">
        <v>12</v>
      </c>
      <c r="JO3" s="165" t="s">
        <v>13</v>
      </c>
      <c r="JP3" s="165" t="s">
        <v>10</v>
      </c>
      <c r="JQ3" s="165" t="s">
        <v>11</v>
      </c>
      <c r="JR3" s="165" t="s">
        <v>12</v>
      </c>
      <c r="JS3" s="165" t="s">
        <v>13</v>
      </c>
      <c r="JT3" s="165" t="s">
        <v>10</v>
      </c>
      <c r="JU3" s="165" t="s">
        <v>11</v>
      </c>
      <c r="JV3" s="165" t="s">
        <v>12</v>
      </c>
      <c r="JW3" s="165" t="s">
        <v>13</v>
      </c>
      <c r="JX3" s="267"/>
      <c r="JY3" s="267"/>
      <c r="JZ3" s="267"/>
      <c r="KA3" s="269"/>
      <c r="KB3" s="165" t="s">
        <v>48</v>
      </c>
      <c r="KC3" s="165" t="s">
        <v>106</v>
      </c>
      <c r="KD3" s="165" t="s">
        <v>107</v>
      </c>
      <c r="KE3" s="165" t="s">
        <v>51</v>
      </c>
      <c r="KF3" s="267"/>
      <c r="KG3" s="267"/>
      <c r="KH3" s="267"/>
      <c r="KI3" s="269"/>
      <c r="KJ3" s="165" t="s">
        <v>10</v>
      </c>
      <c r="KK3" s="165" t="s">
        <v>11</v>
      </c>
      <c r="KL3" s="165" t="s">
        <v>12</v>
      </c>
      <c r="KM3" s="165" t="s">
        <v>13</v>
      </c>
      <c r="KN3" s="165" t="s">
        <v>10</v>
      </c>
      <c r="KO3" s="165" t="s">
        <v>11</v>
      </c>
      <c r="KP3" s="165" t="s">
        <v>12</v>
      </c>
      <c r="KQ3" s="165" t="s">
        <v>13</v>
      </c>
    </row>
    <row r="4" spans="1:303" s="39" customFormat="1" ht="16.5" customHeight="1" x14ac:dyDescent="0.35">
      <c r="B4" s="39" t="s">
        <v>686</v>
      </c>
      <c r="C4" s="39" t="s">
        <v>325</v>
      </c>
      <c r="D4" s="39" t="s">
        <v>666</v>
      </c>
      <c r="E4" s="39" t="s">
        <v>545</v>
      </c>
      <c r="F4" s="113" t="s">
        <v>687</v>
      </c>
      <c r="G4" s="3" t="s">
        <v>547</v>
      </c>
      <c r="H4" s="40">
        <v>7.0000000000000007E-2</v>
      </c>
      <c r="I4" s="40" t="s">
        <v>344</v>
      </c>
      <c r="J4" s="39" t="s">
        <v>689</v>
      </c>
      <c r="L4" s="42"/>
      <c r="U4" s="46"/>
      <c r="X4" s="8">
        <v>3</v>
      </c>
      <c r="Y4" s="43"/>
      <c r="AC4" s="66"/>
      <c r="AD4" s="66"/>
      <c r="AE4" s="66"/>
      <c r="AO4" s="43"/>
      <c r="BD4" s="2">
        <v>5</v>
      </c>
      <c r="BE4" s="8">
        <v>0</v>
      </c>
      <c r="BL4" s="2">
        <v>5</v>
      </c>
      <c r="BT4" s="8">
        <v>1</v>
      </c>
      <c r="BU4" s="36"/>
      <c r="BV4" s="36"/>
      <c r="BW4" s="36"/>
      <c r="BX4" s="36"/>
      <c r="BY4" s="36"/>
      <c r="BZ4" s="47"/>
      <c r="CA4" s="36"/>
      <c r="CJ4" s="67"/>
      <c r="CK4" s="48"/>
      <c r="CO4" s="49"/>
      <c r="CV4" s="42"/>
      <c r="DA4" s="49"/>
      <c r="DB4" s="49"/>
      <c r="DD4" s="39" t="e">
        <v>#DIV/0!</v>
      </c>
      <c r="DE4" s="69" t="e">
        <v>#DIV/0!</v>
      </c>
      <c r="DM4" s="49"/>
      <c r="DN4" s="49"/>
      <c r="DU4" s="40"/>
      <c r="DY4" s="40"/>
      <c r="EC4" s="40"/>
      <c r="EG4" s="40"/>
      <c r="EK4" s="78"/>
      <c r="EO4" s="79"/>
      <c r="ER4" s="42"/>
      <c r="ES4" s="78"/>
      <c r="EW4" s="78"/>
      <c r="FM4" s="40"/>
      <c r="FP4" s="39">
        <v>602284.11</v>
      </c>
      <c r="FQ4" s="40"/>
      <c r="FU4" s="40"/>
      <c r="FY4" s="40"/>
      <c r="GK4" s="43"/>
      <c r="GW4" s="43"/>
      <c r="HA4" s="48"/>
      <c r="HI4" s="43"/>
      <c r="HM4" s="48"/>
      <c r="HT4" s="36"/>
      <c r="HU4" s="36"/>
      <c r="HV4" s="36"/>
      <c r="HW4" s="36"/>
      <c r="HX4" s="36"/>
      <c r="HY4" s="36"/>
      <c r="IR4" s="42"/>
      <c r="IS4" s="43"/>
      <c r="JE4" s="43"/>
      <c r="KG4" s="43"/>
    </row>
    <row r="5" spans="1:303" s="39" customFormat="1" ht="16.5" customHeight="1" x14ac:dyDescent="0.35">
      <c r="B5" s="39" t="s">
        <v>686</v>
      </c>
      <c r="C5" s="39" t="s">
        <v>325</v>
      </c>
      <c r="D5" s="39" t="s">
        <v>666</v>
      </c>
      <c r="E5" s="39" t="s">
        <v>545</v>
      </c>
      <c r="F5" s="113" t="s">
        <v>687</v>
      </c>
      <c r="G5" s="3" t="s">
        <v>326</v>
      </c>
      <c r="H5" s="40">
        <v>5.8999999999999997E-2</v>
      </c>
      <c r="I5" s="40" t="s">
        <v>344</v>
      </c>
      <c r="J5" s="39" t="s">
        <v>689</v>
      </c>
      <c r="L5" s="42"/>
      <c r="U5" s="46"/>
      <c r="X5" s="8">
        <v>3</v>
      </c>
      <c r="Y5" s="43"/>
      <c r="AO5" s="43"/>
      <c r="BD5" s="2">
        <v>5</v>
      </c>
      <c r="BE5" s="8">
        <v>0</v>
      </c>
      <c r="BL5" s="2">
        <v>5</v>
      </c>
      <c r="BT5" s="8">
        <v>1</v>
      </c>
      <c r="BU5" s="36"/>
      <c r="BV5" s="36"/>
      <c r="BW5" s="36"/>
      <c r="BX5" s="36"/>
      <c r="BY5" s="36"/>
      <c r="BZ5" s="47"/>
      <c r="CA5" s="36"/>
      <c r="CJ5" s="67"/>
      <c r="CK5" s="48"/>
      <c r="CO5" s="49"/>
      <c r="CV5" s="42"/>
      <c r="DA5" s="49"/>
      <c r="DB5" s="49"/>
      <c r="DD5" s="39" t="e">
        <v>#DIV/0!</v>
      </c>
      <c r="DE5" s="69" t="e">
        <v>#DIV/0!</v>
      </c>
      <c r="DM5" s="49"/>
      <c r="DN5" s="49"/>
      <c r="DU5" s="40"/>
      <c r="DY5" s="40"/>
      <c r="EC5" s="40"/>
      <c r="EG5" s="40"/>
      <c r="EK5" s="78"/>
      <c r="EO5" s="79"/>
      <c r="ER5" s="42"/>
      <c r="ES5" s="78"/>
      <c r="EW5" s="78"/>
      <c r="FJ5" s="59"/>
      <c r="FM5" s="40"/>
      <c r="FQ5" s="40"/>
      <c r="FU5" s="40"/>
      <c r="FY5" s="40"/>
      <c r="GK5" s="43"/>
      <c r="GW5" s="43"/>
      <c r="HA5" s="48"/>
      <c r="HI5" s="43"/>
      <c r="HM5" s="48"/>
      <c r="HT5" s="36"/>
      <c r="HU5" s="36"/>
      <c r="HV5" s="36"/>
      <c r="HW5" s="36"/>
      <c r="HX5" s="36"/>
      <c r="HY5" s="36"/>
      <c r="IR5" s="42"/>
      <c r="IS5" s="43"/>
      <c r="JE5" s="43"/>
      <c r="KG5" s="43"/>
    </row>
    <row r="6" spans="1:303" s="6" customFormat="1" ht="16.5" customHeight="1" x14ac:dyDescent="0.35">
      <c r="B6" s="6" t="s">
        <v>342</v>
      </c>
      <c r="C6" s="6" t="s">
        <v>324</v>
      </c>
      <c r="D6" s="6" t="s">
        <v>325</v>
      </c>
      <c r="E6" s="6" t="s">
        <v>172</v>
      </c>
      <c r="F6" s="6" t="s">
        <v>343</v>
      </c>
      <c r="G6" s="3" t="s">
        <v>174</v>
      </c>
      <c r="H6" s="16">
        <v>1.21E-2</v>
      </c>
      <c r="I6" s="6" t="s">
        <v>344</v>
      </c>
      <c r="J6" s="6" t="s">
        <v>517</v>
      </c>
      <c r="L6" s="3"/>
      <c r="X6" s="8"/>
      <c r="Y6" s="1"/>
      <c r="AN6" s="8"/>
      <c r="AO6" s="1"/>
      <c r="BD6" s="2">
        <v>5</v>
      </c>
      <c r="BE6" s="8">
        <v>0</v>
      </c>
      <c r="BI6" s="8"/>
      <c r="BL6" s="2">
        <v>5</v>
      </c>
      <c r="BM6" s="8"/>
      <c r="BQ6" s="8"/>
      <c r="BT6" s="8">
        <v>1</v>
      </c>
      <c r="CJ6" s="8"/>
      <c r="CK6" s="12"/>
      <c r="CS6" s="8"/>
      <c r="CV6" s="8"/>
      <c r="CW6" s="8"/>
      <c r="DD6" s="8">
        <v>3</v>
      </c>
      <c r="DE6" s="15"/>
      <c r="DI6" s="8"/>
      <c r="DM6" s="13"/>
      <c r="DU6" s="16"/>
      <c r="DY6" s="16"/>
      <c r="EC6" s="16"/>
      <c r="EG6" s="16"/>
      <c r="EJ6" s="2"/>
      <c r="EK6" s="8"/>
      <c r="ER6" s="8"/>
      <c r="EZ6" s="8"/>
      <c r="FA6" s="8"/>
      <c r="GJ6" s="8"/>
      <c r="GK6" s="1"/>
      <c r="GV6" s="8"/>
      <c r="GW6" s="1"/>
      <c r="HH6" s="8"/>
      <c r="HI6" s="1"/>
      <c r="HT6" s="8"/>
      <c r="HU6" s="10"/>
      <c r="IR6" s="2"/>
      <c r="IS6" s="1"/>
      <c r="JD6" s="14"/>
      <c r="JE6" s="1" t="e">
        <v>#DIV/0!</v>
      </c>
      <c r="KF6" s="8"/>
      <c r="KG6" s="1"/>
      <c r="KO6" s="15"/>
    </row>
    <row r="7" spans="1:303" s="6" customFormat="1" ht="16.5" customHeight="1" x14ac:dyDescent="0.35">
      <c r="B7" s="6" t="s">
        <v>453</v>
      </c>
      <c r="C7" s="6" t="s">
        <v>170</v>
      </c>
      <c r="D7" s="6" t="s">
        <v>171</v>
      </c>
      <c r="E7" s="6" t="s">
        <v>172</v>
      </c>
      <c r="F7" s="6" t="s">
        <v>454</v>
      </c>
      <c r="G7" s="3" t="s">
        <v>199</v>
      </c>
      <c r="H7" s="16">
        <v>0.38824644549763032</v>
      </c>
      <c r="I7" s="16" t="s">
        <v>344</v>
      </c>
      <c r="J7" s="6" t="s">
        <v>455</v>
      </c>
      <c r="L7" s="3"/>
      <c r="X7" s="8"/>
      <c r="Y7" s="1"/>
      <c r="AN7" s="8"/>
      <c r="AO7" s="1"/>
      <c r="BD7" s="2">
        <v>5</v>
      </c>
      <c r="BE7" s="8">
        <v>0</v>
      </c>
      <c r="BI7" s="8"/>
      <c r="BL7" s="2">
        <v>5</v>
      </c>
      <c r="BM7" s="8"/>
      <c r="BQ7" s="8"/>
      <c r="BT7" s="8">
        <v>1</v>
      </c>
      <c r="CJ7" s="8"/>
      <c r="CK7" s="12"/>
      <c r="CS7" s="8"/>
      <c r="CV7" s="8"/>
      <c r="CW7" s="8"/>
      <c r="DD7" s="8"/>
      <c r="DE7" s="15"/>
      <c r="DI7" s="8"/>
      <c r="DM7" s="13"/>
      <c r="DU7" s="16"/>
      <c r="DY7" s="16"/>
      <c r="EC7" s="16"/>
      <c r="EG7" s="16"/>
      <c r="EJ7" s="2"/>
      <c r="EK7" s="8"/>
      <c r="ER7" s="8"/>
      <c r="EZ7" s="8"/>
      <c r="FA7" s="8"/>
      <c r="GJ7" s="8"/>
      <c r="GK7" s="1"/>
      <c r="GV7" s="8"/>
      <c r="GW7" s="1"/>
      <c r="HH7" s="8"/>
      <c r="HI7" s="1"/>
      <c r="HT7" s="8"/>
      <c r="HU7" s="10"/>
      <c r="IR7" s="2"/>
      <c r="IS7" s="1"/>
      <c r="JD7" s="14"/>
      <c r="JE7" s="1"/>
      <c r="KF7" s="8"/>
      <c r="KG7" s="1"/>
      <c r="KO7" s="15"/>
    </row>
    <row r="8" spans="1:303" s="36" customFormat="1" ht="16.5" customHeight="1" x14ac:dyDescent="0.35">
      <c r="B8" s="36" t="s">
        <v>923</v>
      </c>
      <c r="C8" s="36" t="s">
        <v>325</v>
      </c>
      <c r="D8" s="36" t="s">
        <v>324</v>
      </c>
      <c r="E8" s="36" t="s">
        <v>172</v>
      </c>
      <c r="F8" s="36" t="s">
        <v>926</v>
      </c>
      <c r="G8" s="3" t="s">
        <v>174</v>
      </c>
      <c r="H8" s="41">
        <v>5.5121870858084253E-2</v>
      </c>
      <c r="I8" s="36" t="s">
        <v>344</v>
      </c>
      <c r="J8" s="36" t="s">
        <v>928</v>
      </c>
      <c r="L8" s="85"/>
      <c r="U8" s="41"/>
      <c r="X8" s="8"/>
      <c r="Y8" s="1" t="e">
        <v>#DIV/0!</v>
      </c>
      <c r="AC8" s="83"/>
      <c r="AG8" s="83"/>
      <c r="AK8" s="83"/>
      <c r="AN8" s="8"/>
      <c r="AO8" s="1"/>
      <c r="AS8" s="83"/>
      <c r="AW8" s="83"/>
      <c r="BA8" s="83"/>
      <c r="BD8" s="2">
        <v>5</v>
      </c>
      <c r="BE8" s="8"/>
      <c r="BI8" s="83"/>
      <c r="BL8" s="2">
        <v>5</v>
      </c>
      <c r="BM8" s="8"/>
      <c r="BQ8" s="83"/>
      <c r="BT8" s="8">
        <v>1</v>
      </c>
      <c r="CJ8" s="8"/>
      <c r="CK8" s="12"/>
      <c r="CO8" s="83"/>
      <c r="CS8" s="83"/>
      <c r="CV8" s="8"/>
      <c r="CW8" s="8"/>
      <c r="DA8" s="83"/>
      <c r="DE8" s="15"/>
      <c r="DI8" s="83"/>
      <c r="DU8" s="41"/>
      <c r="DY8" s="41"/>
      <c r="EC8" s="41"/>
      <c r="EG8" s="41"/>
      <c r="EJ8" s="2"/>
      <c r="EK8" s="8">
        <v>0</v>
      </c>
      <c r="EO8" s="83"/>
      <c r="ER8" s="8"/>
      <c r="ES8" s="6"/>
      <c r="EW8" s="83"/>
      <c r="EZ8" s="8"/>
      <c r="FA8" s="8"/>
      <c r="FE8" s="83"/>
      <c r="GJ8" s="8"/>
      <c r="GK8" s="1"/>
      <c r="GS8" s="38"/>
      <c r="GV8" s="8"/>
      <c r="GW8" s="1"/>
      <c r="HE8" s="38"/>
      <c r="HI8" s="1"/>
      <c r="HQ8" s="83"/>
      <c r="HT8" s="8"/>
      <c r="HU8" s="10"/>
      <c r="IR8" s="3"/>
      <c r="IS8" s="1"/>
      <c r="IW8" s="83"/>
      <c r="JA8" s="38"/>
      <c r="JE8" s="5"/>
      <c r="JM8" s="83"/>
      <c r="KD8" s="47"/>
      <c r="KF8" s="8"/>
      <c r="KG8" s="1"/>
    </row>
    <row r="9" spans="1:303" s="39" customFormat="1" ht="15" customHeight="1" x14ac:dyDescent="0.35">
      <c r="B9" s="39" t="s">
        <v>1457</v>
      </c>
      <c r="C9" s="67" t="s">
        <v>767</v>
      </c>
      <c r="D9" s="39" t="s">
        <v>325</v>
      </c>
      <c r="E9" s="67" t="s">
        <v>172</v>
      </c>
      <c r="F9" s="39" t="s">
        <v>1458</v>
      </c>
      <c r="G9" s="42" t="s">
        <v>174</v>
      </c>
      <c r="H9" s="40">
        <v>0.27417840375586855</v>
      </c>
      <c r="I9" s="39" t="s">
        <v>344</v>
      </c>
      <c r="J9" s="39" t="s">
        <v>1459</v>
      </c>
      <c r="L9" s="42"/>
      <c r="U9" s="40"/>
      <c r="X9" s="8"/>
      <c r="Y9" s="1"/>
      <c r="AN9" s="8"/>
      <c r="AO9" s="1"/>
      <c r="BD9" s="2">
        <v>5</v>
      </c>
      <c r="BE9" s="8"/>
      <c r="BL9" s="2">
        <v>5</v>
      </c>
      <c r="BM9" s="8"/>
      <c r="BT9" s="8"/>
      <c r="CK9" s="125"/>
      <c r="CW9" s="8"/>
      <c r="DE9" s="69"/>
      <c r="DM9" s="118"/>
      <c r="DU9" s="40"/>
      <c r="DY9" s="40"/>
      <c r="EC9" s="40"/>
      <c r="EG9" s="40"/>
      <c r="EJ9" s="2"/>
      <c r="EK9" s="8"/>
      <c r="ER9" s="8"/>
      <c r="ES9" s="6"/>
      <c r="EZ9" s="8"/>
      <c r="FA9" s="8"/>
      <c r="FM9" s="40"/>
      <c r="FQ9" s="40"/>
      <c r="FU9" s="40"/>
      <c r="FY9" s="40"/>
      <c r="GJ9" s="8"/>
      <c r="GK9" s="1"/>
      <c r="GS9" s="69"/>
      <c r="GV9" s="8"/>
      <c r="GW9" s="1"/>
      <c r="HE9" s="69"/>
      <c r="HI9" s="1"/>
      <c r="HQ9" s="78"/>
      <c r="HU9" s="10"/>
      <c r="IR9" s="42"/>
      <c r="IS9" s="1"/>
      <c r="JA9" s="69"/>
      <c r="JE9" s="43"/>
      <c r="KF9" s="8"/>
      <c r="KG9" s="1"/>
      <c r="KO9" s="69"/>
    </row>
    <row r="10" spans="1:303" s="39" customFormat="1" ht="15" customHeight="1" x14ac:dyDescent="0.35">
      <c r="B10" s="39" t="s">
        <v>1457</v>
      </c>
      <c r="C10" s="67" t="s">
        <v>767</v>
      </c>
      <c r="D10" s="39" t="s">
        <v>325</v>
      </c>
      <c r="E10" s="67" t="s">
        <v>172</v>
      </c>
      <c r="F10" s="39" t="s">
        <v>1460</v>
      </c>
      <c r="G10" s="42" t="s">
        <v>199</v>
      </c>
      <c r="H10" s="40">
        <v>0.23063380281690143</v>
      </c>
      <c r="I10" s="39" t="s">
        <v>344</v>
      </c>
      <c r="J10" s="39" t="s">
        <v>1459</v>
      </c>
      <c r="L10" s="42"/>
      <c r="U10" s="40"/>
      <c r="X10" s="8"/>
      <c r="Y10" s="1"/>
      <c r="AN10" s="8"/>
      <c r="AO10" s="1"/>
      <c r="BD10" s="2">
        <v>5</v>
      </c>
      <c r="BE10" s="8"/>
      <c r="BL10" s="2">
        <v>5</v>
      </c>
      <c r="BM10" s="8"/>
      <c r="BT10" s="8"/>
      <c r="CK10" s="125"/>
      <c r="CW10" s="8"/>
      <c r="DE10" s="69"/>
      <c r="DM10" s="118"/>
      <c r="DU10" s="40"/>
      <c r="DY10" s="40"/>
      <c r="EC10" s="40"/>
      <c r="EG10" s="40"/>
      <c r="EJ10" s="2"/>
      <c r="EK10" s="8"/>
      <c r="ER10" s="8"/>
      <c r="ES10" s="6"/>
      <c r="EZ10" s="8"/>
      <c r="FA10" s="8"/>
      <c r="FQ10" s="40"/>
      <c r="FY10" s="40"/>
      <c r="GJ10" s="8"/>
      <c r="GK10" s="1"/>
      <c r="GS10" s="69"/>
      <c r="GV10" s="8"/>
      <c r="GW10" s="1"/>
      <c r="HE10" s="69"/>
      <c r="HI10" s="1"/>
      <c r="HQ10" s="78"/>
      <c r="HU10" s="10"/>
      <c r="IR10" s="42"/>
      <c r="IS10" s="1"/>
      <c r="JA10" s="69"/>
      <c r="JE10" s="43"/>
      <c r="KF10" s="8"/>
      <c r="KG10" s="1"/>
      <c r="KO10" s="69"/>
    </row>
    <row r="11" spans="1:303" s="39" customFormat="1" ht="15.75" customHeight="1" x14ac:dyDescent="0.35">
      <c r="B11" s="39" t="s">
        <v>1835</v>
      </c>
      <c r="C11" s="39" t="s">
        <v>324</v>
      </c>
      <c r="D11" s="39" t="s">
        <v>325</v>
      </c>
      <c r="E11" s="39" t="s">
        <v>172</v>
      </c>
      <c r="F11" s="39" t="s">
        <v>1838</v>
      </c>
      <c r="G11" s="42" t="s">
        <v>174</v>
      </c>
      <c r="H11" s="141">
        <v>0.31169999999999998</v>
      </c>
      <c r="I11" s="39" t="s">
        <v>344</v>
      </c>
      <c r="J11" s="39" t="s">
        <v>1839</v>
      </c>
      <c r="L11" s="42"/>
      <c r="U11" s="142"/>
      <c r="Y11" s="43"/>
      <c r="AO11" s="43"/>
      <c r="BD11" s="2">
        <v>5</v>
      </c>
      <c r="BL11" s="2"/>
      <c r="BT11" s="8"/>
      <c r="CK11" s="48"/>
      <c r="CV11" s="36"/>
      <c r="DE11" s="69"/>
      <c r="DM11" s="118"/>
      <c r="DU11" s="40"/>
      <c r="DY11" s="40"/>
      <c r="EC11" s="40"/>
      <c r="EG11" s="40"/>
      <c r="EJ11" s="2"/>
      <c r="EZ11" s="8"/>
      <c r="FM11" s="142"/>
      <c r="FQ11" s="142"/>
      <c r="FU11" s="142"/>
      <c r="FY11" s="142"/>
      <c r="GJ11" s="8"/>
      <c r="GK11" s="1"/>
      <c r="GS11" s="69"/>
      <c r="GV11" s="8"/>
      <c r="GW11" s="1"/>
      <c r="HE11" s="69"/>
      <c r="HI11" s="1"/>
      <c r="HQ11" s="78"/>
      <c r="HU11" s="10"/>
      <c r="IR11" s="42"/>
      <c r="IS11" s="1"/>
      <c r="JA11" s="69"/>
      <c r="JE11" s="43"/>
      <c r="KD11" s="201"/>
      <c r="KF11" s="8"/>
      <c r="KG11" s="43"/>
      <c r="KO11" s="69"/>
    </row>
    <row r="12" spans="1:303" s="39" customFormat="1" ht="15.75" customHeight="1" x14ac:dyDescent="0.35">
      <c r="B12" s="39" t="s">
        <v>1840</v>
      </c>
      <c r="C12" s="39" t="s">
        <v>324</v>
      </c>
      <c r="D12" s="39" t="s">
        <v>325</v>
      </c>
      <c r="E12" s="39" t="s">
        <v>172</v>
      </c>
      <c r="F12" s="39" t="s">
        <v>1843</v>
      </c>
      <c r="G12" s="42" t="s">
        <v>199</v>
      </c>
      <c r="H12" s="44">
        <v>8.721116704550208E-2</v>
      </c>
      <c r="I12" s="39" t="s">
        <v>344</v>
      </c>
      <c r="J12" s="39" t="s">
        <v>1845</v>
      </c>
      <c r="L12" s="42"/>
      <c r="U12" s="142"/>
      <c r="Y12" s="43"/>
      <c r="AO12" s="43"/>
      <c r="BD12" s="2">
        <v>5</v>
      </c>
      <c r="BL12" s="2">
        <v>5</v>
      </c>
      <c r="BT12" s="8"/>
      <c r="CK12" s="48"/>
      <c r="CV12" s="36"/>
      <c r="DE12" s="69"/>
      <c r="DM12" s="118"/>
      <c r="DU12" s="40"/>
      <c r="DY12" s="40"/>
      <c r="EC12" s="40"/>
      <c r="EG12" s="40"/>
      <c r="EJ12" s="2"/>
      <c r="EZ12" s="8"/>
      <c r="FM12" s="142"/>
      <c r="FQ12" s="142"/>
      <c r="FU12" s="142"/>
      <c r="FY12" s="142"/>
      <c r="GJ12" s="8"/>
      <c r="GK12" s="1"/>
      <c r="GS12" s="69"/>
      <c r="GV12" s="8"/>
      <c r="GW12" s="1"/>
      <c r="HE12" s="69"/>
      <c r="HI12" s="1"/>
      <c r="HQ12" s="78"/>
      <c r="HU12" s="10"/>
      <c r="IR12" s="42"/>
      <c r="IS12" s="1"/>
      <c r="JA12" s="69"/>
      <c r="JE12" s="43"/>
      <c r="JX12" s="202"/>
      <c r="JY12" s="202"/>
      <c r="JZ12" s="202"/>
      <c r="KA12" s="202"/>
      <c r="KB12" s="202"/>
      <c r="KC12" s="202"/>
      <c r="KD12" s="201"/>
      <c r="KF12" s="8"/>
      <c r="KG12" s="43"/>
      <c r="KO12" s="69"/>
    </row>
    <row r="13" spans="1:303" s="36" customFormat="1" ht="15.75" customHeight="1" x14ac:dyDescent="0.35">
      <c r="B13" s="36" t="s">
        <v>2268</v>
      </c>
      <c r="C13" s="36" t="s">
        <v>2205</v>
      </c>
      <c r="D13" s="36" t="s">
        <v>170</v>
      </c>
      <c r="E13" s="36" t="s">
        <v>172</v>
      </c>
      <c r="F13" s="36" t="s">
        <v>2269</v>
      </c>
      <c r="G13" s="3" t="s">
        <v>174</v>
      </c>
      <c r="H13" s="41">
        <v>0.22140000000000001</v>
      </c>
      <c r="I13" s="36" t="s">
        <v>344</v>
      </c>
      <c r="J13" s="119" t="s">
        <v>2271</v>
      </c>
      <c r="L13" s="3"/>
      <c r="U13" s="86"/>
      <c r="BD13" s="2">
        <v>5</v>
      </c>
      <c r="BL13" s="2"/>
      <c r="BT13" s="8"/>
      <c r="EZ13" s="3"/>
      <c r="GK13" s="5"/>
      <c r="GS13" s="38"/>
      <c r="GW13" s="5"/>
      <c r="HE13" s="38"/>
      <c r="HI13" s="5"/>
      <c r="HQ13" s="83"/>
      <c r="HT13" s="3"/>
      <c r="HU13" s="171"/>
      <c r="IR13" s="3"/>
      <c r="JA13" s="38"/>
      <c r="KO13" s="38"/>
    </row>
    <row r="14" spans="1:303" s="36" customFormat="1" ht="15.75" customHeight="1" x14ac:dyDescent="0.35">
      <c r="B14" s="36" t="s">
        <v>2291</v>
      </c>
      <c r="C14" s="36" t="s">
        <v>2205</v>
      </c>
      <c r="D14" s="36" t="s">
        <v>170</v>
      </c>
      <c r="E14" s="36" t="s">
        <v>172</v>
      </c>
      <c r="F14" s="36" t="s">
        <v>2294</v>
      </c>
      <c r="G14" s="3" t="s">
        <v>174</v>
      </c>
      <c r="H14" s="41">
        <v>0.1192</v>
      </c>
      <c r="I14" s="36" t="s">
        <v>344</v>
      </c>
      <c r="J14" s="119" t="s">
        <v>2296</v>
      </c>
      <c r="L14" s="3"/>
      <c r="BD14" s="2">
        <v>5</v>
      </c>
      <c r="BL14" s="2"/>
      <c r="BT14" s="8"/>
      <c r="EZ14" s="3"/>
      <c r="GK14" s="5"/>
      <c r="GS14" s="38"/>
      <c r="GW14" s="5"/>
      <c r="HE14" s="38"/>
      <c r="HI14" s="5"/>
      <c r="HQ14" s="83"/>
      <c r="HT14" s="3"/>
      <c r="HU14" s="171"/>
      <c r="IR14" s="3"/>
      <c r="IS14" s="5"/>
      <c r="JA14" s="38"/>
      <c r="KG14" s="5"/>
      <c r="KO14" s="38"/>
    </row>
    <row r="15" spans="1:303" s="119" customFormat="1" ht="13" x14ac:dyDescent="0.35">
      <c r="B15" s="36" t="s">
        <v>2291</v>
      </c>
      <c r="C15" s="36" t="s">
        <v>2205</v>
      </c>
      <c r="D15" s="36" t="s">
        <v>170</v>
      </c>
      <c r="E15" s="36" t="s">
        <v>172</v>
      </c>
      <c r="F15" s="36" t="s">
        <v>2294</v>
      </c>
      <c r="G15" s="3" t="s">
        <v>249</v>
      </c>
      <c r="H15" s="41">
        <v>2.6726830961471711E-2</v>
      </c>
      <c r="I15" s="36" t="s">
        <v>344</v>
      </c>
      <c r="J15" s="119" t="s">
        <v>2299</v>
      </c>
      <c r="L15" s="130"/>
      <c r="BD15" s="2">
        <v>5</v>
      </c>
      <c r="BL15" s="2"/>
      <c r="BT15" s="8"/>
      <c r="EZ15" s="130"/>
      <c r="HT15" s="130"/>
      <c r="IR15" s="130"/>
    </row>
    <row r="16" spans="1:303" s="39" customFormat="1" ht="16.5" customHeight="1" x14ac:dyDescent="0.35">
      <c r="B16" s="39" t="s">
        <v>834</v>
      </c>
      <c r="C16" s="39" t="s">
        <v>543</v>
      </c>
      <c r="D16" s="39" t="s">
        <v>792</v>
      </c>
      <c r="E16" s="39" t="s">
        <v>545</v>
      </c>
      <c r="F16" s="112" t="s">
        <v>857</v>
      </c>
      <c r="G16" s="3" t="s">
        <v>199</v>
      </c>
      <c r="H16" s="40">
        <f>53.37/204.63</f>
        <v>0.26081219762498165</v>
      </c>
      <c r="I16" s="39" t="s">
        <v>3100</v>
      </c>
      <c r="J16" s="39" t="s">
        <v>835</v>
      </c>
      <c r="L16" s="42"/>
      <c r="P16" s="60"/>
      <c r="T16" s="60"/>
      <c r="U16" s="44"/>
      <c r="X16" s="8">
        <f>IF(Y16="数据缺失",0,IF(Y16&lt;-30%,6,IF(Y16&lt;-10%,5,IF(Y16&lt;0%,4,IF(Y16&lt;10%,3,IF(Y16&lt;30%,2,1))))))</f>
        <v>3</v>
      </c>
      <c r="Y16" s="43"/>
      <c r="AG16" s="78"/>
      <c r="AO16" s="43"/>
      <c r="AW16" s="78"/>
      <c r="BD16" s="2">
        <f>IF(BE16="数据缺失",0,IF(BE16&lt;50,5,IF(BE16&lt;100,4,IF(BE16&lt;300,3,IF(BE16&lt;500,2,1)))))</f>
        <v>5</v>
      </c>
      <c r="BE16" s="8">
        <f>BI16</f>
        <v>0</v>
      </c>
      <c r="BL16" s="2">
        <f>IF(BM16="数据缺失",0,IF(BM16&lt;50,5,IF(BM16&lt;100,4,IF(BM16&lt;300,3,IF(BM16&lt;500,2,1)))))</f>
        <v>5</v>
      </c>
      <c r="BT16" s="8">
        <f>IF(BU16="未上榜",5,IF(BU16&lt;21,1,IF(BU16&lt;101,2,IF(BU16&lt;301,3,IF(BU16&lt;=500,4,5)))))</f>
        <v>1</v>
      </c>
      <c r="BY16" s="14"/>
      <c r="BZ16" s="80"/>
      <c r="CJ16" s="67"/>
      <c r="CV16" s="42"/>
      <c r="DA16" s="42"/>
      <c r="DE16" s="151"/>
      <c r="DM16" s="42"/>
      <c r="DQ16" s="14"/>
      <c r="DU16" s="44"/>
      <c r="DY16" s="44"/>
      <c r="EC16" s="44"/>
      <c r="EG16" s="44"/>
      <c r="ER16" s="42"/>
      <c r="FI16" s="14"/>
      <c r="FQ16" s="42"/>
      <c r="HI16" s="42"/>
      <c r="HM16" s="42"/>
      <c r="HU16" s="42"/>
      <c r="HY16" s="42"/>
      <c r="IR16" s="42"/>
      <c r="JD16" s="39">
        <f>IF(JE16="数据缺失",0,IF(JE16&lt;0%,0,IF(JE16&lt;4%,1,IF(JE16&lt;6%,2,IF(JE16&lt;8%,3,4)))))</f>
        <v>1</v>
      </c>
      <c r="JE16" s="43"/>
    </row>
  </sheetData>
  <mergeCells count="184">
    <mergeCell ref="A1:A3"/>
    <mergeCell ref="B1:B3"/>
    <mergeCell ref="C1:C3"/>
    <mergeCell ref="D1:D3"/>
    <mergeCell ref="E1:E3"/>
    <mergeCell ref="F1:F3"/>
    <mergeCell ref="G1:G3"/>
    <mergeCell ref="H1:H3"/>
    <mergeCell ref="I1:I3"/>
    <mergeCell ref="J1:J3"/>
    <mergeCell ref="K1:K3"/>
    <mergeCell ref="L1:W1"/>
    <mergeCell ref="L2:L3"/>
    <mergeCell ref="M2:M3"/>
    <mergeCell ref="N2:N3"/>
    <mergeCell ref="O2:O3"/>
    <mergeCell ref="CJ1:CU1"/>
    <mergeCell ref="CV1:DC1"/>
    <mergeCell ref="AB2:AE2"/>
    <mergeCell ref="AF2:AI2"/>
    <mergeCell ref="AJ2:AM2"/>
    <mergeCell ref="AN2:AN3"/>
    <mergeCell ref="AO2:AO3"/>
    <mergeCell ref="AP2:AP3"/>
    <mergeCell ref="P2:S2"/>
    <mergeCell ref="T2:W2"/>
    <mergeCell ref="X2:X3"/>
    <mergeCell ref="Y2:Y3"/>
    <mergeCell ref="Z2:Z3"/>
    <mergeCell ref="AA2:AA3"/>
    <mergeCell ref="BF2:BF3"/>
    <mergeCell ref="BG2:BG3"/>
    <mergeCell ref="BH2:BK2"/>
    <mergeCell ref="DD1:DO1"/>
    <mergeCell ref="DP1:EI1"/>
    <mergeCell ref="EJ1:EQ1"/>
    <mergeCell ref="ER1:EY1"/>
    <mergeCell ref="X1:AM1"/>
    <mergeCell ref="AN1:BC1"/>
    <mergeCell ref="BD1:BK1"/>
    <mergeCell ref="BL1:BS1"/>
    <mergeCell ref="BT1:CA1"/>
    <mergeCell ref="CB1:CI1"/>
    <mergeCell ref="HT1:IE1"/>
    <mergeCell ref="IF1:IQ1"/>
    <mergeCell ref="IR1:JC1"/>
    <mergeCell ref="JD1:JW1"/>
    <mergeCell ref="JX1:KE1"/>
    <mergeCell ref="KF1:KQ1"/>
    <mergeCell ref="EZ1:FG1"/>
    <mergeCell ref="FH1:GA1"/>
    <mergeCell ref="GB1:GI1"/>
    <mergeCell ref="GJ1:GU1"/>
    <mergeCell ref="GV1:HG1"/>
    <mergeCell ref="HH1:HS1"/>
    <mergeCell ref="BL2:BL3"/>
    <mergeCell ref="BM2:BM3"/>
    <mergeCell ref="BN2:BN3"/>
    <mergeCell ref="AQ2:AQ3"/>
    <mergeCell ref="AR2:AU2"/>
    <mergeCell ref="AV2:AY2"/>
    <mergeCell ref="AZ2:BC2"/>
    <mergeCell ref="BD2:BD3"/>
    <mergeCell ref="BE2:BE3"/>
    <mergeCell ref="BX2:CA2"/>
    <mergeCell ref="CB2:CB3"/>
    <mergeCell ref="CC2:CC3"/>
    <mergeCell ref="CD2:CD3"/>
    <mergeCell ref="CE2:CE3"/>
    <mergeCell ref="CF2:CI2"/>
    <mergeCell ref="BO2:BO3"/>
    <mergeCell ref="BP2:BS2"/>
    <mergeCell ref="BT2:BT3"/>
    <mergeCell ref="BU2:BU3"/>
    <mergeCell ref="BV2:BV3"/>
    <mergeCell ref="BW2:BW3"/>
    <mergeCell ref="CV2:CV3"/>
    <mergeCell ref="CW2:CW3"/>
    <mergeCell ref="CX2:CX3"/>
    <mergeCell ref="CY2:CY3"/>
    <mergeCell ref="CZ2:DC2"/>
    <mergeCell ref="DD2:DD3"/>
    <mergeCell ref="CJ2:CJ3"/>
    <mergeCell ref="CK2:CK3"/>
    <mergeCell ref="CL2:CL3"/>
    <mergeCell ref="CM2:CM3"/>
    <mergeCell ref="CN2:CQ2"/>
    <mergeCell ref="CR2:CU2"/>
    <mergeCell ref="DQ2:DQ3"/>
    <mergeCell ref="DR2:DR3"/>
    <mergeCell ref="DS2:DS3"/>
    <mergeCell ref="DT2:DW2"/>
    <mergeCell ref="DX2:EA2"/>
    <mergeCell ref="EB2:EE2"/>
    <mergeCell ref="DE2:DE3"/>
    <mergeCell ref="DF2:DF3"/>
    <mergeCell ref="DG2:DG3"/>
    <mergeCell ref="DH2:DK2"/>
    <mergeCell ref="DL2:DO2"/>
    <mergeCell ref="DP2:DP3"/>
    <mergeCell ref="ER2:ER3"/>
    <mergeCell ref="ES2:ES3"/>
    <mergeCell ref="ET2:ET3"/>
    <mergeCell ref="EU2:EU3"/>
    <mergeCell ref="EV2:EY2"/>
    <mergeCell ref="EZ2:EZ3"/>
    <mergeCell ref="EF2:EI2"/>
    <mergeCell ref="EJ2:EJ3"/>
    <mergeCell ref="EK2:EK3"/>
    <mergeCell ref="EL2:EL3"/>
    <mergeCell ref="EM2:EM3"/>
    <mergeCell ref="EN2:EQ2"/>
    <mergeCell ref="FJ2:FJ3"/>
    <mergeCell ref="FK2:FK3"/>
    <mergeCell ref="FL2:FO2"/>
    <mergeCell ref="FP2:FS2"/>
    <mergeCell ref="FT2:FW2"/>
    <mergeCell ref="FX2:GA2"/>
    <mergeCell ref="FA2:FA3"/>
    <mergeCell ref="FB2:FB3"/>
    <mergeCell ref="FC2:FC3"/>
    <mergeCell ref="FD2:FG2"/>
    <mergeCell ref="FH2:FH3"/>
    <mergeCell ref="FI2:FI3"/>
    <mergeCell ref="GK2:GK3"/>
    <mergeCell ref="GL2:GL3"/>
    <mergeCell ref="GM2:GM3"/>
    <mergeCell ref="GN2:GQ2"/>
    <mergeCell ref="GR2:GU2"/>
    <mergeCell ref="GV2:GV3"/>
    <mergeCell ref="GB2:GB3"/>
    <mergeCell ref="GC2:GC3"/>
    <mergeCell ref="GD2:GD3"/>
    <mergeCell ref="GE2:GE3"/>
    <mergeCell ref="GF2:GI2"/>
    <mergeCell ref="GJ2:GJ3"/>
    <mergeCell ref="HI2:HI3"/>
    <mergeCell ref="HJ2:HJ3"/>
    <mergeCell ref="HK2:HK3"/>
    <mergeCell ref="HL2:HO2"/>
    <mergeCell ref="HP2:HS2"/>
    <mergeCell ref="HT2:HT3"/>
    <mergeCell ref="GW2:GW3"/>
    <mergeCell ref="GX2:GX3"/>
    <mergeCell ref="GY2:GY3"/>
    <mergeCell ref="GZ2:HC2"/>
    <mergeCell ref="HD2:HG2"/>
    <mergeCell ref="HH2:HH3"/>
    <mergeCell ref="IG2:IG3"/>
    <mergeCell ref="IH2:IH3"/>
    <mergeCell ref="II2:II3"/>
    <mergeCell ref="IJ2:IM2"/>
    <mergeCell ref="IN2:IQ2"/>
    <mergeCell ref="IR2:IR3"/>
    <mergeCell ref="HU2:HU3"/>
    <mergeCell ref="HV2:HV3"/>
    <mergeCell ref="HW2:HW3"/>
    <mergeCell ref="HX2:IA2"/>
    <mergeCell ref="IB2:IE2"/>
    <mergeCell ref="IF2:IF3"/>
    <mergeCell ref="JE2:JE3"/>
    <mergeCell ref="JF2:JF3"/>
    <mergeCell ref="JG2:JG3"/>
    <mergeCell ref="JH2:JK2"/>
    <mergeCell ref="JL2:JO2"/>
    <mergeCell ref="JP2:JS2"/>
    <mergeCell ref="IS2:IS3"/>
    <mergeCell ref="IT2:IT3"/>
    <mergeCell ref="IU2:IU3"/>
    <mergeCell ref="IV2:IY2"/>
    <mergeCell ref="IZ2:JC2"/>
    <mergeCell ref="JD2:JD3"/>
    <mergeCell ref="KF2:KF3"/>
    <mergeCell ref="KG2:KG3"/>
    <mergeCell ref="KH2:KH3"/>
    <mergeCell ref="KI2:KI3"/>
    <mergeCell ref="KJ2:KM2"/>
    <mergeCell ref="KN2:KQ2"/>
    <mergeCell ref="JT2:JW2"/>
    <mergeCell ref="JX2:JX3"/>
    <mergeCell ref="JY2:JY3"/>
    <mergeCell ref="JZ2:JZ3"/>
    <mergeCell ref="KA2:KA3"/>
    <mergeCell ref="KB2:KE2"/>
  </mergeCells>
  <phoneticPr fontId="11" type="noConversion"/>
  <dataValidations count="2">
    <dataValidation type="list" allowBlank="1" showInputMessage="1" showErrorMessage="1" sqref="T4:T8">
      <formula1>#REF!</formula1>
    </dataValidation>
    <dataValidation type="list" allowBlank="1" showInputMessage="1" showErrorMessage="1" sqref="T16">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'C:\Users\CSCI\Desktop\[房地产收数模板.xlsx]dropdown'!#REF!</xm:f>
          </x14:formula1>
          <xm:sqref>P4:P5</xm:sqref>
        </x14:dataValidation>
        <x14:dataValidation type="list" allowBlank="1" showInputMessage="1" showErrorMessage="1">
          <x14:formula1>
            <xm:f>'E:\20170314下班前桌面\[CSDC_IRB_指标长清单_V03 0314.xlsx]dropdown'!#REF!</xm:f>
          </x14:formula1>
          <xm:sqref>P11:P12 T11:T12 CF11:CF12</xm:sqref>
        </x14:dataValidation>
        <x14:dataValidation type="list" allowBlank="1" showInputMessage="1" showErrorMessage="1">
          <x14:formula1>
            <xm:f>'C:\Users\CSCI\AppData\Local\Temp\Rar$DIa0.172\[房地产冯羽20170314.xlsx]dropdown'!#REF!</xm:f>
          </x14:formula1>
          <xm:sqref>CF13:CF14 T14</xm:sqref>
        </x14:dataValidation>
        <x14:dataValidation type="list" allowBlank="1" showInputMessage="1" showErrorMessage="1">
          <x14:formula1>
            <xm:f>'C:\Users\shoushu\Desktop\[房地产冯羽.xlsx]dropdown'!#REF!</xm:f>
          </x14:formula1>
          <xm:sqref>T13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Q71"/>
  <sheetViews>
    <sheetView workbookViewId="0">
      <selection sqref="A1:A3"/>
    </sheetView>
  </sheetViews>
  <sheetFormatPr defaultRowHeight="14" x14ac:dyDescent="0.3"/>
  <sheetData>
    <row r="1" spans="1:303" s="104" customFormat="1" ht="16.5" customHeight="1" x14ac:dyDescent="0.4">
      <c r="A1" s="292" t="s">
        <v>53</v>
      </c>
      <c r="B1" s="292" t="s">
        <v>54</v>
      </c>
      <c r="C1" s="292" t="s">
        <v>55</v>
      </c>
      <c r="D1" s="292" t="s">
        <v>56</v>
      </c>
      <c r="E1" s="292" t="s">
        <v>57</v>
      </c>
      <c r="F1" s="302" t="s">
        <v>58</v>
      </c>
      <c r="G1" s="302" t="s">
        <v>59</v>
      </c>
      <c r="H1" s="292" t="s">
        <v>161</v>
      </c>
      <c r="I1" s="292" t="s">
        <v>164</v>
      </c>
      <c r="J1" s="291" t="s">
        <v>160</v>
      </c>
      <c r="K1" s="291" t="s">
        <v>162</v>
      </c>
      <c r="L1" s="300" t="s">
        <v>41</v>
      </c>
      <c r="M1" s="300"/>
      <c r="N1" s="300"/>
      <c r="O1" s="300"/>
      <c r="P1" s="300"/>
      <c r="Q1" s="300"/>
      <c r="R1" s="300"/>
      <c r="S1" s="300"/>
      <c r="T1" s="300"/>
      <c r="U1" s="300"/>
      <c r="V1" s="300"/>
      <c r="W1" s="300"/>
      <c r="X1" s="301" t="s">
        <v>19</v>
      </c>
      <c r="Y1" s="301"/>
      <c r="Z1" s="301"/>
      <c r="AA1" s="301"/>
      <c r="AB1" s="301"/>
      <c r="AC1" s="301"/>
      <c r="AD1" s="301"/>
      <c r="AE1" s="301"/>
      <c r="AF1" s="301"/>
      <c r="AG1" s="301"/>
      <c r="AH1" s="301"/>
      <c r="AI1" s="301"/>
      <c r="AJ1" s="301"/>
      <c r="AK1" s="301"/>
      <c r="AL1" s="301"/>
      <c r="AM1" s="301"/>
      <c r="AN1" s="301" t="s">
        <v>29</v>
      </c>
      <c r="AO1" s="301"/>
      <c r="AP1" s="301"/>
      <c r="AQ1" s="301"/>
      <c r="AR1" s="301"/>
      <c r="AS1" s="301"/>
      <c r="AT1" s="301"/>
      <c r="AU1" s="301"/>
      <c r="AV1" s="301"/>
      <c r="AW1" s="301"/>
      <c r="AX1" s="301"/>
      <c r="AY1" s="301"/>
      <c r="AZ1" s="301"/>
      <c r="BA1" s="301"/>
      <c r="BB1" s="301"/>
      <c r="BC1" s="301"/>
      <c r="BD1" s="301" t="s">
        <v>23</v>
      </c>
      <c r="BE1" s="301"/>
      <c r="BF1" s="301"/>
      <c r="BG1" s="301"/>
      <c r="BH1" s="301"/>
      <c r="BI1" s="301"/>
      <c r="BJ1" s="301"/>
      <c r="BK1" s="301"/>
      <c r="BL1" s="301" t="s">
        <v>38</v>
      </c>
      <c r="BM1" s="301"/>
      <c r="BN1" s="301"/>
      <c r="BO1" s="301"/>
      <c r="BP1" s="301"/>
      <c r="BQ1" s="301"/>
      <c r="BR1" s="301"/>
      <c r="BS1" s="301"/>
      <c r="BT1" s="301" t="s">
        <v>61</v>
      </c>
      <c r="BU1" s="301"/>
      <c r="BV1" s="301"/>
      <c r="BW1" s="301"/>
      <c r="BX1" s="301"/>
      <c r="BY1" s="301"/>
      <c r="BZ1" s="301"/>
      <c r="CA1" s="301"/>
      <c r="CB1" s="301" t="s">
        <v>16</v>
      </c>
      <c r="CC1" s="301"/>
      <c r="CD1" s="301"/>
      <c r="CE1" s="301"/>
      <c r="CF1" s="301"/>
      <c r="CG1" s="301"/>
      <c r="CH1" s="301"/>
      <c r="CI1" s="301"/>
      <c r="CJ1" s="301" t="s">
        <v>26</v>
      </c>
      <c r="CK1" s="301"/>
      <c r="CL1" s="301"/>
      <c r="CM1" s="301"/>
      <c r="CN1" s="301"/>
      <c r="CO1" s="301"/>
      <c r="CP1" s="301"/>
      <c r="CQ1" s="301"/>
      <c r="CR1" s="301"/>
      <c r="CS1" s="301"/>
      <c r="CT1" s="301"/>
      <c r="CU1" s="301"/>
      <c r="CV1" s="301" t="s">
        <v>17</v>
      </c>
      <c r="CW1" s="301"/>
      <c r="CX1" s="301"/>
      <c r="CY1" s="301"/>
      <c r="CZ1" s="301"/>
      <c r="DA1" s="301"/>
      <c r="DB1" s="301"/>
      <c r="DC1" s="301"/>
      <c r="DD1" s="301" t="s">
        <v>24</v>
      </c>
      <c r="DE1" s="301"/>
      <c r="DF1" s="301"/>
      <c r="DG1" s="301"/>
      <c r="DH1" s="301"/>
      <c r="DI1" s="301"/>
      <c r="DJ1" s="301"/>
      <c r="DK1" s="301"/>
      <c r="DL1" s="301"/>
      <c r="DM1" s="301"/>
      <c r="DN1" s="301"/>
      <c r="DO1" s="301"/>
      <c r="DP1" s="301" t="s">
        <v>2</v>
      </c>
      <c r="DQ1" s="301"/>
      <c r="DR1" s="301"/>
      <c r="DS1" s="301"/>
      <c r="DT1" s="301"/>
      <c r="DU1" s="301"/>
      <c r="DV1" s="301"/>
      <c r="DW1" s="301"/>
      <c r="DX1" s="301"/>
      <c r="DY1" s="301"/>
      <c r="DZ1" s="301"/>
      <c r="EA1" s="301"/>
      <c r="EB1" s="301"/>
      <c r="EC1" s="301"/>
      <c r="ED1" s="301"/>
      <c r="EE1" s="301"/>
      <c r="EF1" s="301"/>
      <c r="EG1" s="301"/>
      <c r="EH1" s="301"/>
      <c r="EI1" s="301"/>
      <c r="EJ1" s="301" t="s">
        <v>66</v>
      </c>
      <c r="EK1" s="301"/>
      <c r="EL1" s="301"/>
      <c r="EM1" s="301"/>
      <c r="EN1" s="301"/>
      <c r="EO1" s="301"/>
      <c r="EP1" s="301"/>
      <c r="EQ1" s="301"/>
      <c r="ER1" s="301" t="s">
        <v>68</v>
      </c>
      <c r="ES1" s="301"/>
      <c r="ET1" s="301"/>
      <c r="EU1" s="301"/>
      <c r="EV1" s="301"/>
      <c r="EW1" s="301"/>
      <c r="EX1" s="301"/>
      <c r="EY1" s="301"/>
      <c r="EZ1" s="301" t="s">
        <v>39</v>
      </c>
      <c r="FA1" s="301"/>
      <c r="FB1" s="301"/>
      <c r="FC1" s="301"/>
      <c r="FD1" s="301"/>
      <c r="FE1" s="301"/>
      <c r="FF1" s="301"/>
      <c r="FG1" s="301"/>
      <c r="FH1" s="301" t="s">
        <v>70</v>
      </c>
      <c r="FI1" s="301"/>
      <c r="FJ1" s="301"/>
      <c r="FK1" s="301"/>
      <c r="FL1" s="301"/>
      <c r="FM1" s="301"/>
      <c r="FN1" s="301"/>
      <c r="FO1" s="301"/>
      <c r="FP1" s="301"/>
      <c r="FQ1" s="301"/>
      <c r="FR1" s="301"/>
      <c r="FS1" s="301"/>
      <c r="FT1" s="301"/>
      <c r="FU1" s="301"/>
      <c r="FV1" s="301"/>
      <c r="FW1" s="301"/>
      <c r="FX1" s="301"/>
      <c r="FY1" s="301"/>
      <c r="FZ1" s="301"/>
      <c r="GA1" s="301"/>
      <c r="GB1" s="301" t="s">
        <v>3</v>
      </c>
      <c r="GC1" s="301"/>
      <c r="GD1" s="301"/>
      <c r="GE1" s="301"/>
      <c r="GF1" s="301"/>
      <c r="GG1" s="301"/>
      <c r="GH1" s="301"/>
      <c r="GI1" s="301"/>
      <c r="GJ1" s="301" t="s">
        <v>33</v>
      </c>
      <c r="GK1" s="301"/>
      <c r="GL1" s="301"/>
      <c r="GM1" s="301"/>
      <c r="GN1" s="301"/>
      <c r="GO1" s="301"/>
      <c r="GP1" s="301"/>
      <c r="GQ1" s="301"/>
      <c r="GR1" s="301"/>
      <c r="GS1" s="301"/>
      <c r="GT1" s="301"/>
      <c r="GU1" s="301"/>
      <c r="GV1" s="300" t="s">
        <v>4</v>
      </c>
      <c r="GW1" s="300"/>
      <c r="GX1" s="300"/>
      <c r="GY1" s="300"/>
      <c r="GZ1" s="300"/>
      <c r="HA1" s="300"/>
      <c r="HB1" s="300"/>
      <c r="HC1" s="300"/>
      <c r="HD1" s="300"/>
      <c r="HE1" s="300"/>
      <c r="HF1" s="300"/>
      <c r="HG1" s="300"/>
      <c r="HH1" s="300" t="s">
        <v>74</v>
      </c>
      <c r="HI1" s="300"/>
      <c r="HJ1" s="300"/>
      <c r="HK1" s="300"/>
      <c r="HL1" s="300"/>
      <c r="HM1" s="300"/>
      <c r="HN1" s="300"/>
      <c r="HO1" s="300"/>
      <c r="HP1" s="300"/>
      <c r="HQ1" s="300"/>
      <c r="HR1" s="300"/>
      <c r="HS1" s="300"/>
      <c r="HT1" s="300" t="s">
        <v>5</v>
      </c>
      <c r="HU1" s="300"/>
      <c r="HV1" s="300"/>
      <c r="HW1" s="300"/>
      <c r="HX1" s="300"/>
      <c r="HY1" s="300"/>
      <c r="HZ1" s="300"/>
      <c r="IA1" s="300"/>
      <c r="IB1" s="300"/>
      <c r="IC1" s="300"/>
      <c r="ID1" s="300"/>
      <c r="IE1" s="300"/>
      <c r="IF1" s="300" t="s">
        <v>75</v>
      </c>
      <c r="IG1" s="300"/>
      <c r="IH1" s="300"/>
      <c r="II1" s="300"/>
      <c r="IJ1" s="300"/>
      <c r="IK1" s="300"/>
      <c r="IL1" s="300"/>
      <c r="IM1" s="300"/>
      <c r="IN1" s="300"/>
      <c r="IO1" s="300"/>
      <c r="IP1" s="300"/>
      <c r="IQ1" s="300"/>
      <c r="IR1" s="300" t="s">
        <v>76</v>
      </c>
      <c r="IS1" s="300"/>
      <c r="IT1" s="300"/>
      <c r="IU1" s="300"/>
      <c r="IV1" s="300"/>
      <c r="IW1" s="300"/>
      <c r="IX1" s="300"/>
      <c r="IY1" s="300"/>
      <c r="IZ1" s="300"/>
      <c r="JA1" s="300"/>
      <c r="JB1" s="300"/>
      <c r="JC1" s="300"/>
      <c r="JD1" s="300" t="s">
        <v>77</v>
      </c>
      <c r="JE1" s="300"/>
      <c r="JF1" s="300"/>
      <c r="JG1" s="300"/>
      <c r="JH1" s="300"/>
      <c r="JI1" s="300"/>
      <c r="JJ1" s="300"/>
      <c r="JK1" s="300"/>
      <c r="JL1" s="300"/>
      <c r="JM1" s="300"/>
      <c r="JN1" s="300"/>
      <c r="JO1" s="300"/>
      <c r="JP1" s="300"/>
      <c r="JQ1" s="300"/>
      <c r="JR1" s="300"/>
      <c r="JS1" s="300"/>
      <c r="JT1" s="300"/>
      <c r="JU1" s="300"/>
      <c r="JV1" s="300"/>
      <c r="JW1" s="300"/>
      <c r="JX1" s="300" t="s">
        <v>78</v>
      </c>
      <c r="JY1" s="300"/>
      <c r="JZ1" s="300"/>
      <c r="KA1" s="300"/>
      <c r="KB1" s="300"/>
      <c r="KC1" s="300"/>
      <c r="KD1" s="300"/>
      <c r="KE1" s="300"/>
      <c r="KF1" s="300" t="s">
        <v>79</v>
      </c>
      <c r="KG1" s="300"/>
      <c r="KH1" s="300"/>
      <c r="KI1" s="300"/>
      <c r="KJ1" s="300"/>
      <c r="KK1" s="300"/>
      <c r="KL1" s="300"/>
      <c r="KM1" s="300"/>
      <c r="KN1" s="300"/>
      <c r="KO1" s="300"/>
      <c r="KP1" s="300"/>
      <c r="KQ1" s="300"/>
    </row>
    <row r="2" spans="1:303" s="104" customFormat="1" ht="16.5" customHeight="1" x14ac:dyDescent="0.35">
      <c r="A2" s="292"/>
      <c r="B2" s="292"/>
      <c r="C2" s="292"/>
      <c r="D2" s="292"/>
      <c r="E2" s="292"/>
      <c r="F2" s="302"/>
      <c r="G2" s="302"/>
      <c r="H2" s="292"/>
      <c r="I2" s="292"/>
      <c r="J2" s="291"/>
      <c r="K2" s="291"/>
      <c r="L2" s="294" t="s">
        <v>42</v>
      </c>
      <c r="M2" s="291" t="s">
        <v>43</v>
      </c>
      <c r="N2" s="291" t="s">
        <v>44</v>
      </c>
      <c r="O2" s="292" t="s">
        <v>45</v>
      </c>
      <c r="P2" s="291" t="s">
        <v>46</v>
      </c>
      <c r="Q2" s="291"/>
      <c r="R2" s="291"/>
      <c r="S2" s="291"/>
      <c r="T2" s="291" t="s">
        <v>47</v>
      </c>
      <c r="U2" s="291"/>
      <c r="V2" s="291"/>
      <c r="W2" s="291"/>
      <c r="X2" s="296" t="s">
        <v>6</v>
      </c>
      <c r="Y2" s="296" t="s">
        <v>7</v>
      </c>
      <c r="Z2" s="297" t="s">
        <v>8</v>
      </c>
      <c r="AA2" s="297" t="s">
        <v>9</v>
      </c>
      <c r="AB2" s="296" t="s">
        <v>20</v>
      </c>
      <c r="AC2" s="296"/>
      <c r="AD2" s="296"/>
      <c r="AE2" s="296"/>
      <c r="AF2" s="296" t="s">
        <v>21</v>
      </c>
      <c r="AG2" s="296"/>
      <c r="AH2" s="296"/>
      <c r="AI2" s="296"/>
      <c r="AJ2" s="296" t="s">
        <v>22</v>
      </c>
      <c r="AK2" s="296"/>
      <c r="AL2" s="296"/>
      <c r="AM2" s="296"/>
      <c r="AN2" s="296" t="s">
        <v>6</v>
      </c>
      <c r="AO2" s="296" t="s">
        <v>7</v>
      </c>
      <c r="AP2" s="297" t="s">
        <v>8</v>
      </c>
      <c r="AQ2" s="297" t="s">
        <v>9</v>
      </c>
      <c r="AR2" s="296" t="s">
        <v>30</v>
      </c>
      <c r="AS2" s="296"/>
      <c r="AT2" s="296"/>
      <c r="AU2" s="296"/>
      <c r="AV2" s="296" t="s">
        <v>31</v>
      </c>
      <c r="AW2" s="296"/>
      <c r="AX2" s="296"/>
      <c r="AY2" s="296"/>
      <c r="AZ2" s="296" t="s">
        <v>32</v>
      </c>
      <c r="BA2" s="296"/>
      <c r="BB2" s="296"/>
      <c r="BC2" s="296"/>
      <c r="BD2" s="298" t="s">
        <v>6</v>
      </c>
      <c r="BE2" s="296" t="s">
        <v>7</v>
      </c>
      <c r="BF2" s="296" t="s">
        <v>8</v>
      </c>
      <c r="BG2" s="297" t="s">
        <v>9</v>
      </c>
      <c r="BH2" s="296" t="s">
        <v>20</v>
      </c>
      <c r="BI2" s="296"/>
      <c r="BJ2" s="296"/>
      <c r="BK2" s="296"/>
      <c r="BL2" s="298" t="s">
        <v>6</v>
      </c>
      <c r="BM2" s="296" t="s">
        <v>7</v>
      </c>
      <c r="BN2" s="296" t="s">
        <v>8</v>
      </c>
      <c r="BO2" s="297" t="s">
        <v>9</v>
      </c>
      <c r="BP2" s="296" t="s">
        <v>60</v>
      </c>
      <c r="BQ2" s="296"/>
      <c r="BR2" s="296"/>
      <c r="BS2" s="296"/>
      <c r="BT2" s="296" t="s">
        <v>6</v>
      </c>
      <c r="BU2" s="296" t="s">
        <v>7</v>
      </c>
      <c r="BV2" s="296" t="s">
        <v>8</v>
      </c>
      <c r="BW2" s="297" t="s">
        <v>9</v>
      </c>
      <c r="BX2" s="296" t="s">
        <v>61</v>
      </c>
      <c r="BY2" s="296"/>
      <c r="BZ2" s="296"/>
      <c r="CA2" s="296"/>
      <c r="CB2" s="296" t="s">
        <v>6</v>
      </c>
      <c r="CC2" s="296" t="s">
        <v>7</v>
      </c>
      <c r="CD2" s="296" t="s">
        <v>8</v>
      </c>
      <c r="CE2" s="297" t="s">
        <v>9</v>
      </c>
      <c r="CF2" s="296" t="s">
        <v>16</v>
      </c>
      <c r="CG2" s="296"/>
      <c r="CH2" s="296"/>
      <c r="CI2" s="296"/>
      <c r="CJ2" s="296" t="s">
        <v>6</v>
      </c>
      <c r="CK2" s="296" t="s">
        <v>7</v>
      </c>
      <c r="CL2" s="296" t="s">
        <v>8</v>
      </c>
      <c r="CM2" s="297" t="s">
        <v>9</v>
      </c>
      <c r="CN2" s="296" t="s">
        <v>27</v>
      </c>
      <c r="CO2" s="296"/>
      <c r="CP2" s="296"/>
      <c r="CQ2" s="296"/>
      <c r="CR2" s="296" t="s">
        <v>20</v>
      </c>
      <c r="CS2" s="296"/>
      <c r="CT2" s="296"/>
      <c r="CU2" s="296"/>
      <c r="CV2" s="296" t="s">
        <v>6</v>
      </c>
      <c r="CW2" s="296" t="s">
        <v>7</v>
      </c>
      <c r="CX2" s="296" t="s">
        <v>8</v>
      </c>
      <c r="CY2" s="297" t="s">
        <v>9</v>
      </c>
      <c r="CZ2" s="296" t="s">
        <v>18</v>
      </c>
      <c r="DA2" s="296"/>
      <c r="DB2" s="296"/>
      <c r="DC2" s="296"/>
      <c r="DD2" s="296" t="s">
        <v>6</v>
      </c>
      <c r="DE2" s="299" t="s">
        <v>7</v>
      </c>
      <c r="DF2" s="296" t="s">
        <v>8</v>
      </c>
      <c r="DG2" s="297" t="s">
        <v>9</v>
      </c>
      <c r="DH2" s="296" t="s">
        <v>25</v>
      </c>
      <c r="DI2" s="296"/>
      <c r="DJ2" s="296"/>
      <c r="DK2" s="296"/>
      <c r="DL2" s="297" t="s">
        <v>18</v>
      </c>
      <c r="DM2" s="297"/>
      <c r="DN2" s="297"/>
      <c r="DO2" s="297"/>
      <c r="DP2" s="296" t="s">
        <v>6</v>
      </c>
      <c r="DQ2" s="296" t="s">
        <v>7</v>
      </c>
      <c r="DR2" s="296" t="s">
        <v>8</v>
      </c>
      <c r="DS2" s="297" t="s">
        <v>9</v>
      </c>
      <c r="DT2" s="296" t="s">
        <v>62</v>
      </c>
      <c r="DU2" s="296"/>
      <c r="DV2" s="296"/>
      <c r="DW2" s="296"/>
      <c r="DX2" s="296" t="s">
        <v>63</v>
      </c>
      <c r="DY2" s="296"/>
      <c r="DZ2" s="296"/>
      <c r="EA2" s="296"/>
      <c r="EB2" s="296" t="s">
        <v>64</v>
      </c>
      <c r="EC2" s="296"/>
      <c r="ED2" s="296"/>
      <c r="EE2" s="296"/>
      <c r="EF2" s="296" t="s">
        <v>65</v>
      </c>
      <c r="EG2" s="296"/>
      <c r="EH2" s="296"/>
      <c r="EI2" s="296"/>
      <c r="EJ2" s="298" t="s">
        <v>6</v>
      </c>
      <c r="EK2" s="296" t="s">
        <v>7</v>
      </c>
      <c r="EL2" s="296" t="s">
        <v>8</v>
      </c>
      <c r="EM2" s="297" t="s">
        <v>9</v>
      </c>
      <c r="EN2" s="296" t="s">
        <v>67</v>
      </c>
      <c r="EO2" s="296"/>
      <c r="EP2" s="296"/>
      <c r="EQ2" s="296"/>
      <c r="ER2" s="296" t="s">
        <v>6</v>
      </c>
      <c r="ES2" s="296" t="s">
        <v>7</v>
      </c>
      <c r="ET2" s="296" t="s">
        <v>8</v>
      </c>
      <c r="EU2" s="297" t="s">
        <v>9</v>
      </c>
      <c r="EV2" s="296" t="s">
        <v>69</v>
      </c>
      <c r="EW2" s="296"/>
      <c r="EX2" s="296"/>
      <c r="EY2" s="296"/>
      <c r="EZ2" s="296" t="s">
        <v>6</v>
      </c>
      <c r="FA2" s="296" t="s">
        <v>7</v>
      </c>
      <c r="FB2" s="296" t="s">
        <v>8</v>
      </c>
      <c r="FC2" s="297" t="s">
        <v>9</v>
      </c>
      <c r="FD2" s="296" t="s">
        <v>40</v>
      </c>
      <c r="FE2" s="296"/>
      <c r="FF2" s="296"/>
      <c r="FG2" s="296"/>
      <c r="FH2" s="296" t="s">
        <v>6</v>
      </c>
      <c r="FI2" s="296" t="s">
        <v>7</v>
      </c>
      <c r="FJ2" s="296" t="s">
        <v>8</v>
      </c>
      <c r="FK2" s="297" t="s">
        <v>9</v>
      </c>
      <c r="FL2" s="296" t="s">
        <v>158</v>
      </c>
      <c r="FM2" s="296"/>
      <c r="FN2" s="296"/>
      <c r="FO2" s="296"/>
      <c r="FP2" s="296" t="s">
        <v>71</v>
      </c>
      <c r="FQ2" s="296"/>
      <c r="FR2" s="296"/>
      <c r="FS2" s="296"/>
      <c r="FT2" s="296" t="s">
        <v>72</v>
      </c>
      <c r="FU2" s="296"/>
      <c r="FV2" s="296"/>
      <c r="FW2" s="296"/>
      <c r="FX2" s="296" t="s">
        <v>73</v>
      </c>
      <c r="FY2" s="296"/>
      <c r="FZ2" s="296"/>
      <c r="GA2" s="296"/>
      <c r="GB2" s="296" t="s">
        <v>6</v>
      </c>
      <c r="GC2" s="296" t="s">
        <v>7</v>
      </c>
      <c r="GD2" s="296" t="s">
        <v>8</v>
      </c>
      <c r="GE2" s="297" t="s">
        <v>9</v>
      </c>
      <c r="GF2" s="296" t="s">
        <v>28</v>
      </c>
      <c r="GG2" s="296"/>
      <c r="GH2" s="296"/>
      <c r="GI2" s="296"/>
      <c r="GJ2" s="296" t="s">
        <v>6</v>
      </c>
      <c r="GK2" s="296" t="s">
        <v>7</v>
      </c>
      <c r="GL2" s="296" t="s">
        <v>8</v>
      </c>
      <c r="GM2" s="297" t="s">
        <v>9</v>
      </c>
      <c r="GN2" s="296" t="s">
        <v>34</v>
      </c>
      <c r="GO2" s="296"/>
      <c r="GP2" s="296"/>
      <c r="GQ2" s="296"/>
      <c r="GR2" s="296" t="s">
        <v>35</v>
      </c>
      <c r="GS2" s="296"/>
      <c r="GT2" s="296"/>
      <c r="GU2" s="296"/>
      <c r="GV2" s="291" t="s">
        <v>6</v>
      </c>
      <c r="GW2" s="291" t="s">
        <v>80</v>
      </c>
      <c r="GX2" s="291" t="s">
        <v>8</v>
      </c>
      <c r="GY2" s="292" t="s">
        <v>81</v>
      </c>
      <c r="GZ2" s="291" t="s">
        <v>82</v>
      </c>
      <c r="HA2" s="291"/>
      <c r="HB2" s="291"/>
      <c r="HC2" s="291"/>
      <c r="HD2" s="291" t="s">
        <v>83</v>
      </c>
      <c r="HE2" s="291"/>
      <c r="HF2" s="291"/>
      <c r="HG2" s="291"/>
      <c r="HH2" s="291" t="s">
        <v>6</v>
      </c>
      <c r="HI2" s="291" t="s">
        <v>7</v>
      </c>
      <c r="HJ2" s="291" t="s">
        <v>8</v>
      </c>
      <c r="HK2" s="292" t="s">
        <v>81</v>
      </c>
      <c r="HL2" s="291" t="s">
        <v>15</v>
      </c>
      <c r="HM2" s="291"/>
      <c r="HN2" s="291"/>
      <c r="HO2" s="291"/>
      <c r="HP2" s="291" t="s">
        <v>84</v>
      </c>
      <c r="HQ2" s="291"/>
      <c r="HR2" s="291"/>
      <c r="HS2" s="291"/>
      <c r="HT2" s="291" t="s">
        <v>85</v>
      </c>
      <c r="HU2" s="295" t="s">
        <v>7</v>
      </c>
      <c r="HV2" s="291" t="s">
        <v>8</v>
      </c>
      <c r="HW2" s="292" t="s">
        <v>9</v>
      </c>
      <c r="HX2" s="291" t="s">
        <v>14</v>
      </c>
      <c r="HY2" s="291"/>
      <c r="HZ2" s="291"/>
      <c r="IA2" s="291"/>
      <c r="IB2" s="291" t="s">
        <v>86</v>
      </c>
      <c r="IC2" s="291"/>
      <c r="ID2" s="291"/>
      <c r="IE2" s="291"/>
      <c r="IF2" s="291" t="s">
        <v>85</v>
      </c>
      <c r="IG2" s="291" t="s">
        <v>7</v>
      </c>
      <c r="IH2" s="291" t="s">
        <v>8</v>
      </c>
      <c r="II2" s="292" t="s">
        <v>9</v>
      </c>
      <c r="IJ2" s="291" t="s">
        <v>87</v>
      </c>
      <c r="IK2" s="291"/>
      <c r="IL2" s="291"/>
      <c r="IM2" s="291"/>
      <c r="IN2" s="291" t="s">
        <v>88</v>
      </c>
      <c r="IO2" s="291"/>
      <c r="IP2" s="291"/>
      <c r="IQ2" s="291"/>
      <c r="IR2" s="294" t="s">
        <v>85</v>
      </c>
      <c r="IS2" s="291" t="s">
        <v>80</v>
      </c>
      <c r="IT2" s="291" t="s">
        <v>8</v>
      </c>
      <c r="IU2" s="292" t="s">
        <v>81</v>
      </c>
      <c r="IV2" s="291" t="s">
        <v>89</v>
      </c>
      <c r="IW2" s="291"/>
      <c r="IX2" s="291"/>
      <c r="IY2" s="291"/>
      <c r="IZ2" s="291" t="s">
        <v>90</v>
      </c>
      <c r="JA2" s="291"/>
      <c r="JB2" s="291"/>
      <c r="JC2" s="291"/>
      <c r="JD2" s="291" t="s">
        <v>85</v>
      </c>
      <c r="JE2" s="291" t="s">
        <v>80</v>
      </c>
      <c r="JF2" s="291" t="s">
        <v>91</v>
      </c>
      <c r="JG2" s="292" t="s">
        <v>9</v>
      </c>
      <c r="JH2" s="291" t="s">
        <v>92</v>
      </c>
      <c r="JI2" s="291"/>
      <c r="JJ2" s="291"/>
      <c r="JK2" s="291"/>
      <c r="JL2" s="291" t="s">
        <v>93</v>
      </c>
      <c r="JM2" s="291"/>
      <c r="JN2" s="291"/>
      <c r="JO2" s="291"/>
      <c r="JP2" s="293" t="s">
        <v>168</v>
      </c>
      <c r="JQ2" s="293"/>
      <c r="JR2" s="293"/>
      <c r="JS2" s="293"/>
      <c r="JT2" s="293" t="s">
        <v>167</v>
      </c>
      <c r="JU2" s="293"/>
      <c r="JV2" s="293"/>
      <c r="JW2" s="293"/>
      <c r="JX2" s="291" t="s">
        <v>42</v>
      </c>
      <c r="JY2" s="291" t="s">
        <v>43</v>
      </c>
      <c r="JZ2" s="291" t="s">
        <v>44</v>
      </c>
      <c r="KA2" s="292" t="s">
        <v>45</v>
      </c>
      <c r="KB2" s="291" t="s">
        <v>98</v>
      </c>
      <c r="KC2" s="291"/>
      <c r="KD2" s="291"/>
      <c r="KE2" s="291"/>
      <c r="KF2" s="291" t="s">
        <v>6</v>
      </c>
      <c r="KG2" s="291" t="s">
        <v>7</v>
      </c>
      <c r="KH2" s="291" t="s">
        <v>8</v>
      </c>
      <c r="KI2" s="292" t="s">
        <v>9</v>
      </c>
      <c r="KJ2" s="291" t="s">
        <v>99</v>
      </c>
      <c r="KK2" s="291"/>
      <c r="KL2" s="291"/>
      <c r="KM2" s="291"/>
      <c r="KN2" s="291" t="s">
        <v>100</v>
      </c>
      <c r="KO2" s="291"/>
      <c r="KP2" s="291"/>
      <c r="KQ2" s="291"/>
    </row>
    <row r="3" spans="1:303" s="104" customFormat="1" ht="16.5" customHeight="1" x14ac:dyDescent="0.35">
      <c r="A3" s="292"/>
      <c r="B3" s="292"/>
      <c r="C3" s="292"/>
      <c r="D3" s="292"/>
      <c r="E3" s="292"/>
      <c r="F3" s="302"/>
      <c r="G3" s="302"/>
      <c r="H3" s="292"/>
      <c r="I3" s="292"/>
      <c r="J3" s="291"/>
      <c r="K3" s="291"/>
      <c r="L3" s="294"/>
      <c r="M3" s="291"/>
      <c r="N3" s="291"/>
      <c r="O3" s="292"/>
      <c r="P3" s="105" t="s">
        <v>48</v>
      </c>
      <c r="Q3" s="105" t="s">
        <v>49</v>
      </c>
      <c r="R3" s="105" t="s">
        <v>50</v>
      </c>
      <c r="S3" s="105" t="s">
        <v>51</v>
      </c>
      <c r="T3" s="105" t="s">
        <v>48</v>
      </c>
      <c r="U3" s="105" t="s">
        <v>49</v>
      </c>
      <c r="V3" s="105" t="s">
        <v>50</v>
      </c>
      <c r="W3" s="105" t="s">
        <v>51</v>
      </c>
      <c r="X3" s="296"/>
      <c r="Y3" s="296"/>
      <c r="Z3" s="297"/>
      <c r="AA3" s="297"/>
      <c r="AB3" s="106" t="s">
        <v>10</v>
      </c>
      <c r="AC3" s="106" t="s">
        <v>11</v>
      </c>
      <c r="AD3" s="106" t="s">
        <v>12</v>
      </c>
      <c r="AE3" s="106" t="s">
        <v>13</v>
      </c>
      <c r="AF3" s="106" t="s">
        <v>10</v>
      </c>
      <c r="AG3" s="106" t="s">
        <v>11</v>
      </c>
      <c r="AH3" s="106" t="s">
        <v>12</v>
      </c>
      <c r="AI3" s="106" t="s">
        <v>13</v>
      </c>
      <c r="AJ3" s="106" t="s">
        <v>10</v>
      </c>
      <c r="AK3" s="106" t="s">
        <v>11</v>
      </c>
      <c r="AL3" s="106" t="s">
        <v>12</v>
      </c>
      <c r="AM3" s="106" t="s">
        <v>13</v>
      </c>
      <c r="AN3" s="296"/>
      <c r="AO3" s="296"/>
      <c r="AP3" s="297"/>
      <c r="AQ3" s="297"/>
      <c r="AR3" s="106" t="s">
        <v>10</v>
      </c>
      <c r="AS3" s="106" t="s">
        <v>11</v>
      </c>
      <c r="AT3" s="106" t="s">
        <v>12</v>
      </c>
      <c r="AU3" s="106" t="s">
        <v>13</v>
      </c>
      <c r="AV3" s="106" t="s">
        <v>10</v>
      </c>
      <c r="AW3" s="106" t="s">
        <v>11</v>
      </c>
      <c r="AX3" s="106" t="s">
        <v>12</v>
      </c>
      <c r="AY3" s="106" t="s">
        <v>13</v>
      </c>
      <c r="AZ3" s="106" t="s">
        <v>10</v>
      </c>
      <c r="BA3" s="106" t="s">
        <v>11</v>
      </c>
      <c r="BB3" s="106" t="s">
        <v>12</v>
      </c>
      <c r="BC3" s="106" t="s">
        <v>13</v>
      </c>
      <c r="BD3" s="298"/>
      <c r="BE3" s="296"/>
      <c r="BF3" s="296"/>
      <c r="BG3" s="297"/>
      <c r="BH3" s="106" t="s">
        <v>10</v>
      </c>
      <c r="BI3" s="106" t="s">
        <v>11</v>
      </c>
      <c r="BJ3" s="106" t="s">
        <v>12</v>
      </c>
      <c r="BK3" s="106" t="s">
        <v>13</v>
      </c>
      <c r="BL3" s="298"/>
      <c r="BM3" s="296"/>
      <c r="BN3" s="296"/>
      <c r="BO3" s="297"/>
      <c r="BP3" s="106" t="s">
        <v>10</v>
      </c>
      <c r="BQ3" s="106" t="s">
        <v>11</v>
      </c>
      <c r="BR3" s="106" t="s">
        <v>12</v>
      </c>
      <c r="BS3" s="106" t="s">
        <v>13</v>
      </c>
      <c r="BT3" s="296"/>
      <c r="BU3" s="296"/>
      <c r="BV3" s="296"/>
      <c r="BW3" s="297"/>
      <c r="BX3" s="106" t="s">
        <v>10</v>
      </c>
      <c r="BY3" s="106" t="s">
        <v>11</v>
      </c>
      <c r="BZ3" s="106" t="s">
        <v>12</v>
      </c>
      <c r="CA3" s="106" t="s">
        <v>13</v>
      </c>
      <c r="CB3" s="296"/>
      <c r="CC3" s="296"/>
      <c r="CD3" s="296"/>
      <c r="CE3" s="297"/>
      <c r="CF3" s="106" t="s">
        <v>10</v>
      </c>
      <c r="CG3" s="106" t="s">
        <v>11</v>
      </c>
      <c r="CH3" s="106" t="s">
        <v>12</v>
      </c>
      <c r="CI3" s="106" t="s">
        <v>13</v>
      </c>
      <c r="CJ3" s="296"/>
      <c r="CK3" s="296"/>
      <c r="CL3" s="296"/>
      <c r="CM3" s="297"/>
      <c r="CN3" s="106" t="s">
        <v>10</v>
      </c>
      <c r="CO3" s="106" t="s">
        <v>11</v>
      </c>
      <c r="CP3" s="106" t="s">
        <v>12</v>
      </c>
      <c r="CQ3" s="106" t="s">
        <v>13</v>
      </c>
      <c r="CR3" s="106" t="s">
        <v>10</v>
      </c>
      <c r="CS3" s="106" t="s">
        <v>11</v>
      </c>
      <c r="CT3" s="106" t="s">
        <v>12</v>
      </c>
      <c r="CU3" s="106" t="s">
        <v>13</v>
      </c>
      <c r="CV3" s="296"/>
      <c r="CW3" s="296"/>
      <c r="CX3" s="296"/>
      <c r="CY3" s="297"/>
      <c r="CZ3" s="106" t="s">
        <v>10</v>
      </c>
      <c r="DA3" s="106" t="s">
        <v>11</v>
      </c>
      <c r="DB3" s="106" t="s">
        <v>12</v>
      </c>
      <c r="DC3" s="106" t="s">
        <v>13</v>
      </c>
      <c r="DD3" s="296"/>
      <c r="DE3" s="299"/>
      <c r="DF3" s="296"/>
      <c r="DG3" s="297"/>
      <c r="DH3" s="106" t="s">
        <v>10</v>
      </c>
      <c r="DI3" s="106" t="s">
        <v>11</v>
      </c>
      <c r="DJ3" s="106" t="s">
        <v>12</v>
      </c>
      <c r="DK3" s="106" t="s">
        <v>13</v>
      </c>
      <c r="DL3" s="106" t="s">
        <v>10</v>
      </c>
      <c r="DM3" s="106" t="s">
        <v>11</v>
      </c>
      <c r="DN3" s="106" t="s">
        <v>12</v>
      </c>
      <c r="DO3" s="106" t="s">
        <v>13</v>
      </c>
      <c r="DP3" s="296"/>
      <c r="DQ3" s="296"/>
      <c r="DR3" s="296"/>
      <c r="DS3" s="297"/>
      <c r="DT3" s="106" t="s">
        <v>10</v>
      </c>
      <c r="DU3" s="150" t="s">
        <v>11</v>
      </c>
      <c r="DV3" s="106" t="s">
        <v>12</v>
      </c>
      <c r="DW3" s="106" t="s">
        <v>13</v>
      </c>
      <c r="DX3" s="106" t="s">
        <v>10</v>
      </c>
      <c r="DY3" s="150" t="s">
        <v>11</v>
      </c>
      <c r="DZ3" s="106" t="s">
        <v>12</v>
      </c>
      <c r="EA3" s="106" t="s">
        <v>13</v>
      </c>
      <c r="EB3" s="106" t="s">
        <v>10</v>
      </c>
      <c r="EC3" s="150" t="s">
        <v>11</v>
      </c>
      <c r="ED3" s="106" t="s">
        <v>12</v>
      </c>
      <c r="EE3" s="106" t="s">
        <v>13</v>
      </c>
      <c r="EF3" s="106" t="s">
        <v>10</v>
      </c>
      <c r="EG3" s="150" t="s">
        <v>11</v>
      </c>
      <c r="EH3" s="106" t="s">
        <v>12</v>
      </c>
      <c r="EI3" s="106" t="s">
        <v>13</v>
      </c>
      <c r="EJ3" s="298"/>
      <c r="EK3" s="296"/>
      <c r="EL3" s="296"/>
      <c r="EM3" s="297"/>
      <c r="EN3" s="106" t="s">
        <v>10</v>
      </c>
      <c r="EO3" s="106" t="s">
        <v>11</v>
      </c>
      <c r="EP3" s="106" t="s">
        <v>12</v>
      </c>
      <c r="EQ3" s="106" t="s">
        <v>13</v>
      </c>
      <c r="ER3" s="296"/>
      <c r="ES3" s="296"/>
      <c r="ET3" s="296"/>
      <c r="EU3" s="297"/>
      <c r="EV3" s="106" t="s">
        <v>10</v>
      </c>
      <c r="EW3" s="106" t="s">
        <v>11</v>
      </c>
      <c r="EX3" s="106" t="s">
        <v>12</v>
      </c>
      <c r="EY3" s="106" t="s">
        <v>13</v>
      </c>
      <c r="EZ3" s="296"/>
      <c r="FA3" s="296"/>
      <c r="FB3" s="296"/>
      <c r="FC3" s="297"/>
      <c r="FD3" s="106" t="s">
        <v>10</v>
      </c>
      <c r="FE3" s="106" t="s">
        <v>11</v>
      </c>
      <c r="FF3" s="106" t="s">
        <v>12</v>
      </c>
      <c r="FG3" s="106" t="s">
        <v>13</v>
      </c>
      <c r="FH3" s="296"/>
      <c r="FI3" s="296"/>
      <c r="FJ3" s="296"/>
      <c r="FK3" s="297"/>
      <c r="FL3" s="106" t="s">
        <v>10</v>
      </c>
      <c r="FM3" s="106" t="s">
        <v>11</v>
      </c>
      <c r="FN3" s="106" t="s">
        <v>12</v>
      </c>
      <c r="FO3" s="106" t="s">
        <v>13</v>
      </c>
      <c r="FP3" s="106" t="s">
        <v>10</v>
      </c>
      <c r="FQ3" s="106" t="s">
        <v>11</v>
      </c>
      <c r="FR3" s="106" t="s">
        <v>12</v>
      </c>
      <c r="FS3" s="106" t="s">
        <v>13</v>
      </c>
      <c r="FT3" s="106" t="s">
        <v>10</v>
      </c>
      <c r="FU3" s="106" t="s">
        <v>11</v>
      </c>
      <c r="FV3" s="106" t="s">
        <v>12</v>
      </c>
      <c r="FW3" s="106" t="s">
        <v>13</v>
      </c>
      <c r="FX3" s="106" t="s">
        <v>10</v>
      </c>
      <c r="FY3" s="106" t="s">
        <v>11</v>
      </c>
      <c r="FZ3" s="106" t="s">
        <v>12</v>
      </c>
      <c r="GA3" s="106" t="s">
        <v>13</v>
      </c>
      <c r="GB3" s="296"/>
      <c r="GC3" s="296"/>
      <c r="GD3" s="296"/>
      <c r="GE3" s="297"/>
      <c r="GF3" s="106" t="s">
        <v>10</v>
      </c>
      <c r="GG3" s="106" t="s">
        <v>11</v>
      </c>
      <c r="GH3" s="106" t="s">
        <v>12</v>
      </c>
      <c r="GI3" s="106" t="s">
        <v>13</v>
      </c>
      <c r="GJ3" s="296"/>
      <c r="GK3" s="296"/>
      <c r="GL3" s="296"/>
      <c r="GM3" s="297"/>
      <c r="GN3" s="106" t="s">
        <v>10</v>
      </c>
      <c r="GO3" s="106" t="s">
        <v>11</v>
      </c>
      <c r="GP3" s="106" t="s">
        <v>12</v>
      </c>
      <c r="GQ3" s="106" t="s">
        <v>13</v>
      </c>
      <c r="GR3" s="106" t="s">
        <v>10</v>
      </c>
      <c r="GS3" s="106" t="s">
        <v>11</v>
      </c>
      <c r="GT3" s="106" t="s">
        <v>12</v>
      </c>
      <c r="GU3" s="106" t="s">
        <v>13</v>
      </c>
      <c r="GV3" s="291"/>
      <c r="GW3" s="291"/>
      <c r="GX3" s="291"/>
      <c r="GY3" s="292"/>
      <c r="GZ3" s="105" t="s">
        <v>10</v>
      </c>
      <c r="HA3" s="105" t="s">
        <v>11</v>
      </c>
      <c r="HB3" s="105" t="s">
        <v>12</v>
      </c>
      <c r="HC3" s="105" t="s">
        <v>13</v>
      </c>
      <c r="HD3" s="105" t="s">
        <v>10</v>
      </c>
      <c r="HE3" s="105" t="s">
        <v>11</v>
      </c>
      <c r="HF3" s="105" t="s">
        <v>12</v>
      </c>
      <c r="HG3" s="105" t="s">
        <v>13</v>
      </c>
      <c r="HH3" s="291"/>
      <c r="HI3" s="291"/>
      <c r="HJ3" s="291"/>
      <c r="HK3" s="292"/>
      <c r="HL3" s="105" t="s">
        <v>103</v>
      </c>
      <c r="HM3" s="105" t="s">
        <v>11</v>
      </c>
      <c r="HN3" s="105" t="s">
        <v>12</v>
      </c>
      <c r="HO3" s="105" t="s">
        <v>13</v>
      </c>
      <c r="HP3" s="105" t="s">
        <v>10</v>
      </c>
      <c r="HQ3" s="105" t="s">
        <v>11</v>
      </c>
      <c r="HR3" s="105" t="s">
        <v>12</v>
      </c>
      <c r="HS3" s="105" t="s">
        <v>13</v>
      </c>
      <c r="HT3" s="291"/>
      <c r="HU3" s="295"/>
      <c r="HV3" s="291"/>
      <c r="HW3" s="292"/>
      <c r="HX3" s="105" t="s">
        <v>10</v>
      </c>
      <c r="HY3" s="105" t="s">
        <v>11</v>
      </c>
      <c r="HZ3" s="105" t="s">
        <v>12</v>
      </c>
      <c r="IA3" s="105" t="s">
        <v>13</v>
      </c>
      <c r="IB3" s="105" t="s">
        <v>10</v>
      </c>
      <c r="IC3" s="105" t="s">
        <v>11</v>
      </c>
      <c r="ID3" s="105" t="s">
        <v>12</v>
      </c>
      <c r="IE3" s="105" t="s">
        <v>13</v>
      </c>
      <c r="IF3" s="291"/>
      <c r="IG3" s="291"/>
      <c r="IH3" s="291"/>
      <c r="II3" s="292"/>
      <c r="IJ3" s="105" t="s">
        <v>10</v>
      </c>
      <c r="IK3" s="105" t="s">
        <v>104</v>
      </c>
      <c r="IL3" s="105" t="s">
        <v>12</v>
      </c>
      <c r="IM3" s="105" t="s">
        <v>13</v>
      </c>
      <c r="IN3" s="105" t="s">
        <v>10</v>
      </c>
      <c r="IO3" s="105" t="s">
        <v>11</v>
      </c>
      <c r="IP3" s="105" t="s">
        <v>12</v>
      </c>
      <c r="IQ3" s="105" t="s">
        <v>13</v>
      </c>
      <c r="IR3" s="294"/>
      <c r="IS3" s="291"/>
      <c r="IT3" s="291"/>
      <c r="IU3" s="292"/>
      <c r="IV3" s="105" t="s">
        <v>10</v>
      </c>
      <c r="IW3" s="105" t="s">
        <v>11</v>
      </c>
      <c r="IX3" s="105" t="s">
        <v>12</v>
      </c>
      <c r="IY3" s="105" t="s">
        <v>13</v>
      </c>
      <c r="IZ3" s="105" t="s">
        <v>10</v>
      </c>
      <c r="JA3" s="105" t="s">
        <v>11</v>
      </c>
      <c r="JB3" s="105" t="s">
        <v>12</v>
      </c>
      <c r="JC3" s="105" t="s">
        <v>13</v>
      </c>
      <c r="JD3" s="291"/>
      <c r="JE3" s="291"/>
      <c r="JF3" s="291"/>
      <c r="JG3" s="292"/>
      <c r="JH3" s="105" t="s">
        <v>10</v>
      </c>
      <c r="JI3" s="105" t="s">
        <v>11</v>
      </c>
      <c r="JJ3" s="105" t="s">
        <v>12</v>
      </c>
      <c r="JK3" s="105" t="s">
        <v>13</v>
      </c>
      <c r="JL3" s="105" t="s">
        <v>10</v>
      </c>
      <c r="JM3" s="105" t="s">
        <v>104</v>
      </c>
      <c r="JN3" s="105" t="s">
        <v>12</v>
      </c>
      <c r="JO3" s="105" t="s">
        <v>13</v>
      </c>
      <c r="JP3" s="105" t="s">
        <v>10</v>
      </c>
      <c r="JQ3" s="105" t="s">
        <v>11</v>
      </c>
      <c r="JR3" s="105" t="s">
        <v>12</v>
      </c>
      <c r="JS3" s="105" t="s">
        <v>13</v>
      </c>
      <c r="JT3" s="105" t="s">
        <v>10</v>
      </c>
      <c r="JU3" s="105" t="s">
        <v>11</v>
      </c>
      <c r="JV3" s="105" t="s">
        <v>12</v>
      </c>
      <c r="JW3" s="105" t="s">
        <v>13</v>
      </c>
      <c r="JX3" s="291"/>
      <c r="JY3" s="291"/>
      <c r="JZ3" s="291"/>
      <c r="KA3" s="292"/>
      <c r="KB3" s="105" t="s">
        <v>48</v>
      </c>
      <c r="KC3" s="105" t="s">
        <v>106</v>
      </c>
      <c r="KD3" s="105" t="s">
        <v>107</v>
      </c>
      <c r="KE3" s="105" t="s">
        <v>51</v>
      </c>
      <c r="KF3" s="291"/>
      <c r="KG3" s="291"/>
      <c r="KH3" s="291"/>
      <c r="KI3" s="292"/>
      <c r="KJ3" s="105" t="s">
        <v>10</v>
      </c>
      <c r="KK3" s="105" t="s">
        <v>11</v>
      </c>
      <c r="KL3" s="105" t="s">
        <v>12</v>
      </c>
      <c r="KM3" s="105" t="s">
        <v>13</v>
      </c>
      <c r="KN3" s="105" t="s">
        <v>103</v>
      </c>
      <c r="KO3" s="105" t="s">
        <v>11</v>
      </c>
      <c r="KP3" s="105" t="s">
        <v>12</v>
      </c>
      <c r="KQ3" s="105" t="s">
        <v>13</v>
      </c>
    </row>
    <row r="4" spans="1:303" s="39" customFormat="1" ht="16.5" customHeight="1" x14ac:dyDescent="0.35">
      <c r="B4" s="30" t="s">
        <v>542</v>
      </c>
      <c r="C4" s="36" t="s">
        <v>1867</v>
      </c>
      <c r="D4" s="39" t="s">
        <v>196</v>
      </c>
      <c r="E4" s="39" t="s">
        <v>172</v>
      </c>
      <c r="F4" s="112" t="s">
        <v>546</v>
      </c>
      <c r="G4" s="36" t="s">
        <v>163</v>
      </c>
      <c r="H4" s="40">
        <f>110.28/115.63</f>
        <v>0.95373173051976134</v>
      </c>
      <c r="L4" s="42">
        <v>4</v>
      </c>
      <c r="M4" s="39" t="s">
        <v>548</v>
      </c>
      <c r="P4" s="39" t="s">
        <v>118</v>
      </c>
      <c r="Q4" s="39" t="s">
        <v>549</v>
      </c>
      <c r="R4" s="39" t="s">
        <v>233</v>
      </c>
      <c r="T4" s="39" t="s">
        <v>113</v>
      </c>
      <c r="U4" s="40">
        <v>0.46939999999999998</v>
      </c>
      <c r="X4" s="39">
        <v>3</v>
      </c>
      <c r="Y4" s="43">
        <f t="shared" ref="Y4:Y11" si="0">((AC4-AG4)/AG4+(AG4-AK4)/AK4)/2*100%</f>
        <v>6.0550954963694434E-2</v>
      </c>
      <c r="AC4" s="39">
        <v>157.44</v>
      </c>
      <c r="AD4" s="39" t="s">
        <v>233</v>
      </c>
      <c r="AG4" s="39">
        <v>155.58000000000001</v>
      </c>
      <c r="AH4" s="39" t="s">
        <v>232</v>
      </c>
      <c r="AK4" s="39">
        <v>140.27000000000001</v>
      </c>
      <c r="AL4" s="39" t="s">
        <v>233</v>
      </c>
      <c r="AN4" s="39">
        <v>2</v>
      </c>
      <c r="AO4" s="43">
        <f t="shared" ref="AO4:AO11" si="1">((AS4-AW4)/AW4+(AW4-BA4)/BA4)/2*100%</f>
        <v>0.15851892547768026</v>
      </c>
      <c r="AS4" s="39">
        <v>273.12</v>
      </c>
      <c r="AT4" s="39" t="s">
        <v>232</v>
      </c>
      <c r="AW4" s="39">
        <v>218.12</v>
      </c>
      <c r="AX4" s="39" t="s">
        <v>233</v>
      </c>
      <c r="BA4" s="39">
        <v>204.83</v>
      </c>
      <c r="BB4" s="39" t="s">
        <v>233</v>
      </c>
      <c r="BD4" s="39">
        <v>3</v>
      </c>
      <c r="BE4" s="8">
        <f t="shared" ref="BE4:BE67" si="2">BI4</f>
        <v>157.44</v>
      </c>
      <c r="BI4" s="39">
        <v>157.44</v>
      </c>
      <c r="BJ4" s="39" t="s">
        <v>233</v>
      </c>
      <c r="BL4" s="39">
        <v>3</v>
      </c>
      <c r="BM4" s="39">
        <v>273.12</v>
      </c>
      <c r="BQ4" s="39">
        <v>273.12</v>
      </c>
      <c r="BR4" s="39" t="s">
        <v>232</v>
      </c>
      <c r="BT4" s="39">
        <v>2</v>
      </c>
      <c r="BU4" s="39">
        <v>28</v>
      </c>
      <c r="BY4" s="39">
        <v>28</v>
      </c>
      <c r="BZ4" s="39" t="s">
        <v>552</v>
      </c>
      <c r="CB4" s="39">
        <v>1</v>
      </c>
      <c r="CC4" s="39" t="s">
        <v>133</v>
      </c>
      <c r="CF4" s="39" t="s">
        <v>133</v>
      </c>
      <c r="CG4" s="39" t="s">
        <v>554</v>
      </c>
      <c r="CH4" s="39" t="s">
        <v>233</v>
      </c>
      <c r="CJ4" s="67">
        <f t="shared" ref="CJ4:CJ29" si="3">IF(CK4="数据缺失",0,IF(CK4&lt;0,0,IF(CK4&lt;2,2,IF(CK4&lt;=5,1,3))))</f>
        <v>2</v>
      </c>
      <c r="CK4" s="48">
        <f>CO4/CS4</f>
        <v>0.19759908536585366</v>
      </c>
      <c r="CO4" s="39">
        <v>31.11</v>
      </c>
      <c r="CP4" s="39" t="s">
        <v>233</v>
      </c>
      <c r="CS4" s="68">
        <f>BI4</f>
        <v>157.44</v>
      </c>
      <c r="CT4" s="39" t="s">
        <v>233</v>
      </c>
      <c r="CV4" s="42">
        <v>2</v>
      </c>
      <c r="CW4" s="39">
        <v>1391.39</v>
      </c>
      <c r="DA4" s="39">
        <v>1391.39</v>
      </c>
      <c r="DB4" s="39" t="s">
        <v>233</v>
      </c>
      <c r="DD4" s="39">
        <v>2</v>
      </c>
      <c r="DE4" s="69">
        <f>DM4/DI4</f>
        <v>5.0944273579379029</v>
      </c>
      <c r="DI4" s="39">
        <v>273.12</v>
      </c>
      <c r="DJ4" s="39" t="s">
        <v>232</v>
      </c>
      <c r="DM4" s="39">
        <v>1391.39</v>
      </c>
      <c r="DN4" s="39" t="s">
        <v>232</v>
      </c>
      <c r="DP4" s="39">
        <v>6</v>
      </c>
      <c r="DQ4" s="39" t="s">
        <v>555</v>
      </c>
      <c r="DU4" s="40">
        <v>0</v>
      </c>
      <c r="DV4" s="39" t="s">
        <v>233</v>
      </c>
      <c r="DY4" s="40">
        <v>0.3125</v>
      </c>
      <c r="DZ4" s="39" t="s">
        <v>233</v>
      </c>
      <c r="EC4" s="40">
        <v>5.11E-2</v>
      </c>
      <c r="ED4" s="39" t="s">
        <v>233</v>
      </c>
      <c r="EG4" s="40">
        <v>0.63649999999999995</v>
      </c>
      <c r="EH4" s="39" t="s">
        <v>232</v>
      </c>
      <c r="EJ4" s="39">
        <v>1</v>
      </c>
      <c r="EK4" s="39">
        <v>257.54000000000002</v>
      </c>
      <c r="EO4" s="39">
        <v>257.54000000000002</v>
      </c>
      <c r="EP4" s="39" t="s">
        <v>233</v>
      </c>
      <c r="ER4" s="42">
        <v>1</v>
      </c>
      <c r="ES4" s="39">
        <v>290.88</v>
      </c>
      <c r="EW4" s="39">
        <v>290.88</v>
      </c>
      <c r="EX4" s="39" t="s">
        <v>232</v>
      </c>
      <c r="EZ4" s="39">
        <v>1</v>
      </c>
      <c r="FA4" s="69">
        <f>FE4</f>
        <v>471.65</v>
      </c>
      <c r="FE4" s="68">
        <v>471.65</v>
      </c>
      <c r="FF4" s="39" t="s">
        <v>233</v>
      </c>
      <c r="FH4" s="39">
        <v>4</v>
      </c>
      <c r="FI4" s="39" t="s">
        <v>556</v>
      </c>
      <c r="FM4" s="39">
        <v>0</v>
      </c>
      <c r="FN4" s="39" t="s">
        <v>233</v>
      </c>
      <c r="FQ4" s="40">
        <v>0.42880000000000001</v>
      </c>
      <c r="FR4" s="39" t="s">
        <v>233</v>
      </c>
      <c r="FU4" s="40">
        <v>0.10539999999999999</v>
      </c>
      <c r="FV4" s="39" t="s">
        <v>233</v>
      </c>
      <c r="FY4" s="40">
        <v>0.4657</v>
      </c>
      <c r="FZ4" s="39" t="s">
        <v>233</v>
      </c>
      <c r="GB4" s="39">
        <v>2</v>
      </c>
      <c r="GC4" s="39" t="s">
        <v>1866</v>
      </c>
      <c r="GG4" s="39" t="s">
        <v>1866</v>
      </c>
      <c r="GH4" s="39" t="s">
        <v>233</v>
      </c>
      <c r="GJ4" s="39">
        <v>4</v>
      </c>
      <c r="GK4" s="70">
        <v>0</v>
      </c>
      <c r="GN4" s="39">
        <v>0</v>
      </c>
      <c r="GO4" s="39">
        <v>0</v>
      </c>
      <c r="GP4" s="39" t="s">
        <v>146</v>
      </c>
      <c r="GS4" s="39">
        <v>115.63</v>
      </c>
      <c r="GT4" s="39" t="s">
        <v>146</v>
      </c>
      <c r="GV4" s="67">
        <f>IF(GW4="数据缺失",0,IF(GW4&lt;20%,1,IF(GW4&lt;40%,2,IF(GW4&lt;60%,3,IF(GW4&lt;80%,4,IF(GW4&lt;=100%,5,0))))))</f>
        <v>1</v>
      </c>
      <c r="GW4" s="40">
        <f>HA4/HE4</f>
        <v>0.13408462308009181</v>
      </c>
      <c r="HA4" s="39">
        <v>45.57</v>
      </c>
      <c r="HB4" s="39" t="s">
        <v>146</v>
      </c>
      <c r="HE4" s="68">
        <v>339.86</v>
      </c>
      <c r="HF4" s="39" t="s">
        <v>146</v>
      </c>
      <c r="HH4" s="39">
        <v>1</v>
      </c>
      <c r="HI4" s="40">
        <f>HM4/HQ4</f>
        <v>0.18614502865686516</v>
      </c>
      <c r="HM4" s="39">
        <v>14.94</v>
      </c>
      <c r="HN4" s="39" t="s">
        <v>233</v>
      </c>
      <c r="HQ4" s="39">
        <v>80.260000000000005</v>
      </c>
      <c r="HR4" s="39" t="s">
        <v>232</v>
      </c>
      <c r="HT4" s="8">
        <f>IF(HU4="数据缺失",0,IF(HU4&lt;5%,4,IF(HU4&lt;=10%,3,IF(HU4&lt;30%,2,IF(HU4&lt;=100%,1,0)))))</f>
        <v>4</v>
      </c>
      <c r="HU4" s="70">
        <v>0</v>
      </c>
      <c r="HY4" s="39">
        <v>0</v>
      </c>
      <c r="HZ4" s="39" t="s">
        <v>146</v>
      </c>
      <c r="IC4" s="39">
        <v>21.49</v>
      </c>
      <c r="ID4" s="39" t="s">
        <v>146</v>
      </c>
      <c r="IR4" s="42">
        <v>1</v>
      </c>
      <c r="IS4" s="40">
        <f t="shared" ref="IS4:IS9" si="4">IW4/JA4</f>
        <v>8.1145584725536999</v>
      </c>
      <c r="IW4" s="39">
        <v>680</v>
      </c>
      <c r="IX4" s="39" t="s">
        <v>146</v>
      </c>
      <c r="JA4" s="68">
        <v>83.8</v>
      </c>
      <c r="JB4" s="39" t="s">
        <v>146</v>
      </c>
      <c r="JD4" s="39">
        <v>3</v>
      </c>
      <c r="JE4" s="40">
        <f t="shared" ref="JE4:JE11" si="5">JI4/JM4/(JQ4+JU4)*2</f>
        <v>7.7887703985061313E-2</v>
      </c>
      <c r="JI4" s="39">
        <v>20.190000000000001</v>
      </c>
      <c r="JJ4" s="39" t="s">
        <v>233</v>
      </c>
      <c r="JM4" s="39">
        <v>6.07</v>
      </c>
      <c r="JN4" s="39" t="s">
        <v>233</v>
      </c>
      <c r="JQ4" s="39">
        <v>42.81</v>
      </c>
      <c r="JR4" s="39" t="s">
        <v>233</v>
      </c>
      <c r="JU4" s="39">
        <v>42.6</v>
      </c>
      <c r="JV4" s="39" t="s">
        <v>233</v>
      </c>
      <c r="JX4" s="39">
        <v>2</v>
      </c>
      <c r="JY4" s="39" t="s">
        <v>558</v>
      </c>
      <c r="KB4" s="39">
        <v>18</v>
      </c>
      <c r="KC4" s="39" t="s">
        <v>558</v>
      </c>
      <c r="KD4" s="39" t="s">
        <v>232</v>
      </c>
      <c r="KF4" s="67">
        <f t="shared" ref="KF4:KF11" si="6">IF(KG4="数据缺失",0,IF(KG4&lt;0%,0,IF(KG4&lt;20%,1,IF(KG4&lt;50%,2,IF(KG4&lt;100%,3,4)))))</f>
        <v>4</v>
      </c>
      <c r="KG4" s="43">
        <f t="shared" ref="KG4:KG9" si="7">KK4/KO4</f>
        <v>1.4473747016706444</v>
      </c>
      <c r="KK4" s="39">
        <v>121.29</v>
      </c>
      <c r="KL4" s="39" t="s">
        <v>146</v>
      </c>
      <c r="KO4" s="68">
        <v>83.8</v>
      </c>
      <c r="KP4" s="39" t="s">
        <v>146</v>
      </c>
    </row>
    <row r="5" spans="1:303" s="39" customFormat="1" ht="16.5" customHeight="1" x14ac:dyDescent="0.35">
      <c r="B5" s="30" t="s">
        <v>560</v>
      </c>
      <c r="C5" s="36" t="s">
        <v>170</v>
      </c>
      <c r="D5" s="39" t="s">
        <v>196</v>
      </c>
      <c r="E5" s="39" t="s">
        <v>172</v>
      </c>
      <c r="F5" s="112" t="s">
        <v>561</v>
      </c>
      <c r="G5" s="36" t="s">
        <v>163</v>
      </c>
      <c r="H5" s="40">
        <f>(705.41+6.15)/719.46</f>
        <v>0.98901954243460366</v>
      </c>
      <c r="I5" s="40"/>
      <c r="L5" s="42">
        <v>1</v>
      </c>
      <c r="M5" s="71" t="s">
        <v>562</v>
      </c>
      <c r="P5" s="39" t="s">
        <v>108</v>
      </c>
      <c r="Q5" s="39" t="s">
        <v>563</v>
      </c>
      <c r="R5" s="39" t="s">
        <v>564</v>
      </c>
      <c r="T5" s="39" t="s">
        <v>113</v>
      </c>
      <c r="U5" s="40">
        <v>0.34350000000000003</v>
      </c>
      <c r="X5" s="39">
        <v>2</v>
      </c>
      <c r="Y5" s="40">
        <f t="shared" si="0"/>
        <v>0.11606386278894054</v>
      </c>
      <c r="AC5" s="68">
        <v>651.27</v>
      </c>
      <c r="AD5" s="39" t="s">
        <v>564</v>
      </c>
      <c r="AG5" s="68">
        <v>563.49</v>
      </c>
      <c r="AH5" s="39" t="s">
        <v>564</v>
      </c>
      <c r="AK5" s="68">
        <v>523.52</v>
      </c>
      <c r="AL5" s="39" t="s">
        <v>565</v>
      </c>
      <c r="AN5" s="39">
        <v>2</v>
      </c>
      <c r="AO5" s="43">
        <f t="shared" si="1"/>
        <v>0.20504663483711932</v>
      </c>
      <c r="AS5" s="39">
        <v>563.9</v>
      </c>
      <c r="AT5" s="39" t="s">
        <v>564</v>
      </c>
      <c r="AW5" s="39">
        <v>458.2</v>
      </c>
      <c r="AX5" s="39" t="s">
        <v>564</v>
      </c>
      <c r="BA5" s="39">
        <v>388.5</v>
      </c>
      <c r="BB5" s="39" t="s">
        <v>565</v>
      </c>
      <c r="BD5" s="39">
        <v>1</v>
      </c>
      <c r="BE5" s="8">
        <f t="shared" si="2"/>
        <v>651.27</v>
      </c>
      <c r="BI5" s="68">
        <v>651.27</v>
      </c>
      <c r="BJ5" s="39" t="str">
        <f>AD5</f>
        <v>评级20160530</v>
      </c>
      <c r="BL5" s="39">
        <v>1</v>
      </c>
      <c r="BM5" s="39">
        <v>563.9</v>
      </c>
      <c r="BQ5" s="39">
        <v>563.9</v>
      </c>
      <c r="BR5" s="39" t="s">
        <v>564</v>
      </c>
      <c r="BT5" s="39">
        <v>1</v>
      </c>
      <c r="BU5" s="39">
        <v>5</v>
      </c>
      <c r="BY5" s="39">
        <v>5</v>
      </c>
      <c r="BZ5" s="39" t="s">
        <v>552</v>
      </c>
      <c r="CA5" s="39" t="s">
        <v>566</v>
      </c>
      <c r="CB5" s="39">
        <v>1</v>
      </c>
      <c r="CC5" s="39" t="s">
        <v>133</v>
      </c>
      <c r="CF5" s="39" t="s">
        <v>567</v>
      </c>
      <c r="CG5" s="39" t="s">
        <v>568</v>
      </c>
      <c r="CH5" s="39" t="s">
        <v>565</v>
      </c>
      <c r="CJ5" s="67">
        <f t="shared" si="3"/>
        <v>2</v>
      </c>
      <c r="CK5" s="53">
        <f>CO5/CS5</f>
        <v>0.38483271147143272</v>
      </c>
      <c r="CL5" s="36"/>
      <c r="CM5" s="36"/>
      <c r="CN5" s="36"/>
      <c r="CO5" s="35">
        <v>250.63</v>
      </c>
      <c r="CP5" s="36" t="s">
        <v>437</v>
      </c>
      <c r="CS5" s="68">
        <f>BI5</f>
        <v>651.27</v>
      </c>
      <c r="CT5" s="39" t="s">
        <v>564</v>
      </c>
      <c r="CV5" s="42">
        <v>2</v>
      </c>
      <c r="CW5" s="39">
        <v>1949.1</v>
      </c>
      <c r="DA5" s="39">
        <v>1949.1</v>
      </c>
      <c r="DB5" s="39" t="s">
        <v>564</v>
      </c>
      <c r="DD5" s="39">
        <v>1</v>
      </c>
      <c r="DE5" s="69">
        <f>DM5/DI5</f>
        <v>3.456463912041142</v>
      </c>
      <c r="DI5" s="39">
        <v>563.9</v>
      </c>
      <c r="DJ5" s="39" t="s">
        <v>564</v>
      </c>
      <c r="DM5" s="39">
        <v>1949.1</v>
      </c>
      <c r="DN5" s="39" t="s">
        <v>564</v>
      </c>
      <c r="DP5" s="39">
        <v>2</v>
      </c>
      <c r="DQ5" s="39" t="s">
        <v>569</v>
      </c>
      <c r="DU5" s="40">
        <v>0.13109999999999999</v>
      </c>
      <c r="DV5" s="39" t="s">
        <v>564</v>
      </c>
      <c r="DY5" s="40">
        <v>0.62209999999999999</v>
      </c>
      <c r="DZ5" s="39" t="s">
        <v>564</v>
      </c>
      <c r="EC5" s="40">
        <v>0.24679999999999999</v>
      </c>
      <c r="ED5" s="39" t="s">
        <v>564</v>
      </c>
      <c r="EG5" s="40">
        <v>0</v>
      </c>
      <c r="EH5" s="39" t="s">
        <v>564</v>
      </c>
      <c r="EJ5" s="39">
        <v>1</v>
      </c>
      <c r="EK5" s="39">
        <v>438.4</v>
      </c>
      <c r="EO5" s="39">
        <v>438.4</v>
      </c>
      <c r="EP5" s="39" t="s">
        <v>564</v>
      </c>
      <c r="ER5" s="42">
        <v>1</v>
      </c>
      <c r="ES5" s="39">
        <v>656.6</v>
      </c>
      <c r="EW5" s="39">
        <v>656.6</v>
      </c>
      <c r="EX5" s="39" t="s">
        <v>564</v>
      </c>
      <c r="EZ5" s="39">
        <v>1</v>
      </c>
      <c r="FA5" s="39">
        <v>1075.5</v>
      </c>
      <c r="FE5" s="39">
        <v>1075.5</v>
      </c>
      <c r="FF5" s="39" t="s">
        <v>564</v>
      </c>
      <c r="FH5" s="39">
        <v>4</v>
      </c>
      <c r="FI5" s="58" t="s">
        <v>1227</v>
      </c>
      <c r="FJ5" s="39" t="s">
        <v>564</v>
      </c>
      <c r="FM5" s="39" t="s">
        <v>37</v>
      </c>
      <c r="FQ5" s="39" t="s">
        <v>37</v>
      </c>
      <c r="FU5" s="39" t="s">
        <v>37</v>
      </c>
      <c r="FY5" s="39" t="s">
        <v>37</v>
      </c>
      <c r="GB5" s="39">
        <v>2</v>
      </c>
      <c r="GC5" s="39" t="s">
        <v>570</v>
      </c>
      <c r="GG5" s="39" t="s">
        <v>570</v>
      </c>
      <c r="GH5" s="39" t="s">
        <v>564</v>
      </c>
      <c r="GJ5" s="72">
        <v>4</v>
      </c>
      <c r="GK5" s="43">
        <f>GN5/GS5</f>
        <v>8.5045772602815508E-3</v>
      </c>
      <c r="GN5" s="39">
        <v>6.15</v>
      </c>
      <c r="GO5" s="39" t="s">
        <v>571</v>
      </c>
      <c r="GP5" s="39" t="s">
        <v>146</v>
      </c>
      <c r="GS5" s="39">
        <v>723.14</v>
      </c>
      <c r="GT5" s="39" t="s">
        <v>146</v>
      </c>
      <c r="GV5" s="67">
        <f>IF(GW5="数据缺失",0,IF(GW5&lt;20%,1,IF(GW5&lt;40%,2,IF(GW5&lt;60%,3,IF(GW5&lt;80%,4,IF(GW5&lt;=100%,5,0))))))</f>
        <v>1</v>
      </c>
      <c r="GW5" s="40">
        <f>HA5/HE5</f>
        <v>0</v>
      </c>
      <c r="HA5" s="53">
        <v>0</v>
      </c>
      <c r="HC5" s="39" t="s">
        <v>572</v>
      </c>
      <c r="HE5" s="39">
        <v>1908.92</v>
      </c>
      <c r="HF5" s="39" t="s">
        <v>146</v>
      </c>
      <c r="HH5" s="39">
        <v>0</v>
      </c>
      <c r="HI5" s="48" t="s">
        <v>37</v>
      </c>
      <c r="HM5" s="48" t="s">
        <v>37</v>
      </c>
      <c r="HQ5" s="48">
        <v>289.5</v>
      </c>
      <c r="HR5" s="39" t="s">
        <v>270</v>
      </c>
      <c r="HT5" s="8">
        <f>IF(HU5="数据缺失",0,IF(HU5&lt;5%,4,IF(HU5&lt;=10%,3,IF(HU5&lt;30%,2,IF(HU5&lt;=100%,1,0)))))</f>
        <v>4</v>
      </c>
      <c r="HU5" s="73">
        <f>HY5/IC5</f>
        <v>2.9903130703355325E-2</v>
      </c>
      <c r="HY5" s="39">
        <v>2.13</v>
      </c>
      <c r="HZ5" s="39" t="s">
        <v>564</v>
      </c>
      <c r="IC5" s="39">
        <v>71.23</v>
      </c>
      <c r="ID5" s="39" t="s">
        <v>564</v>
      </c>
      <c r="IR5" s="42">
        <v>4</v>
      </c>
      <c r="IS5" s="43">
        <f t="shared" si="4"/>
        <v>0.81344221105527648</v>
      </c>
      <c r="IW5" s="71">
        <v>518</v>
      </c>
      <c r="IX5" s="39" t="s">
        <v>224</v>
      </c>
      <c r="JA5" s="39">
        <v>636.79999999999995</v>
      </c>
      <c r="JB5" s="39" t="s">
        <v>146</v>
      </c>
      <c r="JD5" s="39">
        <v>2</v>
      </c>
      <c r="JE5" s="43">
        <f t="shared" si="5"/>
        <v>5.2848318159886172E-2</v>
      </c>
      <c r="JI5" s="39">
        <v>191.72</v>
      </c>
      <c r="JJ5" s="39" t="s">
        <v>564</v>
      </c>
      <c r="JM5" s="39">
        <v>27.68</v>
      </c>
      <c r="JN5" s="39" t="s">
        <v>564</v>
      </c>
      <c r="JQ5" s="39">
        <v>164.84</v>
      </c>
      <c r="JR5" s="39" t="s">
        <v>564</v>
      </c>
      <c r="JU5" s="39">
        <v>97.28</v>
      </c>
      <c r="JV5" s="39" t="s">
        <v>564</v>
      </c>
      <c r="JX5" s="39">
        <v>2</v>
      </c>
      <c r="JY5" s="39" t="s">
        <v>155</v>
      </c>
      <c r="KB5" s="39">
        <v>2</v>
      </c>
      <c r="KC5" s="39" t="s">
        <v>155</v>
      </c>
      <c r="KD5" s="39" t="s">
        <v>564</v>
      </c>
      <c r="KF5" s="36">
        <f t="shared" si="6"/>
        <v>1</v>
      </c>
      <c r="KG5" s="5">
        <f t="shared" si="7"/>
        <v>0.16279836683417087</v>
      </c>
      <c r="KH5" s="36"/>
      <c r="KI5" s="36"/>
      <c r="KJ5" s="36"/>
      <c r="KK5" s="36">
        <v>103.67</v>
      </c>
      <c r="KL5" s="36" t="s">
        <v>574</v>
      </c>
      <c r="KO5" s="68">
        <f>JA5</f>
        <v>636.79999999999995</v>
      </c>
      <c r="KP5" s="39" t="str">
        <f>JB5</f>
        <v>年报2015</v>
      </c>
    </row>
    <row r="6" spans="1:303" s="39" customFormat="1" ht="16.5" customHeight="1" x14ac:dyDescent="0.35">
      <c r="B6" s="36" t="s">
        <v>575</v>
      </c>
      <c r="C6" s="36" t="s">
        <v>170</v>
      </c>
      <c r="D6" s="39" t="s">
        <v>196</v>
      </c>
      <c r="E6" s="39" t="s">
        <v>172</v>
      </c>
      <c r="F6" s="36" t="s">
        <v>576</v>
      </c>
      <c r="G6" s="36" t="s">
        <v>174</v>
      </c>
      <c r="H6" s="40">
        <v>0.95279999999999998</v>
      </c>
      <c r="I6" s="42"/>
      <c r="L6" s="42">
        <v>3</v>
      </c>
      <c r="M6" s="36" t="s">
        <v>577</v>
      </c>
      <c r="N6" s="36"/>
      <c r="O6" s="36"/>
      <c r="P6" s="36" t="s">
        <v>112</v>
      </c>
      <c r="Q6" s="36" t="s">
        <v>579</v>
      </c>
      <c r="R6" s="36" t="s">
        <v>580</v>
      </c>
      <c r="T6" s="39" t="s">
        <v>581</v>
      </c>
      <c r="U6" s="50">
        <v>1</v>
      </c>
      <c r="X6" s="3" t="str">
        <f>IF(Y6&gt;=30%,"1",IF(Y6&gt;=10%,"2",IF(Y6&gt;=0%,"3",IF(Y6&gt;=-10%,"4",IF(Y6&gt;=-30%,"5",IF(Y6&lt;-30%,"6",IF(Y6=数据缺失,"0")))))))</f>
        <v>5</v>
      </c>
      <c r="Y6" s="41">
        <f t="shared" si="0"/>
        <v>-0.14092130000890848</v>
      </c>
      <c r="Z6" s="36"/>
      <c r="AA6" s="36"/>
      <c r="AB6" s="36"/>
      <c r="AC6" s="36">
        <v>30.62</v>
      </c>
      <c r="AD6" s="36" t="s">
        <v>580</v>
      </c>
      <c r="AE6" s="36"/>
      <c r="AF6" s="36"/>
      <c r="AG6" s="36">
        <v>29.11</v>
      </c>
      <c r="AH6" s="36" t="s">
        <v>580</v>
      </c>
      <c r="AI6" s="36"/>
      <c r="AJ6" s="36"/>
      <c r="AK6" s="36">
        <v>43.69</v>
      </c>
      <c r="AL6" s="36" t="s">
        <v>580</v>
      </c>
      <c r="AN6" s="3" t="str">
        <f>IF(AO6&gt;=30%,"1",IF(AO6&gt;=10%,"2",IF(AO6&gt;=0%,"3",IF(AO6&gt;=-10%,"4",IF(AO6&gt;=-30%,"5",IF(AO6&lt;-30%,"6",IF(AO6=数据缺失,"0")))))))</f>
        <v>5</v>
      </c>
      <c r="AO6" s="43">
        <f t="shared" si="1"/>
        <v>-0.23770222626777679</v>
      </c>
      <c r="AP6" s="36"/>
      <c r="AQ6" s="36"/>
      <c r="AR6" s="36"/>
      <c r="AS6" s="37">
        <v>42.97</v>
      </c>
      <c r="AT6" s="36" t="s">
        <v>580</v>
      </c>
      <c r="AU6" s="36"/>
      <c r="AV6" s="36"/>
      <c r="AW6" s="37">
        <v>46.34</v>
      </c>
      <c r="AX6" s="36" t="s">
        <v>580</v>
      </c>
      <c r="AY6" s="36"/>
      <c r="AZ6" s="36"/>
      <c r="BA6" s="37">
        <v>77.58</v>
      </c>
      <c r="BB6" s="36" t="s">
        <v>580</v>
      </c>
      <c r="BC6" s="36"/>
      <c r="BD6" s="52" t="str">
        <f>IF(BE6&gt;=500,"1",IF(BE6&gt;=300,"2",IF(BE6&gt;=100,"3",IF(BE6&gt;=50,"4",IF(BE6&gt;=0,"5",IF(BE6=数据缺失,"0"))))))</f>
        <v>5</v>
      </c>
      <c r="BE6" s="8">
        <f t="shared" si="2"/>
        <v>30.62</v>
      </c>
      <c r="BF6" s="36"/>
      <c r="BG6" s="36"/>
      <c r="BH6" s="36"/>
      <c r="BI6" s="36">
        <f>AC6</f>
        <v>30.62</v>
      </c>
      <c r="BJ6" s="36" t="s">
        <v>580</v>
      </c>
      <c r="BL6" s="3" t="str">
        <f>IF(BM6&gt;=500,"1",IF(BM6&gt;=300,"2",IF(BM6&gt;=100,"3",IF(BM6&gt;=50,"4",IF(BM6&gt;=0,"5",IF(BM6=数据缺失,"0"))))))</f>
        <v>5</v>
      </c>
      <c r="BM6" s="37">
        <f>BQ6</f>
        <v>42.97</v>
      </c>
      <c r="BN6" s="36"/>
      <c r="BO6" s="36"/>
      <c r="BP6" s="36"/>
      <c r="BQ6" s="37">
        <f>AS6</f>
        <v>42.97</v>
      </c>
      <c r="BR6" s="36" t="s">
        <v>580</v>
      </c>
      <c r="BT6" s="39">
        <v>3</v>
      </c>
      <c r="BU6" s="39">
        <v>247</v>
      </c>
      <c r="BY6" s="39">
        <v>247</v>
      </c>
      <c r="BZ6" s="39" t="s">
        <v>583</v>
      </c>
      <c r="CB6" s="36">
        <v>2</v>
      </c>
      <c r="CC6" s="36" t="s">
        <v>584</v>
      </c>
      <c r="CD6" s="36"/>
      <c r="CE6" s="36"/>
      <c r="CF6" s="36" t="s">
        <v>134</v>
      </c>
      <c r="CG6" s="36" t="s">
        <v>585</v>
      </c>
      <c r="CH6" s="36" t="s">
        <v>580</v>
      </c>
      <c r="CJ6" s="67">
        <f t="shared" si="3"/>
        <v>2</v>
      </c>
      <c r="CK6" s="69">
        <f>CO6/CS6</f>
        <v>0.2576420640104507</v>
      </c>
      <c r="CO6" s="39">
        <v>7.8890000000000002</v>
      </c>
      <c r="CP6" s="39" t="s">
        <v>586</v>
      </c>
      <c r="CQ6" s="39" t="s">
        <v>587</v>
      </c>
      <c r="CS6" s="39">
        <v>30.62</v>
      </c>
      <c r="CT6" s="39" t="s">
        <v>580</v>
      </c>
      <c r="CV6" s="42">
        <v>5</v>
      </c>
      <c r="CW6" s="39">
        <v>82.04</v>
      </c>
      <c r="DA6" s="39">
        <v>82.04</v>
      </c>
      <c r="DB6" s="39" t="s">
        <v>588</v>
      </c>
      <c r="DC6" s="39" t="s">
        <v>587</v>
      </c>
      <c r="DD6" s="42">
        <v>3</v>
      </c>
      <c r="DE6" s="69">
        <f>DM6/DI6</f>
        <v>1.9092390039562488</v>
      </c>
      <c r="DI6" s="37">
        <v>42.97</v>
      </c>
      <c r="DJ6" s="39" t="s">
        <v>580</v>
      </c>
      <c r="DM6" s="39">
        <v>82.04</v>
      </c>
      <c r="DN6" s="39" t="s">
        <v>588</v>
      </c>
      <c r="DP6" s="39">
        <v>5</v>
      </c>
      <c r="DQ6" s="39" t="s">
        <v>590</v>
      </c>
      <c r="DU6" s="40">
        <v>0</v>
      </c>
      <c r="DV6" s="39" t="s">
        <v>588</v>
      </c>
      <c r="DY6" s="40">
        <v>0</v>
      </c>
      <c r="DZ6" s="39" t="s">
        <v>588</v>
      </c>
      <c r="EC6" s="40">
        <v>0</v>
      </c>
      <c r="ED6" s="39" t="s">
        <v>588</v>
      </c>
      <c r="EG6" s="40">
        <v>1</v>
      </c>
      <c r="EH6" s="39" t="s">
        <v>588</v>
      </c>
      <c r="EJ6" s="3" t="str">
        <f>IF(EK6&gt;100,"1",IF(EK6&gt;50,"2",IF(EK6&gt;20,"3",IF(EK6&gt;5,"4",IF(EK6&gt;0,"5",IF(EK6=数据缺失,"0"))))))</f>
        <v>3</v>
      </c>
      <c r="EK6" s="37">
        <f>EO6</f>
        <v>22.53</v>
      </c>
      <c r="EL6" s="36"/>
      <c r="EM6" s="36"/>
      <c r="EN6" s="36"/>
      <c r="EO6" s="37">
        <v>22.53</v>
      </c>
      <c r="EP6" s="36" t="s">
        <v>580</v>
      </c>
      <c r="EQ6" s="36"/>
      <c r="ER6" s="3" t="str">
        <f>IF(ES6&gt;100,"1",IF(ES6&gt;50,"2",IF(ES6&gt;20,"3",IF(ES6&gt;5,"4",IF(ES6&gt;0,"5",IF(ES6=数据缺失,"0"))))))</f>
        <v>2</v>
      </c>
      <c r="ES6" s="38">
        <f>EW6</f>
        <v>69.38</v>
      </c>
      <c r="ET6" s="36"/>
      <c r="EU6" s="36"/>
      <c r="EV6" s="36"/>
      <c r="EW6" s="38">
        <v>69.38</v>
      </c>
      <c r="EX6" s="36" t="s">
        <v>580</v>
      </c>
      <c r="EZ6" s="42">
        <v>1</v>
      </c>
      <c r="FA6" s="39">
        <v>234</v>
      </c>
      <c r="FC6" s="39" t="s">
        <v>591</v>
      </c>
      <c r="FE6" s="39">
        <v>234</v>
      </c>
      <c r="FF6" s="39" t="s">
        <v>588</v>
      </c>
      <c r="FH6" s="39">
        <v>6</v>
      </c>
      <c r="FI6" s="39" t="s">
        <v>592</v>
      </c>
      <c r="FM6" s="40">
        <v>4.7008547008547008E-2</v>
      </c>
      <c r="FN6" s="39" t="s">
        <v>588</v>
      </c>
      <c r="FQ6" s="40">
        <v>0.39316239316239315</v>
      </c>
      <c r="FR6" s="39" t="s">
        <v>588</v>
      </c>
      <c r="FU6" s="39">
        <v>0</v>
      </c>
      <c r="FV6" s="39" t="s">
        <v>588</v>
      </c>
      <c r="FY6" s="40">
        <v>0.55982905982905984</v>
      </c>
      <c r="FZ6" s="39" t="s">
        <v>588</v>
      </c>
      <c r="GB6" s="39">
        <v>2</v>
      </c>
      <c r="GC6" s="39" t="s">
        <v>142</v>
      </c>
      <c r="GG6" s="39" t="s">
        <v>142</v>
      </c>
      <c r="GH6" s="39" t="s">
        <v>580</v>
      </c>
      <c r="GJ6" s="42">
        <v>4</v>
      </c>
      <c r="GK6" s="43">
        <f>GN6/GS6</f>
        <v>6.4969928147522518E-3</v>
      </c>
      <c r="GN6" s="74">
        <v>0.27668825000000002</v>
      </c>
      <c r="GO6" s="36" t="s">
        <v>594</v>
      </c>
      <c r="GP6" s="36" t="s">
        <v>146</v>
      </c>
      <c r="GS6" s="69">
        <v>42.587125750200002</v>
      </c>
      <c r="GT6" s="39" t="s">
        <v>595</v>
      </c>
      <c r="GV6" s="67">
        <f>IF(GW6="数据缺失",0,IF(GW6&lt;20%,1,IF(GW6&lt;40%,2,IF(GW6&lt;60%,3,IF(GW6&lt;80%,4,IF(GW6&lt;=100%,5,0))))))</f>
        <v>1</v>
      </c>
      <c r="GW6" s="43">
        <f>HA6/HE6</f>
        <v>0.13103681188787569</v>
      </c>
      <c r="HA6" s="39">
        <v>19.399999999999999</v>
      </c>
      <c r="HB6" s="39" t="s">
        <v>595</v>
      </c>
      <c r="HE6" s="39">
        <v>148.05000000000001</v>
      </c>
      <c r="HF6" s="39" t="s">
        <v>595</v>
      </c>
      <c r="HH6" s="42">
        <v>1</v>
      </c>
      <c r="HI6" s="40">
        <f>HM6/HQ6</f>
        <v>1.5523932729624837E-2</v>
      </c>
      <c r="HM6" s="39">
        <v>0.12</v>
      </c>
      <c r="HN6" s="39" t="s">
        <v>595</v>
      </c>
      <c r="HQ6" s="39">
        <v>7.73</v>
      </c>
      <c r="HR6" s="39" t="s">
        <v>595</v>
      </c>
      <c r="HT6" s="8">
        <f>IF(HU6="数据缺失",0,IF(HU6&lt;5%,4,IF(HU6&lt;=10%,3,IF(HU6&lt;30%,2,IF(HU6&lt;=100%,1,0)))))</f>
        <v>2</v>
      </c>
      <c r="HU6" s="44">
        <f>HY6/IC6</f>
        <v>0.12451478053150193</v>
      </c>
      <c r="HY6" s="39">
        <v>4.17</v>
      </c>
      <c r="HZ6" s="39" t="s">
        <v>146</v>
      </c>
      <c r="IC6" s="39">
        <v>33.49</v>
      </c>
      <c r="ID6" s="39" t="s">
        <v>595</v>
      </c>
      <c r="IF6" s="39">
        <v>0</v>
      </c>
      <c r="IG6" s="39" t="str">
        <f>IK6&amp;","&amp;IO6</f>
        <v>非上市,数据缺失</v>
      </c>
      <c r="IJ6" s="39" t="s">
        <v>596</v>
      </c>
      <c r="IK6" s="39" t="s">
        <v>596</v>
      </c>
      <c r="IL6" s="39" t="s">
        <v>224</v>
      </c>
      <c r="IN6" s="39" t="s">
        <v>598</v>
      </c>
      <c r="IO6" s="39" t="s">
        <v>37</v>
      </c>
      <c r="IP6" s="39" t="s">
        <v>224</v>
      </c>
      <c r="IR6" s="42">
        <v>4</v>
      </c>
      <c r="IS6" s="43">
        <f t="shared" si="4"/>
        <v>0.63096500530222699</v>
      </c>
      <c r="IW6" s="39">
        <v>23.8</v>
      </c>
      <c r="IX6" s="39" t="s">
        <v>224</v>
      </c>
      <c r="IY6" s="39" t="s">
        <v>599</v>
      </c>
      <c r="JA6" s="39">
        <v>37.72</v>
      </c>
      <c r="JB6" s="39" t="s">
        <v>146</v>
      </c>
      <c r="JD6" s="39">
        <v>2</v>
      </c>
      <c r="JE6" s="43">
        <f t="shared" si="5"/>
        <v>5.4379217559133872E-2</v>
      </c>
      <c r="JI6" s="36">
        <v>3.86</v>
      </c>
      <c r="JJ6" s="36" t="s">
        <v>580</v>
      </c>
      <c r="JK6" s="36"/>
      <c r="JL6" s="36"/>
      <c r="JM6" s="36">
        <v>1.32</v>
      </c>
      <c r="JN6" s="36" t="s">
        <v>580</v>
      </c>
      <c r="JO6" s="36"/>
      <c r="JP6" s="36"/>
      <c r="JQ6" s="37">
        <v>58.19</v>
      </c>
      <c r="JR6" s="36" t="s">
        <v>580</v>
      </c>
      <c r="JU6" s="39">
        <v>49.36</v>
      </c>
      <c r="JV6" s="36" t="s">
        <v>580</v>
      </c>
      <c r="JX6" s="39">
        <v>2</v>
      </c>
      <c r="JY6" s="39" t="s">
        <v>155</v>
      </c>
      <c r="KB6" s="39">
        <v>2</v>
      </c>
      <c r="KC6" s="39" t="s">
        <v>155</v>
      </c>
      <c r="KD6" s="39" t="s">
        <v>580</v>
      </c>
      <c r="KF6" s="67">
        <f t="shared" si="6"/>
        <v>2</v>
      </c>
      <c r="KG6" s="40">
        <f t="shared" si="7"/>
        <v>0.43001060445387063</v>
      </c>
      <c r="KK6" s="39">
        <v>16.22</v>
      </c>
      <c r="KL6" s="36" t="s">
        <v>580</v>
      </c>
      <c r="KO6" s="39">
        <v>37.72</v>
      </c>
      <c r="KP6" s="39" t="s">
        <v>146</v>
      </c>
    </row>
    <row r="7" spans="1:303" s="39" customFormat="1" ht="16.5" customHeight="1" x14ac:dyDescent="0.35">
      <c r="B7" s="39" t="s">
        <v>600</v>
      </c>
      <c r="C7" s="36" t="s">
        <v>170</v>
      </c>
      <c r="D7" s="39" t="s">
        <v>196</v>
      </c>
      <c r="E7" s="39" t="s">
        <v>172</v>
      </c>
      <c r="F7" s="36" t="s">
        <v>601</v>
      </c>
      <c r="G7" s="36" t="s">
        <v>199</v>
      </c>
      <c r="H7" s="40">
        <f>61.1/62.34</f>
        <v>0.98010907924286172</v>
      </c>
      <c r="I7" s="42"/>
      <c r="L7" s="3">
        <v>4</v>
      </c>
      <c r="M7" s="36" t="s">
        <v>602</v>
      </c>
      <c r="N7" s="36"/>
      <c r="O7" s="36"/>
      <c r="P7" s="39" t="s">
        <v>603</v>
      </c>
      <c r="Q7" s="36" t="s">
        <v>604</v>
      </c>
      <c r="R7" s="36" t="s">
        <v>605</v>
      </c>
      <c r="T7" s="39" t="s">
        <v>129</v>
      </c>
      <c r="U7" s="40">
        <v>0.34482000000000002</v>
      </c>
      <c r="X7" s="3" t="str">
        <f>IF(Y7&gt;=30%,"1",IF(Y7&gt;=10%,"2",IF(Y7&gt;=0%,"3",IF(Y7&gt;=-10%,"4",IF(Y7&gt;=-30%,"5",IF(Y7&lt;-30%,"6",IF(Y7=数据缺失,"0")))))))</f>
        <v>3</v>
      </c>
      <c r="Y7" s="41">
        <f t="shared" si="0"/>
        <v>4.4239918391771986E-2</v>
      </c>
      <c r="Z7" s="36"/>
      <c r="AA7" s="36"/>
      <c r="AB7" s="36"/>
      <c r="AC7" s="36">
        <v>40.909999999999997</v>
      </c>
      <c r="AD7" s="36" t="s">
        <v>605</v>
      </c>
      <c r="AE7" s="36"/>
      <c r="AF7" s="36"/>
      <c r="AG7" s="36">
        <v>38.049999999999997</v>
      </c>
      <c r="AH7" s="36" t="s">
        <v>605</v>
      </c>
      <c r="AI7" s="36"/>
      <c r="AJ7" s="36"/>
      <c r="AK7" s="36">
        <v>37.549999999999997</v>
      </c>
      <c r="AL7" s="36" t="s">
        <v>606</v>
      </c>
      <c r="AN7" s="3" t="str">
        <f>IF(AO7&gt;=30%,"1",IF(AO7&gt;=10%,"2",IF(AO7&gt;=0%,"3",IF(AO7&gt;=-10%,"4",IF(AO7&gt;=-30%,"5",IF(AO7&lt;-30%,"6",IF(AO7=数据缺失,"0")))))))</f>
        <v>3</v>
      </c>
      <c r="AO7" s="43">
        <f t="shared" si="1"/>
        <v>4.060680597316374E-3</v>
      </c>
      <c r="AP7" s="36"/>
      <c r="AQ7" s="36"/>
      <c r="AR7" s="36"/>
      <c r="AS7" s="37">
        <v>26.47</v>
      </c>
      <c r="AT7" s="36" t="s">
        <v>605</v>
      </c>
      <c r="AU7" s="36"/>
      <c r="AV7" s="36"/>
      <c r="AW7" s="37">
        <v>28.76</v>
      </c>
      <c r="AX7" s="36" t="s">
        <v>605</v>
      </c>
      <c r="AY7" s="36"/>
      <c r="AZ7" s="36"/>
      <c r="BA7" s="37">
        <v>26.44</v>
      </c>
      <c r="BB7" s="36" t="s">
        <v>606</v>
      </c>
      <c r="BD7" s="52" t="str">
        <f>IF(BE7&gt;=500,"1",IF(BE7&gt;=300,"2",IF(BE7&gt;=100,"3",IF(BE7&gt;=50,"4",IF(BE7&gt;=0,"5",IF(BE7=数据缺失,"0"))))))</f>
        <v>5</v>
      </c>
      <c r="BE7" s="8">
        <f t="shared" si="2"/>
        <v>40.909999999999997</v>
      </c>
      <c r="BF7" s="36"/>
      <c r="BG7" s="36"/>
      <c r="BH7" s="36"/>
      <c r="BI7" s="36">
        <f>AC7</f>
        <v>40.909999999999997</v>
      </c>
      <c r="BJ7" s="36" t="s">
        <v>605</v>
      </c>
      <c r="BL7" s="42">
        <v>5</v>
      </c>
      <c r="BM7" s="39">
        <v>26.47</v>
      </c>
      <c r="BQ7" s="39">
        <v>26.47</v>
      </c>
      <c r="BR7" s="39" t="s">
        <v>609</v>
      </c>
      <c r="BT7" s="3" t="str">
        <f>IF(BU7&lt;=20,"1",IF(BU7&lt;=100,"2",IF(BU7&lt;=300,"3",IF(BU7&lt;=500,"4",IF(BU7=未上榜,"5")))))</f>
        <v>3</v>
      </c>
      <c r="BU7" s="36">
        <v>300</v>
      </c>
      <c r="BV7" s="36"/>
      <c r="BW7" s="36"/>
      <c r="BX7" s="36"/>
      <c r="BY7" s="36">
        <v>300</v>
      </c>
      <c r="BZ7" s="47" t="s">
        <v>398</v>
      </c>
      <c r="CB7" s="39">
        <v>1</v>
      </c>
      <c r="CC7" s="36" t="s">
        <v>133</v>
      </c>
      <c r="CF7" s="36" t="s">
        <v>133</v>
      </c>
      <c r="CG7" s="36" t="s">
        <v>610</v>
      </c>
      <c r="CH7" s="36" t="s">
        <v>606</v>
      </c>
      <c r="CJ7" s="67">
        <f t="shared" si="3"/>
        <v>0</v>
      </c>
      <c r="CK7" s="39" t="s">
        <v>37</v>
      </c>
      <c r="CO7" s="39" t="s">
        <v>37</v>
      </c>
      <c r="CS7" s="39">
        <v>40.909999999999997</v>
      </c>
      <c r="CT7" s="39" t="s">
        <v>605</v>
      </c>
      <c r="CV7" s="3">
        <v>2</v>
      </c>
      <c r="CW7" s="36">
        <v>1004.3</v>
      </c>
      <c r="CX7" s="36"/>
      <c r="CY7" s="36"/>
      <c r="CZ7" s="36"/>
      <c r="DA7" s="36">
        <v>1004.3</v>
      </c>
      <c r="DB7" s="36" t="s">
        <v>605</v>
      </c>
      <c r="DD7" s="42">
        <v>2</v>
      </c>
      <c r="DE7" s="69">
        <f>DM7/DI7</f>
        <v>37.941065357007936</v>
      </c>
      <c r="DI7" s="39">
        <v>26.47</v>
      </c>
      <c r="DJ7" s="39" t="s">
        <v>605</v>
      </c>
      <c r="DM7" s="36">
        <v>1004.3</v>
      </c>
      <c r="DN7" s="39" t="s">
        <v>605</v>
      </c>
      <c r="DP7" s="39">
        <v>3</v>
      </c>
      <c r="DQ7" s="39" t="s">
        <v>611</v>
      </c>
      <c r="DU7" s="40">
        <v>0.2994</v>
      </c>
      <c r="DV7" s="39" t="s">
        <v>605</v>
      </c>
      <c r="DY7" s="40">
        <v>0.7006</v>
      </c>
      <c r="DZ7" s="39" t="s">
        <v>605</v>
      </c>
      <c r="EC7" s="40">
        <v>0</v>
      </c>
      <c r="ED7" s="39" t="s">
        <v>605</v>
      </c>
      <c r="EG7" s="40">
        <v>0</v>
      </c>
      <c r="EH7" s="39" t="s">
        <v>605</v>
      </c>
      <c r="EJ7" s="3" t="str">
        <f>IF(EK7&gt;100,"1",IF(EK7&gt;50,"2",IF(EK7&gt;20,"3",IF(EK7&gt;5,"4",IF(EK7&gt;0,"5",IF(EK7=数据缺失,"0"))))))</f>
        <v>2</v>
      </c>
      <c r="EK7" s="37">
        <f>EO7</f>
        <v>84.9</v>
      </c>
      <c r="EL7" s="36"/>
      <c r="EM7" s="36"/>
      <c r="EN7" s="36"/>
      <c r="EO7" s="37">
        <v>84.9</v>
      </c>
      <c r="EP7" s="36" t="s">
        <v>605</v>
      </c>
      <c r="ER7" s="42">
        <v>2</v>
      </c>
      <c r="ES7" s="39">
        <v>75.819999999999993</v>
      </c>
      <c r="EW7" s="39">
        <v>75.819999999999993</v>
      </c>
      <c r="EX7" s="39" t="s">
        <v>605</v>
      </c>
      <c r="EZ7" s="3" t="str">
        <f>IF(FA7&gt;=200,"1",IF(FA7&gt;=100,"2",IF(FA7&gt;=50,"3",IF(FA7&gt;=0,"4",IF(FA7=数据缺失,"0")))))</f>
        <v>1</v>
      </c>
      <c r="FA7" s="38">
        <f>FE7</f>
        <v>285.23</v>
      </c>
      <c r="FB7" s="36"/>
      <c r="FC7" s="36"/>
      <c r="FD7" s="36"/>
      <c r="FE7" s="36">
        <v>285.23</v>
      </c>
      <c r="FF7" s="39" t="s">
        <v>564</v>
      </c>
      <c r="FH7" s="39">
        <v>3</v>
      </c>
      <c r="FI7" s="36" t="s">
        <v>612</v>
      </c>
      <c r="FM7" s="41">
        <v>0.1636</v>
      </c>
      <c r="FN7" s="36" t="s">
        <v>605</v>
      </c>
      <c r="FQ7" s="41">
        <v>0.83640000000000003</v>
      </c>
      <c r="FR7" s="36" t="s">
        <v>605</v>
      </c>
      <c r="FU7" s="36">
        <v>0</v>
      </c>
      <c r="FV7" s="36" t="s">
        <v>605</v>
      </c>
      <c r="FY7" s="36">
        <v>0</v>
      </c>
      <c r="FZ7" s="36" t="s">
        <v>605</v>
      </c>
      <c r="GB7" s="39">
        <v>2</v>
      </c>
      <c r="GC7" s="14" t="s">
        <v>613</v>
      </c>
      <c r="GG7" s="14" t="s">
        <v>613</v>
      </c>
      <c r="GH7" s="39" t="s">
        <v>605</v>
      </c>
      <c r="GJ7" s="42">
        <v>1</v>
      </c>
      <c r="GK7" s="43">
        <f>GN7/GS7</f>
        <v>0.38514597369265319</v>
      </c>
      <c r="GN7" s="39">
        <v>24.01</v>
      </c>
      <c r="GO7" s="39" t="s">
        <v>614</v>
      </c>
      <c r="GP7" s="39" t="s">
        <v>605</v>
      </c>
      <c r="GS7" s="39">
        <v>62.34</v>
      </c>
      <c r="GT7" s="39" t="s">
        <v>605</v>
      </c>
      <c r="GV7" s="42">
        <v>0</v>
      </c>
      <c r="GW7" s="36" t="s">
        <v>37</v>
      </c>
      <c r="GX7" s="36"/>
      <c r="GY7" s="36"/>
      <c r="GZ7" s="36"/>
      <c r="HA7" s="36" t="s">
        <v>37</v>
      </c>
      <c r="HE7" s="39">
        <v>376.84</v>
      </c>
      <c r="HF7" s="36" t="s">
        <v>615</v>
      </c>
      <c r="HH7" s="42">
        <v>1</v>
      </c>
      <c r="HI7" s="40">
        <f>HM7/HQ7</f>
        <v>5.9628770301624126E-2</v>
      </c>
      <c r="HM7" s="39">
        <v>2.57</v>
      </c>
      <c r="HN7" s="36" t="s">
        <v>615</v>
      </c>
      <c r="HQ7" s="37">
        <v>43.1</v>
      </c>
      <c r="HR7" s="36" t="s">
        <v>615</v>
      </c>
      <c r="HT7" s="8">
        <f>IF(HU7="数据缺失",0,IF(HU7&lt;5%,4,IF(HU7&lt;=10%,3,IF(HU7&lt;30%,2,IF(HU7&lt;=100%,1,0)))))</f>
        <v>4</v>
      </c>
      <c r="HU7" s="44">
        <v>0</v>
      </c>
      <c r="HY7" s="39">
        <v>0</v>
      </c>
      <c r="HZ7" s="39" t="s">
        <v>615</v>
      </c>
      <c r="IC7" s="36">
        <v>121.54</v>
      </c>
      <c r="ID7" s="36" t="s">
        <v>615</v>
      </c>
      <c r="IF7" s="39">
        <v>1</v>
      </c>
      <c r="IG7" s="39" t="str">
        <f>IK7&amp;","&amp;IO7</f>
        <v>上市,公司债，企业债</v>
      </c>
      <c r="IJ7" s="36" t="s">
        <v>616</v>
      </c>
      <c r="IK7" s="36" t="s">
        <v>616</v>
      </c>
      <c r="IL7" s="36" t="s">
        <v>224</v>
      </c>
      <c r="IN7" s="39" t="s">
        <v>617</v>
      </c>
      <c r="IO7" s="39" t="s">
        <v>618</v>
      </c>
      <c r="IP7" s="36" t="s">
        <v>224</v>
      </c>
      <c r="IR7" s="42">
        <v>3</v>
      </c>
      <c r="IS7" s="40">
        <f t="shared" si="4"/>
        <v>1.1468304135813618</v>
      </c>
      <c r="IW7" s="39">
        <v>127</v>
      </c>
      <c r="IX7" s="39" t="s">
        <v>224</v>
      </c>
      <c r="JA7" s="39">
        <v>110.74</v>
      </c>
      <c r="JB7" s="36" t="s">
        <v>615</v>
      </c>
      <c r="JD7" s="39">
        <v>3</v>
      </c>
      <c r="JE7" s="43">
        <f t="shared" si="5"/>
        <v>6.6704484445750056E-2</v>
      </c>
      <c r="JI7" s="39">
        <v>13.17</v>
      </c>
      <c r="JJ7" s="39" t="s">
        <v>605</v>
      </c>
      <c r="JM7" s="39">
        <v>1.36</v>
      </c>
      <c r="JN7" s="39" t="s">
        <v>605</v>
      </c>
      <c r="JQ7" s="39">
        <v>161.1</v>
      </c>
      <c r="JR7" s="39" t="s">
        <v>605</v>
      </c>
      <c r="JU7" s="58">
        <v>129.25</v>
      </c>
      <c r="JV7" s="39" t="s">
        <v>605</v>
      </c>
      <c r="JX7" s="39">
        <v>1</v>
      </c>
      <c r="JY7" s="58" t="s">
        <v>619</v>
      </c>
      <c r="KB7" s="39">
        <v>1</v>
      </c>
      <c r="KC7" s="58" t="s">
        <v>619</v>
      </c>
      <c r="KD7" s="39" t="s">
        <v>605</v>
      </c>
      <c r="KF7" s="67">
        <f t="shared" si="6"/>
        <v>2</v>
      </c>
      <c r="KG7" s="40">
        <f t="shared" si="7"/>
        <v>0.22394798627415569</v>
      </c>
      <c r="KK7" s="37">
        <v>24.8</v>
      </c>
      <c r="KL7" s="36" t="s">
        <v>615</v>
      </c>
      <c r="KO7" s="39">
        <v>110.74</v>
      </c>
      <c r="KP7" s="36" t="s">
        <v>615</v>
      </c>
    </row>
    <row r="8" spans="1:303" s="39" customFormat="1" ht="16.5" customHeight="1" x14ac:dyDescent="0.35">
      <c r="B8" s="39" t="s">
        <v>620</v>
      </c>
      <c r="C8" s="36" t="s">
        <v>170</v>
      </c>
      <c r="D8" s="39" t="s">
        <v>196</v>
      </c>
      <c r="E8" s="39" t="s">
        <v>172</v>
      </c>
      <c r="F8" s="36" t="s">
        <v>621</v>
      </c>
      <c r="G8" s="36" t="s">
        <v>174</v>
      </c>
      <c r="H8" s="40">
        <v>0.93420000000000003</v>
      </c>
      <c r="L8" s="42">
        <v>4</v>
      </c>
      <c r="M8" s="36" t="s">
        <v>622</v>
      </c>
      <c r="N8" s="39" t="s">
        <v>623</v>
      </c>
      <c r="O8" s="39" t="s">
        <v>624</v>
      </c>
      <c r="P8" s="39" t="s">
        <v>625</v>
      </c>
      <c r="Q8" s="36" t="s">
        <v>622</v>
      </c>
      <c r="R8" s="39" t="s">
        <v>623</v>
      </c>
      <c r="T8" s="36" t="s">
        <v>622</v>
      </c>
      <c r="U8" s="36" t="s">
        <v>622</v>
      </c>
      <c r="X8" s="3" t="str">
        <f>IF(Y8&gt;=30%,"1",IF(Y8&gt;=10%,"2",IF(Y8&gt;=0%,"3",IF(Y8&gt;=-10%,"4",IF(Y8&gt;=-30%,"5",IF(Y8&lt;-30%,"6",IF(Y8=数据缺失,"0")))))))</f>
        <v>4</v>
      </c>
      <c r="Y8" s="41">
        <f t="shared" si="0"/>
        <v>-1.9056839501509305E-2</v>
      </c>
      <c r="Z8" s="36"/>
      <c r="AA8" s="36"/>
      <c r="AB8" s="36"/>
      <c r="AC8" s="36">
        <v>20.440000000000001</v>
      </c>
      <c r="AD8" s="36" t="s">
        <v>623</v>
      </c>
      <c r="AE8" s="36"/>
      <c r="AF8" s="36"/>
      <c r="AG8" s="36">
        <v>18.89</v>
      </c>
      <c r="AH8" s="36" t="s">
        <v>623</v>
      </c>
      <c r="AI8" s="36"/>
      <c r="AJ8" s="36"/>
      <c r="AK8" s="36">
        <v>21.47</v>
      </c>
      <c r="AL8" s="36" t="s">
        <v>623</v>
      </c>
      <c r="AN8" s="42">
        <v>5</v>
      </c>
      <c r="AO8" s="43">
        <f t="shared" si="1"/>
        <v>-0.10563307347569018</v>
      </c>
      <c r="AS8" s="39">
        <v>10.029999999999999</v>
      </c>
      <c r="AT8" s="39" t="s">
        <v>623</v>
      </c>
      <c r="AW8" s="39">
        <v>10.02</v>
      </c>
      <c r="AX8" s="39" t="s">
        <v>623</v>
      </c>
      <c r="BA8" s="39">
        <v>12.72</v>
      </c>
      <c r="BB8" s="39" t="s">
        <v>623</v>
      </c>
      <c r="BD8" s="42">
        <v>5</v>
      </c>
      <c r="BE8" s="8">
        <f t="shared" si="2"/>
        <v>20.440000000000001</v>
      </c>
      <c r="BI8" s="39">
        <v>20.440000000000001</v>
      </c>
      <c r="BJ8" s="39" t="s">
        <v>623</v>
      </c>
      <c r="BL8" s="42">
        <v>5</v>
      </c>
      <c r="BM8" s="39">
        <v>10.029999999999999</v>
      </c>
      <c r="BQ8" s="39">
        <v>10.029999999999999</v>
      </c>
      <c r="BR8" s="39" t="s">
        <v>623</v>
      </c>
      <c r="BT8" s="3">
        <v>5</v>
      </c>
      <c r="BU8" s="36" t="s">
        <v>179</v>
      </c>
      <c r="BV8" s="36"/>
      <c r="BW8" s="36"/>
      <c r="BX8" s="36"/>
      <c r="BY8" s="36" t="s">
        <v>179</v>
      </c>
      <c r="BZ8" s="36"/>
      <c r="CA8" s="36"/>
      <c r="CB8" s="36">
        <v>1</v>
      </c>
      <c r="CC8" s="36" t="s">
        <v>133</v>
      </c>
      <c r="CD8" s="36"/>
      <c r="CE8" s="36"/>
      <c r="CF8" s="36" t="s">
        <v>133</v>
      </c>
      <c r="CG8" s="36" t="s">
        <v>627</v>
      </c>
      <c r="CH8" s="36" t="s">
        <v>623</v>
      </c>
      <c r="CJ8" s="67">
        <f t="shared" si="3"/>
        <v>2</v>
      </c>
      <c r="CK8" s="69">
        <f>CO8/CS8</f>
        <v>0</v>
      </c>
      <c r="CO8" s="39">
        <v>0</v>
      </c>
      <c r="CP8" s="36"/>
      <c r="CS8" s="39">
        <v>20.440000000000001</v>
      </c>
      <c r="CT8" s="39" t="s">
        <v>623</v>
      </c>
      <c r="CV8" s="42">
        <v>0</v>
      </c>
      <c r="CW8" s="39" t="s">
        <v>37</v>
      </c>
      <c r="DA8" s="39" t="s">
        <v>37</v>
      </c>
      <c r="DB8" s="36"/>
      <c r="DD8" s="42">
        <v>0</v>
      </c>
      <c r="DE8" s="69" t="s">
        <v>37</v>
      </c>
      <c r="DI8" s="39">
        <v>10.029999999999999</v>
      </c>
      <c r="DJ8" s="39" t="s">
        <v>623</v>
      </c>
      <c r="DM8" s="39" t="s">
        <v>37</v>
      </c>
      <c r="DP8" s="39">
        <v>5</v>
      </c>
      <c r="DQ8" s="39" t="s">
        <v>37</v>
      </c>
      <c r="DU8" s="40" t="s">
        <v>37</v>
      </c>
      <c r="DY8" s="40" t="s">
        <v>37</v>
      </c>
      <c r="EC8" s="40" t="s">
        <v>37</v>
      </c>
      <c r="EG8" s="40" t="s">
        <v>37</v>
      </c>
      <c r="EJ8" s="42">
        <v>4</v>
      </c>
      <c r="EK8" s="39">
        <v>6.93</v>
      </c>
      <c r="EO8" s="39">
        <v>6.93</v>
      </c>
      <c r="EP8" s="39" t="s">
        <v>623</v>
      </c>
      <c r="ER8" s="42">
        <v>3</v>
      </c>
      <c r="ES8" s="39">
        <v>22.16</v>
      </c>
      <c r="EW8" s="39">
        <v>22.16</v>
      </c>
      <c r="EX8" s="39" t="s">
        <v>623</v>
      </c>
      <c r="EZ8" s="39">
        <v>0</v>
      </c>
      <c r="FA8" s="39" t="s">
        <v>37</v>
      </c>
      <c r="FE8" s="39" t="s">
        <v>37</v>
      </c>
      <c r="FH8" s="39">
        <v>5</v>
      </c>
      <c r="FI8" s="39" t="s">
        <v>37</v>
      </c>
      <c r="FM8" s="39" t="s">
        <v>37</v>
      </c>
      <c r="FQ8" s="39" t="s">
        <v>37</v>
      </c>
      <c r="FU8" s="39" t="s">
        <v>37</v>
      </c>
      <c r="FY8" s="39" t="s">
        <v>37</v>
      </c>
      <c r="GB8" s="39">
        <v>2</v>
      </c>
      <c r="GC8" s="39" t="s">
        <v>628</v>
      </c>
      <c r="GG8" s="39" t="s">
        <v>629</v>
      </c>
      <c r="GH8" s="39" t="s">
        <v>623</v>
      </c>
      <c r="GJ8" s="42">
        <v>1</v>
      </c>
      <c r="GK8" s="40">
        <v>0.93420000000000003</v>
      </c>
      <c r="GN8" s="39">
        <v>27.25</v>
      </c>
      <c r="GO8" s="39" t="s">
        <v>630</v>
      </c>
      <c r="GP8" s="39" t="s">
        <v>623</v>
      </c>
      <c r="GS8" s="39">
        <v>29.17</v>
      </c>
      <c r="GT8" s="39" t="s">
        <v>623</v>
      </c>
      <c r="GV8" s="42">
        <v>0</v>
      </c>
      <c r="GW8" s="43" t="s">
        <v>37</v>
      </c>
      <c r="HA8" s="39" t="s">
        <v>37</v>
      </c>
      <c r="HE8" s="36">
        <v>159.75</v>
      </c>
      <c r="HF8" s="39" t="s">
        <v>631</v>
      </c>
      <c r="HH8" s="42">
        <v>0</v>
      </c>
      <c r="HI8" s="39" t="s">
        <v>37</v>
      </c>
      <c r="HM8" s="39" t="s">
        <v>37</v>
      </c>
      <c r="HQ8" s="36">
        <v>17.25</v>
      </c>
      <c r="HR8" s="39" t="s">
        <v>631</v>
      </c>
      <c r="HT8" s="8">
        <f>IF(HU8="数据缺失",0,IF(HU8&lt;5%,4,IF(HU8&lt;=10%,3,IF(HU8&lt;30%,2,IF(HU8&lt;=100%,1,0)))))</f>
        <v>4</v>
      </c>
      <c r="HU8" s="44">
        <v>0</v>
      </c>
      <c r="HV8" s="66"/>
      <c r="HW8" s="66"/>
      <c r="HX8" s="66"/>
      <c r="HY8" s="36">
        <v>0</v>
      </c>
      <c r="HZ8" s="39" t="s">
        <v>631</v>
      </c>
      <c r="IC8" s="36">
        <v>33.31</v>
      </c>
      <c r="ID8" s="39" t="s">
        <v>631</v>
      </c>
      <c r="IF8" s="39">
        <v>0</v>
      </c>
      <c r="IG8" s="39" t="str">
        <f>IK8&amp;","&amp;IO8</f>
        <v>非上市,未发债</v>
      </c>
      <c r="IJ8" s="39" t="s">
        <v>596</v>
      </c>
      <c r="IK8" s="39" t="s">
        <v>632</v>
      </c>
      <c r="IL8" s="39" t="s">
        <v>224</v>
      </c>
      <c r="IN8" s="39" t="s">
        <v>598</v>
      </c>
      <c r="IO8" s="39" t="s">
        <v>633</v>
      </c>
      <c r="IP8" s="39" t="s">
        <v>224</v>
      </c>
      <c r="IR8" s="3" t="str">
        <f>IF(IS8&gt;=300%,"1",IF(IS8&gt;=200%,"2",IF(IS8&gt;=100%,"3",IF(IS8&gt;=0%,"4",IF(IS8=数据缺失,"0")))))</f>
        <v>4</v>
      </c>
      <c r="IS8" s="5">
        <f t="shared" si="4"/>
        <v>0.91093749999999996</v>
      </c>
      <c r="IT8" s="36"/>
      <c r="IU8" s="36"/>
      <c r="IV8" s="36"/>
      <c r="IW8" s="36">
        <v>52.47</v>
      </c>
      <c r="IX8" s="36" t="s">
        <v>623</v>
      </c>
      <c r="JA8" s="36">
        <v>57.6</v>
      </c>
      <c r="JB8" s="36" t="s">
        <v>623</v>
      </c>
      <c r="JD8" s="39">
        <v>3</v>
      </c>
      <c r="JE8" s="5">
        <f t="shared" si="5"/>
        <v>7.5279070058769534E-2</v>
      </c>
      <c r="JI8" s="39">
        <v>12.92</v>
      </c>
      <c r="JJ8" s="39" t="s">
        <v>623</v>
      </c>
      <c r="JM8" s="39">
        <v>4.51</v>
      </c>
      <c r="JN8" s="39" t="s">
        <v>623</v>
      </c>
      <c r="JQ8" s="39">
        <v>39.869999999999997</v>
      </c>
      <c r="JR8" s="39" t="s">
        <v>623</v>
      </c>
      <c r="JU8" s="39">
        <v>36.24</v>
      </c>
      <c r="JV8" s="39" t="s">
        <v>623</v>
      </c>
      <c r="JX8" s="39">
        <v>2</v>
      </c>
      <c r="JY8" s="39" t="s">
        <v>634</v>
      </c>
      <c r="KB8" s="39">
        <v>16</v>
      </c>
      <c r="KC8" s="39" t="s">
        <v>634</v>
      </c>
      <c r="KD8" s="39" t="s">
        <v>623</v>
      </c>
      <c r="KF8" s="67">
        <f t="shared" si="6"/>
        <v>2</v>
      </c>
      <c r="KG8" s="40">
        <f t="shared" si="7"/>
        <v>0.3581597222222222</v>
      </c>
      <c r="KK8" s="39">
        <v>20.63</v>
      </c>
      <c r="KL8" s="39" t="s">
        <v>623</v>
      </c>
      <c r="KO8" s="37">
        <v>57.6</v>
      </c>
      <c r="KP8" s="36" t="s">
        <v>623</v>
      </c>
    </row>
    <row r="9" spans="1:303" s="39" customFormat="1" ht="16.5" customHeight="1" x14ac:dyDescent="0.35">
      <c r="B9" s="39" t="s">
        <v>635</v>
      </c>
      <c r="C9" s="39" t="s">
        <v>520</v>
      </c>
      <c r="D9" s="39" t="s">
        <v>325</v>
      </c>
      <c r="E9" s="39" t="s">
        <v>172</v>
      </c>
      <c r="F9" s="113" t="s">
        <v>638</v>
      </c>
      <c r="G9" s="36" t="s">
        <v>163</v>
      </c>
      <c r="H9" s="40">
        <f>48.44/49.08</f>
        <v>0.98696006519967394</v>
      </c>
      <c r="I9" s="44"/>
      <c r="L9" s="42">
        <v>4</v>
      </c>
      <c r="M9" s="39" t="s">
        <v>639</v>
      </c>
      <c r="N9" s="45"/>
      <c r="O9" s="40"/>
      <c r="P9" s="39" t="s">
        <v>126</v>
      </c>
      <c r="Q9" s="39" t="s">
        <v>640</v>
      </c>
      <c r="R9" s="39" t="s">
        <v>641</v>
      </c>
      <c r="T9" s="39" t="s">
        <v>203</v>
      </c>
      <c r="U9" s="46">
        <v>0.84</v>
      </c>
      <c r="X9" s="42">
        <v>2</v>
      </c>
      <c r="Y9" s="43">
        <f t="shared" si="0"/>
        <v>0.2683354744562878</v>
      </c>
      <c r="AC9" s="39">
        <v>67.569999999999993</v>
      </c>
      <c r="AD9" s="39" t="s">
        <v>641</v>
      </c>
      <c r="AG9" s="39">
        <v>42.54</v>
      </c>
      <c r="AH9" s="39" t="s">
        <v>641</v>
      </c>
      <c r="AK9" s="39">
        <v>44.86</v>
      </c>
      <c r="AL9" s="39" t="s">
        <v>641</v>
      </c>
      <c r="AN9" s="42">
        <v>1</v>
      </c>
      <c r="AO9" s="43">
        <f t="shared" si="1"/>
        <v>0.36483156496287777</v>
      </c>
      <c r="AS9" s="39">
        <v>61.91</v>
      </c>
      <c r="AT9" s="39" t="s">
        <v>641</v>
      </c>
      <c r="AW9" s="39">
        <v>37.979999999999997</v>
      </c>
      <c r="AX9" s="39" t="s">
        <v>641</v>
      </c>
      <c r="BA9" s="39">
        <v>34.54</v>
      </c>
      <c r="BB9" s="39" t="s">
        <v>641</v>
      </c>
      <c r="BD9" s="42">
        <v>4</v>
      </c>
      <c r="BE9" s="8">
        <f t="shared" si="2"/>
        <v>67.569999999999993</v>
      </c>
      <c r="BI9" s="39">
        <v>67.569999999999993</v>
      </c>
      <c r="BJ9" s="39" t="s">
        <v>641</v>
      </c>
      <c r="BL9" s="42">
        <v>4</v>
      </c>
      <c r="BM9" s="39">
        <v>61.91</v>
      </c>
      <c r="BQ9" s="39">
        <v>61.91</v>
      </c>
      <c r="BR9" s="39" t="s">
        <v>641</v>
      </c>
      <c r="BT9" s="103">
        <v>2</v>
      </c>
      <c r="BU9" s="103">
        <v>70</v>
      </c>
      <c r="BV9" s="103"/>
      <c r="BW9" s="103"/>
      <c r="BX9" s="103"/>
      <c r="BY9" s="103">
        <v>70</v>
      </c>
      <c r="BZ9" s="109" t="s">
        <v>234</v>
      </c>
      <c r="CB9" s="39">
        <v>1</v>
      </c>
      <c r="CC9" s="39" t="str">
        <f>CF9</f>
        <v>一级</v>
      </c>
      <c r="CF9" s="39" t="s">
        <v>132</v>
      </c>
      <c r="CG9" s="39" t="s">
        <v>642</v>
      </c>
      <c r="CH9" s="39" t="s">
        <v>641</v>
      </c>
      <c r="CJ9" s="67">
        <f t="shared" si="3"/>
        <v>0</v>
      </c>
      <c r="CK9" s="48" t="s">
        <v>37</v>
      </c>
      <c r="CO9" s="49" t="s">
        <v>37</v>
      </c>
      <c r="CS9" s="39">
        <v>67.569999999999993</v>
      </c>
      <c r="CT9" s="39" t="s">
        <v>641</v>
      </c>
      <c r="CV9" s="42">
        <v>4</v>
      </c>
      <c r="CW9" s="39">
        <v>244.38</v>
      </c>
      <c r="DA9" s="49">
        <v>244.38</v>
      </c>
      <c r="DB9" s="49" t="s">
        <v>643</v>
      </c>
      <c r="DD9" s="42">
        <v>1</v>
      </c>
      <c r="DE9" s="69">
        <f>DM9/DI9</f>
        <v>3.9473429171377807</v>
      </c>
      <c r="DI9" s="39">
        <v>61.91</v>
      </c>
      <c r="DJ9" s="39" t="s">
        <v>641</v>
      </c>
      <c r="DM9" s="49">
        <v>244.38</v>
      </c>
      <c r="DN9" s="49" t="s">
        <v>643</v>
      </c>
      <c r="DP9" s="39">
        <v>6</v>
      </c>
      <c r="DQ9" s="39" t="s">
        <v>644</v>
      </c>
      <c r="DU9" s="40">
        <v>0.1099</v>
      </c>
      <c r="DV9" s="49" t="s">
        <v>643</v>
      </c>
      <c r="DY9" s="40">
        <v>0.25009999999999999</v>
      </c>
      <c r="DZ9" s="39" t="s">
        <v>645</v>
      </c>
      <c r="EC9" s="40">
        <v>0.54</v>
      </c>
      <c r="ED9" s="39" t="s">
        <v>645</v>
      </c>
      <c r="EG9" s="40">
        <v>0.10009999999999999</v>
      </c>
      <c r="EH9" s="39" t="s">
        <v>645</v>
      </c>
      <c r="EJ9" s="42">
        <v>3</v>
      </c>
      <c r="EK9" s="39">
        <v>46.9</v>
      </c>
      <c r="EO9" s="39">
        <v>46.9</v>
      </c>
      <c r="EP9" s="39" t="s">
        <v>641</v>
      </c>
      <c r="ER9" s="42">
        <v>3</v>
      </c>
      <c r="ES9" s="39">
        <v>37.799999999999997</v>
      </c>
      <c r="EW9" s="39">
        <v>37.799999999999997</v>
      </c>
      <c r="EX9" s="39" t="s">
        <v>641</v>
      </c>
      <c r="EZ9" s="42">
        <v>1</v>
      </c>
      <c r="FA9" s="39">
        <v>445.93</v>
      </c>
      <c r="FE9" s="39">
        <v>445.93</v>
      </c>
      <c r="FF9" s="39" t="s">
        <v>641</v>
      </c>
      <c r="FH9" s="39">
        <v>4</v>
      </c>
      <c r="FI9" s="39" t="s">
        <v>646</v>
      </c>
      <c r="FM9" s="40">
        <v>0.13369211795044286</v>
      </c>
      <c r="FN9" s="39" t="s">
        <v>641</v>
      </c>
      <c r="FQ9" s="40">
        <v>0.20186119520125573</v>
      </c>
      <c r="FR9" s="39" t="s">
        <v>641</v>
      </c>
      <c r="FU9" s="40">
        <v>0.48832828792465521</v>
      </c>
      <c r="FV9" s="39" t="s">
        <v>641</v>
      </c>
      <c r="FY9" s="40">
        <v>0.17611839892364614</v>
      </c>
      <c r="FZ9" s="39" t="s">
        <v>641</v>
      </c>
      <c r="GB9" s="39">
        <v>2</v>
      </c>
      <c r="GC9" s="39" t="s">
        <v>647</v>
      </c>
      <c r="GG9" s="39" t="s">
        <v>647</v>
      </c>
      <c r="GH9" s="39" t="s">
        <v>641</v>
      </c>
      <c r="GJ9" s="42">
        <v>4</v>
      </c>
      <c r="GK9" s="40">
        <f>GN9/GS9</f>
        <v>1.8337408312958436E-2</v>
      </c>
      <c r="GN9" s="39">
        <v>0.9</v>
      </c>
      <c r="GO9" s="39" t="s">
        <v>648</v>
      </c>
      <c r="GP9" s="39" t="s">
        <v>645</v>
      </c>
      <c r="GS9" s="39">
        <v>49.08</v>
      </c>
      <c r="GT9" s="39" t="s">
        <v>645</v>
      </c>
      <c r="GV9" s="42">
        <v>2</v>
      </c>
      <c r="GW9" s="40">
        <f>HA9/HE9</f>
        <v>0.24294130482216889</v>
      </c>
      <c r="HA9" s="39">
        <v>55.67</v>
      </c>
      <c r="HB9" s="39" t="s">
        <v>649</v>
      </c>
      <c r="HE9" s="39">
        <v>229.15</v>
      </c>
      <c r="HF9" s="39" t="s">
        <v>649</v>
      </c>
      <c r="HH9" s="42">
        <v>1</v>
      </c>
      <c r="HI9" s="43">
        <f>HM9/HQ9</f>
        <v>4.8657718120805368E-2</v>
      </c>
      <c r="HM9" s="48">
        <v>1.1599999999999999</v>
      </c>
      <c r="HN9" s="39" t="s">
        <v>649</v>
      </c>
      <c r="HQ9" s="39">
        <v>23.84</v>
      </c>
      <c r="HR9" s="39" t="s">
        <v>649</v>
      </c>
      <c r="HT9" s="42">
        <v>4</v>
      </c>
      <c r="HU9" s="42">
        <f>HY9/IC9</f>
        <v>0</v>
      </c>
      <c r="HY9" s="39">
        <v>0</v>
      </c>
      <c r="HZ9" s="39" t="s">
        <v>649</v>
      </c>
      <c r="IC9" s="39">
        <v>39.53</v>
      </c>
      <c r="ID9" s="39" t="s">
        <v>649</v>
      </c>
      <c r="IF9" s="39">
        <v>0</v>
      </c>
      <c r="IG9" s="39" t="s">
        <v>650</v>
      </c>
      <c r="IJ9" s="39" t="s">
        <v>632</v>
      </c>
      <c r="IK9" s="39" t="s">
        <v>632</v>
      </c>
      <c r="IL9" s="39" t="s">
        <v>224</v>
      </c>
      <c r="IN9" s="39" t="s">
        <v>598</v>
      </c>
      <c r="IO9" s="39" t="s">
        <v>37</v>
      </c>
      <c r="IP9" s="39" t="s">
        <v>224</v>
      </c>
      <c r="IR9" s="42">
        <v>3</v>
      </c>
      <c r="IS9" s="43">
        <f t="shared" si="4"/>
        <v>1.2174995553974746</v>
      </c>
      <c r="IW9" s="39">
        <v>68.459999999999994</v>
      </c>
      <c r="IX9" s="39" t="s">
        <v>224</v>
      </c>
      <c r="JA9" s="39">
        <v>56.23</v>
      </c>
      <c r="JB9" s="39" t="s">
        <v>649</v>
      </c>
      <c r="JD9" s="39">
        <v>4</v>
      </c>
      <c r="JE9" s="43">
        <f t="shared" si="5"/>
        <v>9.447314995204617E-2</v>
      </c>
      <c r="JI9" s="39">
        <v>13.83</v>
      </c>
      <c r="JJ9" s="39" t="s">
        <v>649</v>
      </c>
      <c r="JM9" s="39">
        <v>2.36</v>
      </c>
      <c r="JN9" s="39" t="s">
        <v>649</v>
      </c>
      <c r="JQ9" s="39">
        <v>69.64</v>
      </c>
      <c r="JR9" s="39" t="s">
        <v>649</v>
      </c>
      <c r="JU9" s="51">
        <v>54.42</v>
      </c>
      <c r="JV9" s="39" t="s">
        <v>649</v>
      </c>
      <c r="JX9" s="39">
        <v>2</v>
      </c>
      <c r="JY9" s="39" t="s">
        <v>651</v>
      </c>
      <c r="KB9" s="39">
        <v>10</v>
      </c>
      <c r="KC9" s="39" t="s">
        <v>651</v>
      </c>
      <c r="KD9" s="39" t="s">
        <v>649</v>
      </c>
      <c r="KF9" s="67">
        <f t="shared" si="6"/>
        <v>1</v>
      </c>
      <c r="KG9" s="43">
        <f t="shared" si="7"/>
        <v>0.19562511115063136</v>
      </c>
      <c r="KK9" s="39">
        <v>11</v>
      </c>
      <c r="KL9" s="39" t="s">
        <v>649</v>
      </c>
      <c r="KO9" s="39">
        <v>56.23</v>
      </c>
      <c r="KP9" s="39" t="s">
        <v>649</v>
      </c>
    </row>
    <row r="10" spans="1:303" s="39" customFormat="1" ht="16.5" customHeight="1" x14ac:dyDescent="0.35">
      <c r="B10" s="39" t="s">
        <v>652</v>
      </c>
      <c r="C10" s="36" t="s">
        <v>170</v>
      </c>
      <c r="D10" s="39" t="s">
        <v>196</v>
      </c>
      <c r="E10" s="39" t="s">
        <v>172</v>
      </c>
      <c r="F10" s="36" t="s">
        <v>653</v>
      </c>
      <c r="G10" s="36" t="s">
        <v>199</v>
      </c>
      <c r="H10" s="40">
        <v>0.99419999999999997</v>
      </c>
      <c r="L10" s="3">
        <v>3</v>
      </c>
      <c r="M10" s="36" t="s">
        <v>654</v>
      </c>
      <c r="N10" s="36"/>
      <c r="O10" s="36"/>
      <c r="P10" s="39" t="s">
        <v>603</v>
      </c>
      <c r="Q10" s="36" t="s">
        <v>604</v>
      </c>
      <c r="R10" s="36" t="s">
        <v>655</v>
      </c>
      <c r="T10" s="39" t="s">
        <v>656</v>
      </c>
      <c r="U10" s="44">
        <v>0.62960000000000005</v>
      </c>
      <c r="X10" s="3" t="str">
        <f>IF(Y10&gt;=30%,"1",IF(Y10&gt;=10%,"2",IF(Y10&gt;=0%,"3",IF(Y10&gt;=-10%,"4",IF(Y10&gt;=-30%,"5",IF(Y10&lt;-30%,"6",IF(Y10=数据缺失,"0")))))))</f>
        <v>4</v>
      </c>
      <c r="Y10" s="41">
        <f t="shared" si="0"/>
        <v>-4.8631616044003873E-2</v>
      </c>
      <c r="Z10" s="36"/>
      <c r="AA10" s="36"/>
      <c r="AB10" s="36"/>
      <c r="AC10" s="36">
        <v>10.77</v>
      </c>
      <c r="AD10" s="36" t="s">
        <v>655</v>
      </c>
      <c r="AE10" s="36"/>
      <c r="AF10" s="36"/>
      <c r="AG10" s="36">
        <v>12.11</v>
      </c>
      <c r="AH10" s="36" t="s">
        <v>655</v>
      </c>
      <c r="AI10" s="36"/>
      <c r="AJ10" s="36"/>
      <c r="AK10" s="36">
        <v>11.95</v>
      </c>
      <c r="AL10" s="36" t="s">
        <v>655</v>
      </c>
      <c r="AN10" s="3" t="str">
        <f>IF(AO10&gt;=30%,"1",IF(AO10&gt;=10%,"2",IF(AO10&gt;=0%,"3",IF(AO10&gt;=-10%,"4",IF(AO10&gt;=-30%,"5",IF(AO10&lt;-30%,"6",IF(AO10=数据缺失,"0")))))))</f>
        <v>5</v>
      </c>
      <c r="AO10" s="43">
        <f t="shared" si="1"/>
        <v>-0.10824968204327562</v>
      </c>
      <c r="AP10" s="36"/>
      <c r="AQ10" s="36"/>
      <c r="AR10" s="36"/>
      <c r="AS10" s="37">
        <v>6.2091000000000003</v>
      </c>
      <c r="AT10" s="36" t="s">
        <v>655</v>
      </c>
      <c r="AU10" s="36"/>
      <c r="AV10" s="36"/>
      <c r="AW10" s="37">
        <v>5.8335999999999997</v>
      </c>
      <c r="AX10" s="36" t="s">
        <v>655</v>
      </c>
      <c r="AY10" s="36"/>
      <c r="AZ10" s="36"/>
      <c r="BA10" s="37">
        <v>8.1120000000000001</v>
      </c>
      <c r="BB10" s="36" t="s">
        <v>655</v>
      </c>
      <c r="BD10" s="52" t="str">
        <f>IF(BE10&gt;=500,"1",IF(BE10&gt;=300,"2",IF(BE10&gt;=100,"3",IF(BE10&gt;=50,"4",IF(BE10&gt;=0,"5",IF(BE10=数据缺失,"0"))))))</f>
        <v>5</v>
      </c>
      <c r="BE10" s="8">
        <f t="shared" si="2"/>
        <v>10.77</v>
      </c>
      <c r="BF10" s="36"/>
      <c r="BG10" s="36"/>
      <c r="BH10" s="36"/>
      <c r="BI10" s="36">
        <f>AC10</f>
        <v>10.77</v>
      </c>
      <c r="BJ10" s="36" t="str">
        <f>AD10</f>
        <v>评级20160219</v>
      </c>
      <c r="BL10" s="3" t="str">
        <f>IF(BM10&gt;=500,"1",IF(BM10&gt;=300,"2",IF(BM10&gt;=100,"3",IF(BM10&gt;=50,"4",IF(BM10&gt;=0,"5",IF(BM10=数据缺失,"0"))))))</f>
        <v>5</v>
      </c>
      <c r="BM10" s="37">
        <f>BQ10</f>
        <v>6.2091000000000003</v>
      </c>
      <c r="BN10" s="36"/>
      <c r="BO10" s="36"/>
      <c r="BP10" s="36"/>
      <c r="BQ10" s="37">
        <f>AS10</f>
        <v>6.2091000000000003</v>
      </c>
      <c r="BR10" s="36" t="str">
        <f>AT10</f>
        <v>评级20160219</v>
      </c>
      <c r="BT10" s="3" t="str">
        <f>IF(BU10&lt;=20,"1",IF(BU10&lt;=100,"2",IF(BU10&lt;=300,"3",IF(BU10&lt;=500,"4",IF(BU10=未上榜,"5")))))</f>
        <v>4</v>
      </c>
      <c r="BU10" s="36">
        <v>371</v>
      </c>
      <c r="BV10" s="36"/>
      <c r="BW10" s="36"/>
      <c r="BX10" s="36"/>
      <c r="BY10" s="36">
        <v>371</v>
      </c>
      <c r="BZ10" s="36" t="s">
        <v>657</v>
      </c>
      <c r="CB10" s="36">
        <v>2</v>
      </c>
      <c r="CC10" s="36" t="s">
        <v>584</v>
      </c>
      <c r="CD10" s="36"/>
      <c r="CE10" s="36"/>
      <c r="CF10" s="36" t="s">
        <v>584</v>
      </c>
      <c r="CG10" s="36" t="s">
        <v>658</v>
      </c>
      <c r="CH10" s="36" t="s">
        <v>655</v>
      </c>
      <c r="CJ10" s="67">
        <f t="shared" si="3"/>
        <v>0</v>
      </c>
      <c r="CK10" s="53" t="s">
        <v>37</v>
      </c>
      <c r="CL10" s="36"/>
      <c r="CM10" s="36"/>
      <c r="CN10" s="36"/>
      <c r="CO10" s="36" t="s">
        <v>37</v>
      </c>
      <c r="CP10" s="36"/>
      <c r="CQ10" s="36"/>
      <c r="CR10" s="36"/>
      <c r="CS10" s="37">
        <f>BI10</f>
        <v>10.77</v>
      </c>
      <c r="CT10" s="36" t="s">
        <v>659</v>
      </c>
      <c r="CV10" s="42">
        <v>5</v>
      </c>
      <c r="CW10" s="39">
        <v>36.33</v>
      </c>
      <c r="DA10" s="39">
        <v>36.33</v>
      </c>
      <c r="DB10" s="39" t="s">
        <v>655</v>
      </c>
      <c r="DC10" s="39" t="s">
        <v>660</v>
      </c>
      <c r="DD10" s="3" t="str">
        <f>IF(DE10&gt;5,"2",IF(DE10&gt;=2,"1",IF(DE10&gt;=0,"3",IF(DE10=数据缺失,"0"))))</f>
        <v>2</v>
      </c>
      <c r="DE10" s="38">
        <f>DM10/DI10</f>
        <v>5.8510895298835575</v>
      </c>
      <c r="DF10" s="36"/>
      <c r="DG10" s="36"/>
      <c r="DH10" s="36"/>
      <c r="DI10" s="37">
        <f>BQ10</f>
        <v>6.2091000000000003</v>
      </c>
      <c r="DJ10" s="36" t="s">
        <v>659</v>
      </c>
      <c r="DK10" s="36"/>
      <c r="DL10" s="36"/>
      <c r="DM10" s="54">
        <f>DA10</f>
        <v>36.33</v>
      </c>
      <c r="DN10" s="55" t="str">
        <f>DB10</f>
        <v>评级20160219</v>
      </c>
      <c r="DP10" s="39">
        <v>6</v>
      </c>
      <c r="DQ10" s="39" t="s">
        <v>661</v>
      </c>
      <c r="DU10" s="40">
        <v>0.43640000000000001</v>
      </c>
      <c r="DV10" s="39" t="s">
        <v>655</v>
      </c>
      <c r="DY10" s="40">
        <v>0</v>
      </c>
      <c r="DZ10" s="39" t="s">
        <v>655</v>
      </c>
      <c r="EC10" s="40">
        <v>0</v>
      </c>
      <c r="ED10" s="39" t="s">
        <v>655</v>
      </c>
      <c r="EG10" s="40">
        <v>0.56359999999999999</v>
      </c>
      <c r="EH10" s="39" t="s">
        <v>655</v>
      </c>
      <c r="EJ10" s="42">
        <v>3</v>
      </c>
      <c r="EK10" s="39">
        <v>30.22</v>
      </c>
      <c r="EO10" s="39">
        <v>30.22</v>
      </c>
      <c r="EP10" s="39" t="s">
        <v>655</v>
      </c>
      <c r="ER10" s="42">
        <v>5</v>
      </c>
      <c r="ES10" s="39">
        <v>4.16</v>
      </c>
      <c r="EW10" s="39">
        <v>4.16</v>
      </c>
      <c r="EX10" s="39" t="s">
        <v>655</v>
      </c>
      <c r="EZ10" s="39">
        <v>0</v>
      </c>
      <c r="FA10" s="39" t="s">
        <v>37</v>
      </c>
      <c r="FE10" s="39" t="s">
        <v>37</v>
      </c>
      <c r="FH10" s="39">
        <v>5</v>
      </c>
      <c r="FI10" s="39" t="s">
        <v>37</v>
      </c>
      <c r="FM10" s="39" t="s">
        <v>37</v>
      </c>
      <c r="FQ10" s="39" t="s">
        <v>37</v>
      </c>
      <c r="FU10" s="39" t="s">
        <v>37</v>
      </c>
      <c r="FY10" s="39" t="s">
        <v>37</v>
      </c>
      <c r="GB10" s="39">
        <v>2</v>
      </c>
      <c r="GC10" s="56" t="s">
        <v>662</v>
      </c>
      <c r="GG10" s="56" t="s">
        <v>662</v>
      </c>
      <c r="GH10" s="36" t="s">
        <v>655</v>
      </c>
      <c r="GJ10" s="3" t="str">
        <f>IF(GK10&gt;=20%,"1",IF(GK10&gt;=10%,"2",IF(GK10&gt;=5%,"3",IF(GK10&gt;=0%,"4",IF(GK10=数据缺失,"0")))))</f>
        <v>1</v>
      </c>
      <c r="GK10" s="5">
        <f>GN10/GS10</f>
        <v>0.21562952243125905</v>
      </c>
      <c r="GL10" s="36"/>
      <c r="GM10" s="36"/>
      <c r="GN10" s="36">
        <v>2.98</v>
      </c>
      <c r="GO10" s="36" t="s">
        <v>663</v>
      </c>
      <c r="GP10" s="36" t="s">
        <v>655</v>
      </c>
      <c r="GQ10" s="36"/>
      <c r="GR10" s="36"/>
      <c r="GS10" s="36">
        <v>13.82</v>
      </c>
      <c r="GT10" s="36" t="s">
        <v>655</v>
      </c>
      <c r="GV10" s="42">
        <v>1</v>
      </c>
      <c r="GW10" s="43">
        <f>HA10/HE10</f>
        <v>1.1824715974959425E-2</v>
      </c>
      <c r="HA10" s="39">
        <v>0.51</v>
      </c>
      <c r="HB10" s="39" t="s">
        <v>615</v>
      </c>
      <c r="HE10" s="39">
        <v>43.13</v>
      </c>
      <c r="HF10" s="39" t="s">
        <v>615</v>
      </c>
      <c r="HH10" s="42">
        <v>1</v>
      </c>
      <c r="HI10" s="40">
        <f>HM10/HQ10</f>
        <v>2.4131274131274132E-2</v>
      </c>
      <c r="HM10" s="39">
        <v>0.5</v>
      </c>
      <c r="HN10" s="39" t="s">
        <v>615</v>
      </c>
      <c r="HQ10" s="36">
        <v>20.72</v>
      </c>
      <c r="HR10" s="39" t="s">
        <v>615</v>
      </c>
      <c r="HT10" s="42">
        <v>4</v>
      </c>
      <c r="HU10" s="39">
        <v>0</v>
      </c>
      <c r="HY10" s="39">
        <v>0</v>
      </c>
      <c r="HZ10" s="39" t="s">
        <v>615</v>
      </c>
      <c r="IC10" s="39">
        <v>0</v>
      </c>
      <c r="ID10" s="39" t="s">
        <v>615</v>
      </c>
      <c r="IF10" s="39">
        <v>0</v>
      </c>
      <c r="IG10" s="39" t="str">
        <f>IK10&amp;","&amp;IO10</f>
        <v>上市,数据缺失</v>
      </c>
      <c r="IJ10" s="39" t="s">
        <v>151</v>
      </c>
      <c r="IK10" s="39" t="s">
        <v>151</v>
      </c>
      <c r="IL10" s="39" t="s">
        <v>224</v>
      </c>
      <c r="IN10" s="39" t="s">
        <v>598</v>
      </c>
      <c r="IO10" s="39" t="s">
        <v>37</v>
      </c>
      <c r="IP10" s="39" t="s">
        <v>224</v>
      </c>
      <c r="IR10" s="42">
        <v>4</v>
      </c>
      <c r="IS10" s="57">
        <v>0</v>
      </c>
      <c r="IW10" s="39">
        <v>0</v>
      </c>
      <c r="IX10" s="39" t="s">
        <v>224</v>
      </c>
      <c r="JA10" s="39">
        <v>30.23</v>
      </c>
      <c r="JB10" s="39" t="s">
        <v>615</v>
      </c>
      <c r="JD10" s="39">
        <v>4</v>
      </c>
      <c r="JE10" s="43">
        <f t="shared" si="5"/>
        <v>0.17341743088288922</v>
      </c>
      <c r="JI10" s="39">
        <v>6.42</v>
      </c>
      <c r="JJ10" s="39" t="s">
        <v>655</v>
      </c>
      <c r="JM10" s="39">
        <v>58.3</v>
      </c>
      <c r="JN10" s="39" t="s">
        <v>655</v>
      </c>
      <c r="JQ10" s="39">
        <v>1.27</v>
      </c>
      <c r="JR10" s="39" t="s">
        <v>655</v>
      </c>
      <c r="JU10" s="58">
        <v>0</v>
      </c>
      <c r="JV10" s="39" t="s">
        <v>655</v>
      </c>
      <c r="JX10" s="39">
        <v>2</v>
      </c>
      <c r="JY10" s="58" t="s">
        <v>664</v>
      </c>
      <c r="KB10" s="39">
        <v>17</v>
      </c>
      <c r="KC10" s="58" t="s">
        <v>664</v>
      </c>
      <c r="KD10" s="39" t="s">
        <v>615</v>
      </c>
      <c r="KF10" s="67">
        <f t="shared" si="6"/>
        <v>1</v>
      </c>
      <c r="KG10" s="40">
        <f>KK10/KO9</f>
        <v>9.4255735372576928E-3</v>
      </c>
      <c r="KK10" s="39">
        <v>0.53</v>
      </c>
      <c r="KL10" s="39" t="s">
        <v>615</v>
      </c>
      <c r="KO10" s="39">
        <v>30.23</v>
      </c>
      <c r="KP10" s="36" t="s">
        <v>615</v>
      </c>
    </row>
    <row r="11" spans="1:303" s="39" customFormat="1" ht="16.5" customHeight="1" x14ac:dyDescent="0.35">
      <c r="B11" s="39" t="s">
        <v>665</v>
      </c>
      <c r="C11" s="39" t="s">
        <v>666</v>
      </c>
      <c r="D11" s="39" t="s">
        <v>325</v>
      </c>
      <c r="E11" s="39" t="s">
        <v>172</v>
      </c>
      <c r="F11" s="113" t="s">
        <v>667</v>
      </c>
      <c r="G11" s="36" t="s">
        <v>371</v>
      </c>
      <c r="H11" s="40">
        <f>232.71/262.92</f>
        <v>0.88509812870835236</v>
      </c>
      <c r="I11" s="75"/>
      <c r="L11" s="42">
        <v>3</v>
      </c>
      <c r="M11" s="39" t="s">
        <v>669</v>
      </c>
      <c r="P11" s="39" t="s">
        <v>670</v>
      </c>
      <c r="Q11" s="39" t="s">
        <v>671</v>
      </c>
      <c r="R11" s="39" t="s">
        <v>672</v>
      </c>
      <c r="T11" s="39" t="s">
        <v>109</v>
      </c>
      <c r="U11" s="46">
        <v>1</v>
      </c>
      <c r="X11" s="39">
        <f>IF(Y11="数据缺失",0,IF(Y11&lt;-30%,6,IF(Y11&lt;-10%,5,IF(Y11&lt;0%,4,IF(Y11&lt;10%,3,IF(Y11&lt;30%,2,1))))))</f>
        <v>1</v>
      </c>
      <c r="Y11" s="43">
        <f t="shared" si="0"/>
        <v>0.33724202626641647</v>
      </c>
      <c r="AC11" s="39">
        <v>225</v>
      </c>
      <c r="AD11" s="39" t="s">
        <v>674</v>
      </c>
      <c r="AG11" s="39">
        <v>205</v>
      </c>
      <c r="AH11" s="39" t="s">
        <v>674</v>
      </c>
      <c r="AK11" s="39">
        <v>130</v>
      </c>
      <c r="AL11" s="39" t="s">
        <v>675</v>
      </c>
      <c r="AN11" s="39">
        <f>IF(AO11="数据缺失",0,IF(AO11&lt;-30%,6,IF(AO11&lt;-10%,5,IF(AO11&lt;0%,4,IF(AO11&lt;10%,3,IF(AO11&lt;30%,2,1))))))</f>
        <v>2</v>
      </c>
      <c r="AO11" s="43">
        <f t="shared" si="1"/>
        <v>0.17662337662337663</v>
      </c>
      <c r="AS11" s="39">
        <v>86</v>
      </c>
      <c r="AT11" s="39" t="s">
        <v>674</v>
      </c>
      <c r="AW11" s="39">
        <v>110</v>
      </c>
      <c r="AX11" s="39" t="s">
        <v>674</v>
      </c>
      <c r="BA11" s="39">
        <v>70</v>
      </c>
      <c r="BB11" s="39" t="s">
        <v>675</v>
      </c>
      <c r="BD11" s="39">
        <f>IF(BE11="数据缺失",0,IF(BE11&lt;50,5,IF(BE11&lt;100,4,IF(BE11&lt;300,3,IF(BE11&lt;500,2,1)))))</f>
        <v>3</v>
      </c>
      <c r="BE11" s="8">
        <f t="shared" si="2"/>
        <v>225</v>
      </c>
      <c r="BI11" s="39">
        <v>225</v>
      </c>
      <c r="BJ11" s="39" t="s">
        <v>674</v>
      </c>
      <c r="BL11" s="39">
        <f>IF(BM11="数据缺失",0,IF(BM11&lt;50,5,IF(BM11&lt;100,4,IF(BM11&lt;300,3,IF(BM11&lt;500,2,1)))))</f>
        <v>4</v>
      </c>
      <c r="BM11" s="39">
        <v>86</v>
      </c>
      <c r="BQ11" s="39">
        <v>86</v>
      </c>
      <c r="BR11" s="39" t="s">
        <v>674</v>
      </c>
      <c r="BT11" s="39">
        <v>5</v>
      </c>
      <c r="BU11" s="39" t="s">
        <v>179</v>
      </c>
      <c r="BY11" s="39" t="s">
        <v>179</v>
      </c>
      <c r="BZ11" s="76" t="s">
        <v>529</v>
      </c>
      <c r="CB11" s="36">
        <v>1</v>
      </c>
      <c r="CC11" s="36" t="s">
        <v>133</v>
      </c>
      <c r="CD11" s="36"/>
      <c r="CE11" s="36"/>
      <c r="CF11" s="36" t="s">
        <v>133</v>
      </c>
      <c r="CG11" s="36" t="s">
        <v>698</v>
      </c>
      <c r="CH11" s="36" t="s">
        <v>1241</v>
      </c>
      <c r="CI11" s="36" t="s">
        <v>1242</v>
      </c>
      <c r="CJ11" s="67">
        <f t="shared" si="3"/>
        <v>0</v>
      </c>
      <c r="CK11" s="48" t="s">
        <v>37</v>
      </c>
      <c r="CO11" s="49" t="s">
        <v>37</v>
      </c>
      <c r="CS11" s="39">
        <f>BI11</f>
        <v>225</v>
      </c>
      <c r="CT11" s="39" t="str">
        <f>BJ11</f>
        <v>评级20140704</v>
      </c>
      <c r="CV11" s="42">
        <f>IF(CW11="数据缺失",0,IF(CW11&lt;0,0,IF(CW11&lt;100,5,IF(CW11&lt;500,4,IF(CW11&lt;1000,3,IF(CW11&lt;2000,2,1))))))</f>
        <v>3</v>
      </c>
      <c r="CW11" s="39">
        <f>DA11</f>
        <v>732.58</v>
      </c>
      <c r="DA11" s="49">
        <v>732.58</v>
      </c>
      <c r="DB11" s="49" t="s">
        <v>677</v>
      </c>
      <c r="DD11" s="39">
        <f>IF(DE11="数据缺失",0,IF(DE11&lt;0,0,IF(DE11&lt;2,3,IF(DE11&lt;=5,1,2))))</f>
        <v>2</v>
      </c>
      <c r="DE11" s="69">
        <f>DM11/DI11</f>
        <v>8.518372093023256</v>
      </c>
      <c r="DI11" s="39">
        <v>86</v>
      </c>
      <c r="DJ11" s="39" t="s">
        <v>674</v>
      </c>
      <c r="DM11" s="49">
        <v>732.58</v>
      </c>
      <c r="DN11" s="49" t="s">
        <v>677</v>
      </c>
      <c r="DP11" s="39">
        <v>2</v>
      </c>
      <c r="DQ11" s="39" t="s">
        <v>678</v>
      </c>
      <c r="DU11" s="40">
        <v>0.34238796598370169</v>
      </c>
      <c r="DV11" s="39" t="s">
        <v>674</v>
      </c>
      <c r="DY11" s="40">
        <v>0.39797158028365121</v>
      </c>
      <c r="DZ11" s="39" t="s">
        <v>674</v>
      </c>
      <c r="EC11" s="40">
        <v>0.25964045373264721</v>
      </c>
      <c r="ED11" s="39" t="s">
        <v>674</v>
      </c>
      <c r="EG11" s="40">
        <v>0</v>
      </c>
      <c r="EH11" s="39" t="s">
        <v>674</v>
      </c>
      <c r="EJ11" s="39">
        <f>IF(EK11="数据缺失",0,IF(EK11&lt;0%,0,IF(EK11&lt;=5%,5,IF(EK11&lt;=20%,4,IF(EK11&lt;=50%,3,IF(EK11&lt;=100,2,1))))))</f>
        <v>2</v>
      </c>
      <c r="EK11" s="39">
        <f>EO11</f>
        <v>83</v>
      </c>
      <c r="EO11" s="39">
        <v>83</v>
      </c>
      <c r="EP11" s="39" t="s">
        <v>674</v>
      </c>
      <c r="ER11" s="42">
        <f>IF(ES11="数据缺失",0,IF(ES11&lt;0%,0,IF(ES11&lt;=5%,5,IF(ES11&lt;=20%,4,IF(ES11&lt;=50%,3,IF(ES11&lt;=100,2,1))))))</f>
        <v>1</v>
      </c>
      <c r="ES11" s="39">
        <f>EW11</f>
        <v>206</v>
      </c>
      <c r="EW11" s="39">
        <v>206</v>
      </c>
      <c r="EX11" s="39" t="s">
        <v>674</v>
      </c>
      <c r="EZ11" s="39">
        <v>0</v>
      </c>
      <c r="FA11" s="39" t="s">
        <v>37</v>
      </c>
      <c r="FE11" s="39" t="s">
        <v>37</v>
      </c>
      <c r="FH11" s="39">
        <v>5</v>
      </c>
      <c r="FI11" s="39" t="s">
        <v>37</v>
      </c>
      <c r="FM11" s="39" t="s">
        <v>37</v>
      </c>
      <c r="FQ11" s="39" t="s">
        <v>37</v>
      </c>
      <c r="FU11" s="39" t="s">
        <v>37</v>
      </c>
      <c r="FY11" s="39" t="s">
        <v>37</v>
      </c>
      <c r="GB11" s="39">
        <v>3</v>
      </c>
      <c r="GC11" s="40" t="s">
        <v>679</v>
      </c>
      <c r="GG11" s="40" t="s">
        <v>679</v>
      </c>
      <c r="GH11" s="39" t="s">
        <v>674</v>
      </c>
      <c r="GJ11" s="39">
        <f>IF(GK11="数据缺失",0,IF(GK11&lt;0%,0,IF(GK11&lt;=5%,4,IF(GK11&lt;10%,3,IF(GK11&lt;20%,2,1)))))</f>
        <v>2</v>
      </c>
      <c r="GK11" s="43">
        <f>GN11/GS11</f>
        <v>0.1326263965158114</v>
      </c>
      <c r="GN11" s="39">
        <v>35.020000000000003</v>
      </c>
      <c r="GO11" s="39" t="s">
        <v>680</v>
      </c>
      <c r="GP11" s="39" t="s">
        <v>674</v>
      </c>
      <c r="GS11" s="39">
        <v>264.05</v>
      </c>
      <c r="GT11" s="39" t="s">
        <v>674</v>
      </c>
      <c r="GV11" s="39">
        <v>1</v>
      </c>
      <c r="GW11" s="43">
        <f>HA11/HE11*100%</f>
        <v>0.19986746189529489</v>
      </c>
      <c r="HA11" s="48">
        <v>256.36</v>
      </c>
      <c r="HB11" s="39" t="s">
        <v>674</v>
      </c>
      <c r="HE11" s="39">
        <v>1282.6500000000001</v>
      </c>
      <c r="HF11" s="39" t="s">
        <v>672</v>
      </c>
      <c r="HH11" s="6">
        <f>IF(HI11="数据缺失",0,IF(HI11&lt;20%,1,IF(HI11&lt;40%,2,IF(HI11&lt;60%,3,IF(HI11&lt;80%,4,IF(HI11&lt;=100%,5,0))))))</f>
        <v>1</v>
      </c>
      <c r="HI11" s="41">
        <f>HM11/HQ11</f>
        <v>0</v>
      </c>
      <c r="HJ11" s="36"/>
      <c r="HK11" s="36"/>
      <c r="HL11" s="36"/>
      <c r="HM11" s="53">
        <v>0</v>
      </c>
      <c r="HN11" s="36" t="s">
        <v>366</v>
      </c>
      <c r="HQ11" s="39">
        <v>217.89</v>
      </c>
      <c r="HR11" s="39" t="s">
        <v>375</v>
      </c>
      <c r="HT11" s="39">
        <v>3</v>
      </c>
      <c r="HU11" s="40">
        <f>HY11/IC11:IC11</f>
        <v>6.1782645766380269E-2</v>
      </c>
      <c r="HY11" s="39">
        <v>18.84</v>
      </c>
      <c r="HZ11" s="39" t="s">
        <v>375</v>
      </c>
      <c r="IC11" s="39">
        <v>304.94</v>
      </c>
      <c r="ID11" s="39" t="s">
        <v>375</v>
      </c>
      <c r="IF11" s="39">
        <v>3</v>
      </c>
      <c r="IG11" s="39" t="s">
        <v>682</v>
      </c>
      <c r="IJ11" s="39" t="s">
        <v>632</v>
      </c>
      <c r="IK11" s="39" t="s">
        <v>632</v>
      </c>
      <c r="IL11" s="39" t="s">
        <v>224</v>
      </c>
      <c r="IN11" s="39" t="s">
        <v>683</v>
      </c>
      <c r="IO11" s="39" t="s">
        <v>684</v>
      </c>
      <c r="IP11" s="39" t="s">
        <v>224</v>
      </c>
      <c r="IR11" s="42">
        <f>IF(IS11="数据缺失",0,IF(IS11&lt;0%,0,IF(IS11&lt;=100%,4,IF(IS11&lt;200%,3,IF(IS11&lt;300%,2,1)))))</f>
        <v>3</v>
      </c>
      <c r="IS11" s="43">
        <f>IW11/JA11</f>
        <v>1.3446023818670765</v>
      </c>
      <c r="IW11" s="39">
        <v>560</v>
      </c>
      <c r="IX11" s="39" t="s">
        <v>674</v>
      </c>
      <c r="JA11" s="39">
        <v>416.48</v>
      </c>
      <c r="JB11" s="39" t="s">
        <v>674</v>
      </c>
      <c r="JD11" s="39">
        <f>IF(JE11="数据缺失",0,IF(JE11&lt;0%,0,IF(JE11&lt;4%,1,IF(JE11&lt;6%,2,IF(JE11&lt;8%,3,4)))))</f>
        <v>4</v>
      </c>
      <c r="JE11" s="43">
        <f t="shared" si="5"/>
        <v>9.6291656355687538E-2</v>
      </c>
      <c r="JI11" s="39">
        <v>74.709999999999994</v>
      </c>
      <c r="JJ11" s="39" t="s">
        <v>674</v>
      </c>
      <c r="JM11" s="39">
        <v>2.4</v>
      </c>
      <c r="JN11" s="39" t="s">
        <v>674</v>
      </c>
      <c r="JQ11" s="39">
        <v>366.02</v>
      </c>
      <c r="JR11" s="39" t="s">
        <v>674</v>
      </c>
      <c r="JU11" s="39">
        <v>280.54000000000002</v>
      </c>
      <c r="JV11" s="39" t="s">
        <v>672</v>
      </c>
      <c r="JX11" s="39">
        <v>1</v>
      </c>
      <c r="JY11" s="39" t="s">
        <v>685</v>
      </c>
      <c r="KB11" s="39">
        <v>3</v>
      </c>
      <c r="KC11" s="39" t="s">
        <v>685</v>
      </c>
      <c r="KD11" s="39" t="s">
        <v>672</v>
      </c>
      <c r="KF11" s="67">
        <f t="shared" si="6"/>
        <v>1</v>
      </c>
      <c r="KG11" s="77">
        <v>0</v>
      </c>
      <c r="KK11" s="39">
        <v>0</v>
      </c>
      <c r="KL11" s="39" t="s">
        <v>674</v>
      </c>
      <c r="KO11" s="39">
        <v>416.48</v>
      </c>
      <c r="KP11" s="39" t="s">
        <v>674</v>
      </c>
    </row>
    <row r="12" spans="1:303" s="39" customFormat="1" ht="16.5" hidden="1" customHeight="1" x14ac:dyDescent="0.35">
      <c r="B12" s="39" t="s">
        <v>686</v>
      </c>
      <c r="C12" s="39" t="s">
        <v>325</v>
      </c>
      <c r="D12" s="39" t="s">
        <v>666</v>
      </c>
      <c r="E12" s="39" t="s">
        <v>172</v>
      </c>
      <c r="F12" s="113" t="s">
        <v>687</v>
      </c>
      <c r="G12" s="36" t="s">
        <v>163</v>
      </c>
      <c r="H12" s="40">
        <v>7.0000000000000007E-2</v>
      </c>
      <c r="I12" s="40" t="s">
        <v>344</v>
      </c>
      <c r="J12" s="39" t="s">
        <v>689</v>
      </c>
      <c r="L12" s="42"/>
      <c r="U12" s="46"/>
      <c r="Y12" s="43"/>
      <c r="AC12" s="66"/>
      <c r="AD12" s="66"/>
      <c r="AE12" s="66"/>
      <c r="AO12" s="43"/>
      <c r="BE12" s="8">
        <f t="shared" si="2"/>
        <v>0</v>
      </c>
      <c r="BZ12" s="76"/>
      <c r="CJ12" s="67"/>
      <c r="CK12" s="48"/>
      <c r="CO12" s="49"/>
      <c r="CV12" s="42"/>
      <c r="DA12" s="49"/>
      <c r="DB12" s="49"/>
      <c r="DE12" s="69"/>
      <c r="DM12" s="49"/>
      <c r="DN12" s="49"/>
      <c r="DU12" s="40"/>
      <c r="DY12" s="40"/>
      <c r="EC12" s="40"/>
      <c r="EG12" s="40"/>
      <c r="EK12" s="78"/>
      <c r="EO12" s="79"/>
      <c r="ER12" s="42"/>
      <c r="ES12" s="78"/>
      <c r="EW12" s="78"/>
      <c r="FM12" s="40"/>
      <c r="FP12" s="39">
        <f>44856.53+45253.33+85335.43+93556+80859.56+55893.26+114527+82003</f>
        <v>602284.11</v>
      </c>
      <c r="FQ12" s="40"/>
      <c r="FU12" s="40"/>
      <c r="FY12" s="40"/>
      <c r="GK12" s="43"/>
      <c r="GW12" s="43"/>
      <c r="HA12" s="48"/>
      <c r="HI12" s="43"/>
      <c r="HM12" s="48"/>
      <c r="IR12" s="42"/>
      <c r="IS12" s="43"/>
      <c r="JE12" s="43"/>
      <c r="KG12" s="43"/>
    </row>
    <row r="13" spans="1:303" s="39" customFormat="1" ht="16.5" hidden="1" customHeight="1" x14ac:dyDescent="0.35">
      <c r="B13" s="39" t="s">
        <v>686</v>
      </c>
      <c r="C13" s="39" t="s">
        <v>325</v>
      </c>
      <c r="D13" s="39" t="s">
        <v>666</v>
      </c>
      <c r="E13" s="39" t="s">
        <v>172</v>
      </c>
      <c r="F13" s="113" t="s">
        <v>687</v>
      </c>
      <c r="G13" s="36" t="s">
        <v>690</v>
      </c>
      <c r="H13" s="40">
        <v>5.8999999999999997E-2</v>
      </c>
      <c r="I13" s="40" t="s">
        <v>344</v>
      </c>
      <c r="J13" s="39" t="s">
        <v>689</v>
      </c>
      <c r="L13" s="42"/>
      <c r="U13" s="46"/>
      <c r="Y13" s="43"/>
      <c r="AO13" s="43"/>
      <c r="BE13" s="8">
        <f t="shared" si="2"/>
        <v>0</v>
      </c>
      <c r="BZ13" s="76"/>
      <c r="CJ13" s="67"/>
      <c r="CK13" s="48"/>
      <c r="CO13" s="49"/>
      <c r="CV13" s="42"/>
      <c r="DA13" s="49"/>
      <c r="DB13" s="49"/>
      <c r="DE13" s="69"/>
      <c r="DM13" s="49"/>
      <c r="DN13" s="49"/>
      <c r="DU13" s="40"/>
      <c r="DY13" s="40"/>
      <c r="EC13" s="40"/>
      <c r="EG13" s="40"/>
      <c r="EK13" s="78"/>
      <c r="EO13" s="79"/>
      <c r="ER13" s="42"/>
      <c r="ES13" s="78"/>
      <c r="EW13" s="78"/>
      <c r="FJ13" s="59"/>
      <c r="FM13" s="40"/>
      <c r="FQ13" s="40"/>
      <c r="FU13" s="40"/>
      <c r="FY13" s="40"/>
      <c r="GK13" s="43"/>
      <c r="GW13" s="43"/>
      <c r="HA13" s="48"/>
      <c r="HI13" s="43"/>
      <c r="HM13" s="48"/>
      <c r="IR13" s="42"/>
      <c r="IS13" s="43"/>
      <c r="JE13" s="43"/>
      <c r="KG13" s="43"/>
    </row>
    <row r="14" spans="1:303" s="39" customFormat="1" ht="16.5" customHeight="1" x14ac:dyDescent="0.35">
      <c r="B14" s="39" t="s">
        <v>691</v>
      </c>
      <c r="C14" s="39" t="s">
        <v>325</v>
      </c>
      <c r="D14" s="39" t="s">
        <v>666</v>
      </c>
      <c r="E14" s="39" t="s">
        <v>172</v>
      </c>
      <c r="F14" s="113" t="s">
        <v>692</v>
      </c>
      <c r="G14" s="36" t="s">
        <v>690</v>
      </c>
      <c r="H14" s="40">
        <f>(220.82+3.44+8.06)/234.24</f>
        <v>0.99180327868852447</v>
      </c>
      <c r="I14" s="40"/>
      <c r="L14" s="42">
        <v>3</v>
      </c>
      <c r="M14" s="39" t="s">
        <v>693</v>
      </c>
      <c r="P14" s="39" t="s">
        <v>603</v>
      </c>
      <c r="Q14" s="39" t="s">
        <v>694</v>
      </c>
      <c r="R14" s="39" t="s">
        <v>695</v>
      </c>
      <c r="T14" s="39" t="s">
        <v>109</v>
      </c>
      <c r="U14" s="46">
        <v>1</v>
      </c>
      <c r="X14" s="39">
        <f>IF(Y14="数据缺失",0,IF(Y14&lt;-30%,6,IF(Y14&lt;-10%,5,IF(Y14&lt;0%,4,IF(Y14&lt;10%,3,IF(Y14&lt;30%,2,1))))))</f>
        <v>4</v>
      </c>
      <c r="Y14" s="43">
        <f>((AC14-AG14)/AG14+(AG14-AK14)/AK14)/2*100%</f>
        <v>-3.114428447801117E-2</v>
      </c>
      <c r="AC14" s="39">
        <v>214</v>
      </c>
      <c r="AD14" s="39" t="s">
        <v>695</v>
      </c>
      <c r="AG14" s="39">
        <v>223</v>
      </c>
      <c r="AH14" s="39" t="s">
        <v>695</v>
      </c>
      <c r="AK14" s="39">
        <v>228</v>
      </c>
      <c r="AL14" s="39" t="s">
        <v>695</v>
      </c>
      <c r="AN14" s="39">
        <f>IF(AO14="数据缺失",0,IF(AO14&lt;-30%,6,IF(AO14&lt;-10%,5,IF(AO14&lt;0%,4,IF(AO14&lt;10%,3,IF(AO14&lt;30%,2,1))))))</f>
        <v>4</v>
      </c>
      <c r="AO14" s="43">
        <f>((AS14-AW14)/AW14+(AW14-BA14)/BA14)/2*100%</f>
        <v>-9.3020177657509265E-2</v>
      </c>
      <c r="AS14" s="39">
        <v>157</v>
      </c>
      <c r="AT14" s="39" t="s">
        <v>695</v>
      </c>
      <c r="AW14" s="39">
        <v>178</v>
      </c>
      <c r="AX14" s="39" t="s">
        <v>695</v>
      </c>
      <c r="BA14" s="39">
        <v>191</v>
      </c>
      <c r="BB14" s="39" t="s">
        <v>695</v>
      </c>
      <c r="BD14" s="39">
        <f>IF(BE14="数据缺失",0,IF(BE14&lt;50,5,IF(BE14&lt;100,4,IF(BE14&lt;300,3,IF(BE14&lt;500,2,1)))))</f>
        <v>3</v>
      </c>
      <c r="BE14" s="8">
        <f t="shared" si="2"/>
        <v>214</v>
      </c>
      <c r="BI14" s="39">
        <v>214</v>
      </c>
      <c r="BJ14" s="39" t="s">
        <v>695</v>
      </c>
      <c r="BL14" s="39">
        <f>IF(BM14="数据缺失",0,IF(BM14&lt;50,5,IF(BM14&lt;100,4,IF(BM14&lt;300,3,IF(BM14&lt;500,2,1)))))</f>
        <v>3</v>
      </c>
      <c r="BM14" s="39">
        <v>157</v>
      </c>
      <c r="BQ14" s="39">
        <v>157</v>
      </c>
      <c r="BR14" s="39" t="s">
        <v>695</v>
      </c>
      <c r="BT14" s="39">
        <v>1</v>
      </c>
      <c r="BU14" s="39">
        <v>18</v>
      </c>
      <c r="BY14" s="39">
        <v>18</v>
      </c>
      <c r="BZ14" s="76" t="s">
        <v>331</v>
      </c>
      <c r="CB14" s="39">
        <v>1</v>
      </c>
      <c r="CC14" s="39" t="s">
        <v>133</v>
      </c>
      <c r="CF14" s="39" t="s">
        <v>133</v>
      </c>
      <c r="CG14" s="39" t="s">
        <v>698</v>
      </c>
      <c r="CH14" s="39" t="s">
        <v>699</v>
      </c>
      <c r="CJ14" s="67">
        <f t="shared" si="3"/>
        <v>2</v>
      </c>
      <c r="CK14" s="48">
        <f>CO14/CS14</f>
        <v>0.34616822429906541</v>
      </c>
      <c r="CO14" s="55">
        <v>74.08</v>
      </c>
      <c r="CP14" s="36" t="s">
        <v>695</v>
      </c>
      <c r="CQ14" s="36"/>
      <c r="CS14" s="39">
        <v>214</v>
      </c>
      <c r="CT14" s="39" t="s">
        <v>695</v>
      </c>
      <c r="CV14" s="42">
        <f t="shared" ref="CV14:CV29" si="8">IF(CW14="数据缺失",0,IF(CW14&lt;0,0,IF(CW14&lt;100,5,IF(CW14&lt;500,4,IF(CW14&lt;1000,3,IF(CW14&lt;2000,2,1))))))</f>
        <v>0</v>
      </c>
      <c r="CW14" s="39" t="s">
        <v>37</v>
      </c>
      <c r="DA14" s="39" t="s">
        <v>37</v>
      </c>
      <c r="DB14" s="49"/>
      <c r="DD14" s="39">
        <v>0</v>
      </c>
      <c r="DE14" s="69" t="s">
        <v>37</v>
      </c>
      <c r="DI14" s="39">
        <v>157</v>
      </c>
      <c r="DJ14" s="39" t="s">
        <v>695</v>
      </c>
      <c r="DM14" s="49" t="s">
        <v>37</v>
      </c>
      <c r="DN14" s="49"/>
      <c r="DP14" s="39">
        <v>5</v>
      </c>
      <c r="DQ14" s="14" t="s">
        <v>700</v>
      </c>
      <c r="DR14" s="39" t="s">
        <v>695</v>
      </c>
      <c r="DU14" s="40" t="s">
        <v>37</v>
      </c>
      <c r="DY14" s="40" t="s">
        <v>37</v>
      </c>
      <c r="EC14" s="40" t="s">
        <v>37</v>
      </c>
      <c r="EG14" s="40" t="s">
        <v>37</v>
      </c>
      <c r="EJ14" s="42">
        <f>IF(EK14="数据缺失",0,IF(EK14&lt;0%,0,IF(EK14&lt;=5%,5,IF(EK14&lt;=20%,4,IF(EK14&lt;=50%,3,IF(EK14&lt;=100,2,1))))))</f>
        <v>1</v>
      </c>
      <c r="EK14" s="39">
        <f>266+46</f>
        <v>312</v>
      </c>
      <c r="EO14" s="39">
        <f>266+46</f>
        <v>312</v>
      </c>
      <c r="EP14" s="39" t="s">
        <v>695</v>
      </c>
      <c r="ER14" s="42">
        <f>IF(ES14="数据缺失",0,IF(ES14&lt;0%,0,IF(ES14&lt;=5%,5,IF(ES14&lt;=20%,4,IF(ES14&lt;=50%,3,IF(ES14&lt;=100,2,1))))))</f>
        <v>1</v>
      </c>
      <c r="ES14" s="39">
        <f>183+17</f>
        <v>200</v>
      </c>
      <c r="EW14" s="39">
        <f>183+17</f>
        <v>200</v>
      </c>
      <c r="EX14" s="39" t="s">
        <v>695</v>
      </c>
      <c r="EZ14" s="39">
        <v>0</v>
      </c>
      <c r="FA14" s="39" t="s">
        <v>37</v>
      </c>
      <c r="FE14" s="39" t="s">
        <v>37</v>
      </c>
      <c r="FH14" s="39">
        <v>5</v>
      </c>
      <c r="FI14" s="39" t="s">
        <v>37</v>
      </c>
      <c r="FM14" s="39" t="s">
        <v>37</v>
      </c>
      <c r="FQ14" s="39" t="s">
        <v>37</v>
      </c>
      <c r="FU14" s="39" t="s">
        <v>37</v>
      </c>
      <c r="FY14" s="39" t="s">
        <v>37</v>
      </c>
      <c r="GB14" s="39">
        <v>2</v>
      </c>
      <c r="GC14" s="39" t="s">
        <v>701</v>
      </c>
      <c r="GG14" s="39" t="s">
        <v>701</v>
      </c>
      <c r="GH14" s="39" t="s">
        <v>695</v>
      </c>
      <c r="GJ14" s="39">
        <v>4</v>
      </c>
      <c r="GK14" s="43">
        <f>GN14/GS14</f>
        <v>4.9094945355191252E-2</v>
      </c>
      <c r="GN14" s="39">
        <v>11.5</v>
      </c>
      <c r="GO14" s="39" t="s">
        <v>702</v>
      </c>
      <c r="GP14" s="39" t="s">
        <v>695</v>
      </c>
      <c r="GS14" s="51">
        <v>234.24</v>
      </c>
      <c r="GT14" s="39" t="s">
        <v>695</v>
      </c>
      <c r="GV14" s="39">
        <f>IF(GW14="数据缺失",0,IF(GW14&lt;20%,1,IF(GW14&lt;40%,2,IF(GW14&lt;60%,3,IF(GW14&lt;80%,4,IF(GW14&lt;=100%,5,0))))))</f>
        <v>1</v>
      </c>
      <c r="GW14" s="43">
        <f>HA14/HE14*100%</f>
        <v>8.8718342287029933E-2</v>
      </c>
      <c r="HA14" s="48">
        <v>104.04</v>
      </c>
      <c r="HB14" s="39" t="s">
        <v>615</v>
      </c>
      <c r="HE14" s="39">
        <v>1172.7</v>
      </c>
      <c r="HF14" s="39" t="s">
        <v>615</v>
      </c>
      <c r="HH14" s="39">
        <v>1</v>
      </c>
      <c r="HI14" s="43">
        <f>HM14/HQ14</f>
        <v>4.7273649505452701E-2</v>
      </c>
      <c r="HM14" s="48">
        <v>9.32</v>
      </c>
      <c r="HN14" s="39" t="s">
        <v>615</v>
      </c>
      <c r="HQ14" s="39">
        <v>197.15</v>
      </c>
      <c r="HR14" s="39" t="s">
        <v>615</v>
      </c>
      <c r="HT14" s="39">
        <v>1</v>
      </c>
      <c r="HU14" s="40">
        <f>HY14/IC14</f>
        <v>0.65377810612112564</v>
      </c>
      <c r="HY14" s="39">
        <v>134.5</v>
      </c>
      <c r="HZ14" s="39" t="s">
        <v>615</v>
      </c>
      <c r="IC14" s="69">
        <v>205.72729300770001</v>
      </c>
      <c r="ID14" s="39" t="s">
        <v>615</v>
      </c>
      <c r="IF14" s="39">
        <v>3</v>
      </c>
      <c r="IG14" s="39" t="s">
        <v>703</v>
      </c>
      <c r="IJ14" s="39" t="s">
        <v>632</v>
      </c>
      <c r="IK14" s="39" t="s">
        <v>632</v>
      </c>
      <c r="IL14" s="39" t="s">
        <v>224</v>
      </c>
      <c r="IN14" s="39" t="s">
        <v>617</v>
      </c>
      <c r="IO14" s="39" t="s">
        <v>704</v>
      </c>
      <c r="IP14" s="39" t="s">
        <v>224</v>
      </c>
      <c r="IR14" s="42">
        <v>0</v>
      </c>
      <c r="IS14" s="43" t="s">
        <v>37</v>
      </c>
      <c r="IW14" s="39" t="s">
        <v>37</v>
      </c>
      <c r="JA14" s="39">
        <v>192.53</v>
      </c>
      <c r="JB14" s="39" t="s">
        <v>615</v>
      </c>
      <c r="JD14" s="39">
        <v>1</v>
      </c>
      <c r="JE14" s="43">
        <f>JI14/JM14/(JQ14+JU14)*2</f>
        <v>1.9979160844792006E-2</v>
      </c>
      <c r="JI14" s="39">
        <v>51.83</v>
      </c>
      <c r="JJ14" s="39" t="s">
        <v>695</v>
      </c>
      <c r="JM14" s="39">
        <v>5.01</v>
      </c>
      <c r="JN14" s="39" t="s">
        <v>695</v>
      </c>
      <c r="JQ14" s="39">
        <v>564.34</v>
      </c>
      <c r="JR14" s="39" t="s">
        <v>695</v>
      </c>
      <c r="JU14" s="39">
        <v>471.27</v>
      </c>
      <c r="JV14" s="39" t="s">
        <v>695</v>
      </c>
      <c r="JX14" s="39">
        <v>2</v>
      </c>
      <c r="JY14" s="39" t="s">
        <v>504</v>
      </c>
      <c r="KB14" s="39">
        <v>10</v>
      </c>
      <c r="KC14" s="39" t="s">
        <v>504</v>
      </c>
      <c r="KD14" s="39" t="s">
        <v>695</v>
      </c>
      <c r="KF14" s="39">
        <f>IF(KG14="数据缺失",0,IF(KG14&lt;0%,0,IF(KG14&lt;20%,1,IF(KG14&lt;50%,2,IF(KG14&lt;100%,3,4)))))</f>
        <v>2</v>
      </c>
      <c r="KG14" s="43">
        <f>KK14/KO14</f>
        <v>0.35672362748662551</v>
      </c>
      <c r="KK14" s="39">
        <v>68.680000000000007</v>
      </c>
      <c r="KL14" s="39" t="s">
        <v>615</v>
      </c>
      <c r="KO14" s="39">
        <v>192.53</v>
      </c>
      <c r="KP14" s="39" t="s">
        <v>615</v>
      </c>
    </row>
    <row r="15" spans="1:303" s="39" customFormat="1" ht="16.5" hidden="1" customHeight="1" x14ac:dyDescent="0.35">
      <c r="F15" s="113"/>
      <c r="G15" s="36"/>
      <c r="H15" s="40"/>
      <c r="I15" s="40"/>
      <c r="L15" s="42"/>
      <c r="U15" s="46"/>
      <c r="Y15" s="43"/>
      <c r="AO15" s="43"/>
      <c r="BE15" s="8">
        <f t="shared" si="2"/>
        <v>0</v>
      </c>
      <c r="BZ15" s="76"/>
      <c r="CJ15" s="67"/>
      <c r="CK15" s="48"/>
      <c r="CO15" s="55"/>
      <c r="CP15" s="36"/>
      <c r="CQ15" s="36"/>
      <c r="CV15" s="42"/>
      <c r="DB15" s="49"/>
      <c r="DE15" s="69"/>
      <c r="DM15" s="49"/>
      <c r="DN15" s="49"/>
      <c r="DQ15" s="14"/>
      <c r="DU15" s="40"/>
      <c r="DY15" s="40"/>
      <c r="EC15" s="40"/>
      <c r="EG15" s="40"/>
      <c r="EJ15" s="42"/>
      <c r="ER15" s="42"/>
      <c r="GK15" s="43"/>
      <c r="GS15" s="51"/>
      <c r="GW15" s="43"/>
      <c r="HA15" s="48"/>
      <c r="HI15" s="43"/>
      <c r="HM15" s="48"/>
      <c r="HU15" s="40"/>
      <c r="IC15" s="69"/>
      <c r="IR15" s="42"/>
      <c r="IS15" s="43"/>
      <c r="JD15" s="107">
        <f>IF(JE15="数据缺失",0,IF(JE15&lt;0%,0,IF(JE15&lt;4%,1,IF(JE15&lt;6%,2,IF(JE15&lt;8%,3,4)))))</f>
        <v>4</v>
      </c>
      <c r="JE15" s="108">
        <f>JI15/JM15/(JQ15+JU15)*2</f>
        <v>8.1966265627446522E-2</v>
      </c>
      <c r="JF15" s="107"/>
      <c r="JG15" s="107"/>
      <c r="JH15" s="107"/>
      <c r="JI15" s="107">
        <v>50.7</v>
      </c>
      <c r="JJ15" s="107" t="s">
        <v>1239</v>
      </c>
      <c r="JK15" s="107"/>
      <c r="JL15" s="107"/>
      <c r="JM15" s="107">
        <v>1.27</v>
      </c>
      <c r="JN15" s="107" t="s">
        <v>1239</v>
      </c>
      <c r="JO15" s="107"/>
      <c r="JP15" s="107"/>
      <c r="JQ15" s="107">
        <v>502.82</v>
      </c>
      <c r="JR15" s="107" t="s">
        <v>1239</v>
      </c>
      <c r="JS15" s="107"/>
      <c r="JT15" s="107"/>
      <c r="JU15" s="107">
        <v>471.27</v>
      </c>
      <c r="JV15" s="107" t="s">
        <v>1239</v>
      </c>
      <c r="KG15" s="43"/>
    </row>
    <row r="16" spans="1:303" s="39" customFormat="1" ht="16.5" customHeight="1" x14ac:dyDescent="0.35">
      <c r="B16" s="39" t="s">
        <v>691</v>
      </c>
      <c r="C16" s="39" t="s">
        <v>325</v>
      </c>
      <c r="D16" s="39" t="s">
        <v>666</v>
      </c>
      <c r="E16" s="39" t="s">
        <v>172</v>
      </c>
      <c r="F16" s="113" t="s">
        <v>706</v>
      </c>
      <c r="G16" s="36" t="s">
        <v>371</v>
      </c>
      <c r="H16" s="40">
        <v>0.98599999999999999</v>
      </c>
      <c r="L16" s="42">
        <v>3</v>
      </c>
      <c r="M16" s="39" t="s">
        <v>693</v>
      </c>
      <c r="P16" s="39" t="s">
        <v>603</v>
      </c>
      <c r="Q16" s="39" t="s">
        <v>694</v>
      </c>
      <c r="R16" s="39" t="s">
        <v>708</v>
      </c>
      <c r="T16" s="39" t="s">
        <v>709</v>
      </c>
      <c r="U16" s="44">
        <v>1</v>
      </c>
      <c r="X16" s="39">
        <f t="shared" ref="X16:X22" si="9">IF(Y16="数据缺失",0,IF(Y16&lt;-30%,6,IF(Y16&lt;-10%,5,IF(Y16&lt;0%,4,IF(Y16&lt;10%,3,IF(Y16&lt;30%,2,1))))))</f>
        <v>1</v>
      </c>
      <c r="Y16" s="43">
        <f>((AC16-AG16)/AG16+(AG16-AK16)/AK16)/2*100%</f>
        <v>0.48903508771929827</v>
      </c>
      <c r="AC16" s="39">
        <v>223</v>
      </c>
      <c r="AD16" s="39" t="s">
        <v>708</v>
      </c>
      <c r="AG16" s="39">
        <f>211+17</f>
        <v>228</v>
      </c>
      <c r="AH16" s="39" t="s">
        <v>708</v>
      </c>
      <c r="AK16" s="39">
        <f>102+12</f>
        <v>114</v>
      </c>
      <c r="AL16" s="39" t="s">
        <v>708</v>
      </c>
      <c r="AN16" s="39">
        <f>IF(AO16="数据缺失",0,IF(AO16&lt;-30%,6,IF(AO16&lt;-10%,5,IF(AO16&lt;0%,4,IF(AO16&lt;10%,3,IF(AO16&lt;30%,2,1))))))</f>
        <v>1</v>
      </c>
      <c r="AO16" s="43">
        <f>((AS16-AW16)/AW16+(AW16-BA16)/BA16)/2*100%</f>
        <v>0.59002155836156456</v>
      </c>
      <c r="AS16" s="39">
        <f>136.3+41.9</f>
        <v>178.20000000000002</v>
      </c>
      <c r="AT16" s="39" t="s">
        <v>708</v>
      </c>
      <c r="AW16" s="39">
        <f>170+21</f>
        <v>191</v>
      </c>
      <c r="AX16" s="39" t="s">
        <v>708</v>
      </c>
      <c r="BA16" s="39">
        <f>67+18</f>
        <v>85</v>
      </c>
      <c r="BB16" s="39" t="s">
        <v>708</v>
      </c>
      <c r="BD16" s="39">
        <f>IF(BE16="数据缺失",0,IF(BE16&lt;50,5,IF(BE16&lt;100,4,IF(BE16&lt;300,3,IF(BE16&lt;500,2,1)))))</f>
        <v>3</v>
      </c>
      <c r="BE16" s="8">
        <f t="shared" si="2"/>
        <v>223</v>
      </c>
      <c r="BI16" s="39">
        <f>AC16</f>
        <v>223</v>
      </c>
      <c r="BJ16" s="39" t="s">
        <v>708</v>
      </c>
      <c r="BL16" s="39">
        <f>IF(BM16="数据缺失",0,IF(BM16&lt;50,5,IF(BM16&lt;100,4,IF(BM16&lt;300,3,IF(BM16&lt;500,2,1)))))</f>
        <v>3</v>
      </c>
      <c r="BM16" s="39">
        <v>178.2</v>
      </c>
      <c r="BQ16" s="39">
        <f>AS16</f>
        <v>178.20000000000002</v>
      </c>
      <c r="BR16" s="39" t="s">
        <v>708</v>
      </c>
      <c r="BT16" s="39">
        <v>2</v>
      </c>
      <c r="BU16" s="39">
        <v>23</v>
      </c>
      <c r="BY16" s="39">
        <v>23</v>
      </c>
      <c r="BZ16" s="76" t="s">
        <v>710</v>
      </c>
      <c r="CB16" s="39">
        <v>1</v>
      </c>
      <c r="CC16" s="39" t="s">
        <v>133</v>
      </c>
      <c r="CF16" s="39" t="s">
        <v>711</v>
      </c>
      <c r="CG16" s="39" t="s">
        <v>698</v>
      </c>
      <c r="CH16" s="39" t="s">
        <v>699</v>
      </c>
      <c r="CJ16" s="67">
        <f t="shared" si="3"/>
        <v>2</v>
      </c>
      <c r="CK16" s="69">
        <f>CO16/CS16</f>
        <v>1.1470852017937221</v>
      </c>
      <c r="CO16" s="36">
        <v>255.8</v>
      </c>
      <c r="CP16" s="36" t="s">
        <v>712</v>
      </c>
      <c r="CQ16" s="36"/>
      <c r="CS16" s="39">
        <f>AC16</f>
        <v>223</v>
      </c>
      <c r="CT16" s="39" t="s">
        <v>708</v>
      </c>
      <c r="CV16" s="42">
        <f t="shared" si="8"/>
        <v>2</v>
      </c>
      <c r="CW16" s="36">
        <f>DA16</f>
        <v>1321.23</v>
      </c>
      <c r="CX16" s="36" t="s">
        <v>712</v>
      </c>
      <c r="CY16" s="36"/>
      <c r="CZ16" s="36"/>
      <c r="DA16" s="36">
        <v>1321.23</v>
      </c>
      <c r="DB16" s="36" t="s">
        <v>712</v>
      </c>
      <c r="DD16" s="39">
        <f>IF(DE16="数据缺失",0,IF(DE16&lt;0,0,IF(DE16&lt;2,3,IF(DE16&lt;=5,1,2))))</f>
        <v>2</v>
      </c>
      <c r="DE16" s="69">
        <f>DM16/DI16</f>
        <v>7.4143097643097633</v>
      </c>
      <c r="DI16" s="39">
        <f>AS16</f>
        <v>178.20000000000002</v>
      </c>
      <c r="DJ16" s="39" t="s">
        <v>708</v>
      </c>
      <c r="DM16" s="36">
        <v>1321.23</v>
      </c>
      <c r="DN16" s="36" t="s">
        <v>712</v>
      </c>
      <c r="DP16" s="39">
        <v>5</v>
      </c>
      <c r="DQ16" s="14" t="s">
        <v>714</v>
      </c>
      <c r="DR16" s="36" t="s">
        <v>712</v>
      </c>
      <c r="DU16" s="40" t="s">
        <v>37</v>
      </c>
      <c r="DY16" s="40" t="s">
        <v>37</v>
      </c>
      <c r="EC16" s="40" t="s">
        <v>37</v>
      </c>
      <c r="EG16" s="40" t="s">
        <v>37</v>
      </c>
      <c r="EJ16" s="42">
        <f>IF(EK16="数据缺失",0,IF(EK16&lt;0%,0,IF(EK16&lt;=5%,5,IF(EK16&lt;=20%,4,IF(EK16&lt;=50%,3,IF(EK16&lt;=100,2,1))))))</f>
        <v>1</v>
      </c>
      <c r="EK16" s="39">
        <f>EO16</f>
        <v>226.3</v>
      </c>
      <c r="EO16" s="39">
        <f>171.1+55.2</f>
        <v>226.3</v>
      </c>
      <c r="EP16" s="39" t="s">
        <v>708</v>
      </c>
      <c r="ER16" s="42">
        <f>IF(ES16="数据缺失",0,IF(ES16&lt;0%,0,IF(ES16&lt;=5%,5,IF(ES16&lt;=20%,4,IF(ES16&lt;=50%,3,IF(ES16&lt;=100,2,1))))))</f>
        <v>1</v>
      </c>
      <c r="ES16" s="39">
        <f>EW16</f>
        <v>230.39999999999998</v>
      </c>
      <c r="EW16" s="39">
        <f>188.6+41.8</f>
        <v>230.39999999999998</v>
      </c>
      <c r="EX16" s="39" t="s">
        <v>708</v>
      </c>
      <c r="EZ16" s="39">
        <v>0</v>
      </c>
      <c r="FA16" s="39" t="s">
        <v>37</v>
      </c>
      <c r="FE16" s="39" t="s">
        <v>37</v>
      </c>
      <c r="FH16" s="67">
        <v>2</v>
      </c>
      <c r="FI16" s="67" t="s">
        <v>715</v>
      </c>
      <c r="FJ16" s="39" t="s">
        <v>708</v>
      </c>
      <c r="FM16" s="39" t="s">
        <v>37</v>
      </c>
      <c r="FQ16" s="39" t="s">
        <v>37</v>
      </c>
      <c r="FU16" s="39" t="s">
        <v>37</v>
      </c>
      <c r="FY16" s="39" t="s">
        <v>37</v>
      </c>
      <c r="GB16" s="39">
        <v>2</v>
      </c>
      <c r="GC16" s="39" t="s">
        <v>716</v>
      </c>
      <c r="GG16" s="39" t="s">
        <v>716</v>
      </c>
      <c r="GH16" s="39" t="s">
        <v>708</v>
      </c>
      <c r="GJ16" s="39">
        <v>4</v>
      </c>
      <c r="GK16" s="40">
        <f>GN16/GS16</f>
        <v>4.9378200438917337E-2</v>
      </c>
      <c r="GN16" s="39">
        <v>9.4499999999999993</v>
      </c>
      <c r="GO16" s="39" t="s">
        <v>717</v>
      </c>
      <c r="GP16" s="39" t="s">
        <v>708</v>
      </c>
      <c r="GS16" s="39">
        <v>191.38</v>
      </c>
      <c r="GT16" s="39" t="s">
        <v>375</v>
      </c>
      <c r="GV16" s="39">
        <f>IF(GW16="数据缺失",0,IF(GW16&lt;20%,1,IF(GW16&lt;40%,2,IF(GW16&lt;60%,3,IF(GW16&lt;80%,4,IF(GW16&lt;=100%,5,0))))))</f>
        <v>1</v>
      </c>
      <c r="GW16" s="43">
        <f>HA16/HE16</f>
        <v>0.10982920279568531</v>
      </c>
      <c r="HA16" s="48">
        <v>121.47</v>
      </c>
      <c r="HB16" s="39" t="s">
        <v>708</v>
      </c>
      <c r="HE16" s="39">
        <v>1105.99</v>
      </c>
      <c r="HF16" s="39" t="s">
        <v>708</v>
      </c>
      <c r="HH16" s="39">
        <f t="shared" ref="HH16:HH21" si="10">IF(HI16="数据缺失",0,IF(HI16&lt;20%,1,IF(HI16&lt;40%,2,IF(HI16&lt;60%,3,IF(HI16&lt;80%,4,IF(HI16&lt;=100%,5,0))))))</f>
        <v>1</v>
      </c>
      <c r="HI16" s="43">
        <f t="shared" ref="HI16:HI21" si="11">HM16/HQ16</f>
        <v>4.4095358876752838E-2</v>
      </c>
      <c r="HM16" s="48">
        <v>9.2450329420999999</v>
      </c>
      <c r="HN16" s="39" t="s">
        <v>375</v>
      </c>
      <c r="HQ16" s="39">
        <v>209.66</v>
      </c>
      <c r="HR16" s="39" t="s">
        <v>375</v>
      </c>
      <c r="HT16" s="39">
        <v>1</v>
      </c>
      <c r="HU16" s="40">
        <f>HY16/IC16</f>
        <v>0.32877624706418485</v>
      </c>
      <c r="HY16" s="39">
        <v>93.79</v>
      </c>
      <c r="HZ16" s="39" t="s">
        <v>375</v>
      </c>
      <c r="IC16" s="39">
        <v>285.27</v>
      </c>
      <c r="ID16" s="39" t="s">
        <v>375</v>
      </c>
      <c r="IR16" s="42">
        <v>1</v>
      </c>
      <c r="IS16" s="40">
        <f>IW16/JA16</f>
        <v>3.7244955472889187</v>
      </c>
      <c r="IW16" s="71">
        <v>660.8</v>
      </c>
      <c r="IX16" s="39" t="s">
        <v>224</v>
      </c>
      <c r="IY16" s="39" t="s">
        <v>718</v>
      </c>
      <c r="JA16" s="39">
        <v>177.42</v>
      </c>
      <c r="JB16" s="39" t="s">
        <v>375</v>
      </c>
      <c r="JD16" s="39">
        <f>IF(JE16="数据缺失",0,IF(JE16&lt;0%,0,IF(JE16&lt;4%,1,IF(JE16&lt;6%,2,IF(JE16&lt;8%,3,4)))))</f>
        <v>4</v>
      </c>
      <c r="JE16" s="43">
        <f>JI16/JM16/(JQ16+JU16)*2</f>
        <v>8.2581397325820038E-2</v>
      </c>
      <c r="JI16" s="39">
        <v>40.46</v>
      </c>
      <c r="JJ16" s="39" t="s">
        <v>708</v>
      </c>
      <c r="JM16" s="39">
        <v>1.19</v>
      </c>
      <c r="JN16" s="39" t="s">
        <v>708</v>
      </c>
      <c r="JQ16" s="39">
        <v>471.27</v>
      </c>
      <c r="JR16" s="39" t="s">
        <v>708</v>
      </c>
      <c r="JU16" s="39">
        <v>352.16</v>
      </c>
      <c r="JV16" s="39" t="s">
        <v>708</v>
      </c>
      <c r="JX16" s="39">
        <v>2</v>
      </c>
      <c r="JY16" s="39" t="s">
        <v>719</v>
      </c>
      <c r="KB16" s="39">
        <v>12</v>
      </c>
      <c r="KC16" s="39" t="s">
        <v>719</v>
      </c>
      <c r="KD16" s="39" t="s">
        <v>708</v>
      </c>
      <c r="KF16" s="39">
        <f>IF(KG16="数据缺失",0,IF(KG16&lt;0%,0,IF(KG16&lt;20%,1,IF(KG16&lt;50%,2,IF(KG16&lt;100%,3,4)))))</f>
        <v>2</v>
      </c>
      <c r="KG16" s="40">
        <f t="shared" ref="KG16:KG21" si="12">KK16/KO16</f>
        <v>0.44531908465787395</v>
      </c>
      <c r="KK16" s="69">
        <v>79.008511999999996</v>
      </c>
      <c r="KL16" s="39" t="s">
        <v>375</v>
      </c>
      <c r="KO16" s="39">
        <v>177.42</v>
      </c>
      <c r="KP16" s="39" t="s">
        <v>375</v>
      </c>
    </row>
    <row r="17" spans="2:302" s="39" customFormat="1" ht="16.5" customHeight="1" x14ac:dyDescent="0.35">
      <c r="B17" s="39" t="s">
        <v>720</v>
      </c>
      <c r="C17" s="39" t="s">
        <v>325</v>
      </c>
      <c r="D17" s="39" t="s">
        <v>666</v>
      </c>
      <c r="E17" s="39" t="s">
        <v>172</v>
      </c>
      <c r="F17" s="36" t="s">
        <v>721</v>
      </c>
      <c r="G17" s="36" t="s">
        <v>690</v>
      </c>
      <c r="H17" s="40">
        <f>18.75/19.12</f>
        <v>0.98064853556485354</v>
      </c>
      <c r="L17" s="42">
        <v>4</v>
      </c>
      <c r="M17" s="36" t="s">
        <v>1236</v>
      </c>
      <c r="P17" s="39" t="s">
        <v>118</v>
      </c>
      <c r="Q17" s="39" t="s">
        <v>723</v>
      </c>
      <c r="R17" s="39" t="s">
        <v>724</v>
      </c>
      <c r="T17" s="116" t="s">
        <v>129</v>
      </c>
      <c r="U17" s="117">
        <v>0.2571</v>
      </c>
      <c r="X17" s="39">
        <f t="shared" si="9"/>
        <v>6</v>
      </c>
      <c r="Y17" s="43">
        <f>((AC17-AG17)/AG17+(AG17-AK17)/AK17)/2*100%</f>
        <v>-0.39183753599162374</v>
      </c>
      <c r="AC17" s="39">
        <v>11.18</v>
      </c>
      <c r="AD17" s="39" t="s">
        <v>724</v>
      </c>
      <c r="AG17" s="78">
        <v>31.4</v>
      </c>
      <c r="AH17" s="39" t="s">
        <v>724</v>
      </c>
      <c r="AK17" s="78">
        <v>36.5</v>
      </c>
      <c r="AL17" s="39" t="s">
        <v>724</v>
      </c>
      <c r="AN17" s="39">
        <f>IF(AO17="数据缺失",0,IF(AO17&lt;-30%,6,IF(AO17&lt;-10%,5,IF(AO17&lt;0%,4,IF(AO17&lt;10%,3,IF(AO17&lt;30%,2,1))))))</f>
        <v>6</v>
      </c>
      <c r="AO17" s="43">
        <f>((AS17-AW17)/AW17+(AW17-BA17)/BA17)/2*100%</f>
        <v>-0.44870793566852052</v>
      </c>
      <c r="AS17" s="39">
        <v>7.26</v>
      </c>
      <c r="AT17" s="39" t="s">
        <v>724</v>
      </c>
      <c r="AW17" s="39">
        <v>20.95</v>
      </c>
      <c r="AX17" s="39" t="s">
        <v>724</v>
      </c>
      <c r="BA17" s="39">
        <v>27.71</v>
      </c>
      <c r="BB17" s="39" t="s">
        <v>724</v>
      </c>
      <c r="BD17" s="39">
        <f>IF(BE17="数据缺失",0,IF(BE17&lt;50,5,IF(BE17&lt;100,4,IF(BE17&lt;300,3,IF(BE17&lt;500,2,1)))))</f>
        <v>5</v>
      </c>
      <c r="BE17" s="8">
        <f t="shared" si="2"/>
        <v>11.18</v>
      </c>
      <c r="BI17" s="39">
        <v>11.18</v>
      </c>
      <c r="BJ17" s="39" t="s">
        <v>724</v>
      </c>
      <c r="BL17" s="39">
        <f>IF(BM17="数据缺失",0,IF(BM17&lt;50,5,IF(BM17&lt;100,4,IF(BM17&lt;300,3,IF(BM17&lt;500,2,1)))))</f>
        <v>5</v>
      </c>
      <c r="BM17" s="39">
        <v>7.26</v>
      </c>
      <c r="BQ17" s="39">
        <v>7.26</v>
      </c>
      <c r="BR17" s="39" t="s">
        <v>724</v>
      </c>
      <c r="BT17" s="39">
        <v>3</v>
      </c>
      <c r="BU17" s="39">
        <v>249</v>
      </c>
      <c r="BY17" s="39">
        <v>249</v>
      </c>
      <c r="BZ17" s="80" t="s">
        <v>398</v>
      </c>
      <c r="CB17" s="39">
        <v>1</v>
      </c>
      <c r="CC17" s="39" t="s">
        <v>133</v>
      </c>
      <c r="CF17" s="39" t="s">
        <v>133</v>
      </c>
      <c r="CG17" s="39" t="s">
        <v>698</v>
      </c>
      <c r="CH17" s="39" t="s">
        <v>360</v>
      </c>
      <c r="CJ17" s="67">
        <f t="shared" si="3"/>
        <v>2</v>
      </c>
      <c r="CK17" s="53">
        <f>CO17/CS17</f>
        <v>0.55277280858676203</v>
      </c>
      <c r="CL17" s="36"/>
      <c r="CM17" s="36"/>
      <c r="CN17" s="36"/>
      <c r="CO17" s="55">
        <v>6.18</v>
      </c>
      <c r="CP17" s="36" t="s">
        <v>724</v>
      </c>
      <c r="CS17" s="39">
        <v>11.18</v>
      </c>
      <c r="CT17" s="39" t="s">
        <v>724</v>
      </c>
      <c r="CV17" s="42">
        <f t="shared" si="8"/>
        <v>4</v>
      </c>
      <c r="CW17" s="36">
        <v>135.41</v>
      </c>
      <c r="CX17" s="36"/>
      <c r="CY17" s="36"/>
      <c r="CZ17" s="36"/>
      <c r="DA17" s="36">
        <v>135.41</v>
      </c>
      <c r="DB17" s="36" t="s">
        <v>615</v>
      </c>
      <c r="DC17" s="36" t="s">
        <v>726</v>
      </c>
      <c r="DD17" s="36">
        <v>2</v>
      </c>
      <c r="DE17" s="38">
        <f>DM17/DI17</f>
        <v>18.651515151515152</v>
      </c>
      <c r="DF17" s="36"/>
      <c r="DI17" s="39">
        <v>7.26</v>
      </c>
      <c r="DJ17" s="39" t="s">
        <v>724</v>
      </c>
      <c r="DM17" s="36">
        <v>135.41</v>
      </c>
      <c r="DN17" s="36" t="s">
        <v>615</v>
      </c>
      <c r="DO17" s="36" t="s">
        <v>726</v>
      </c>
      <c r="DP17" s="36">
        <v>4</v>
      </c>
      <c r="DQ17" s="39" t="s">
        <v>727</v>
      </c>
      <c r="DU17" s="40">
        <v>0.14219999999999999</v>
      </c>
      <c r="DV17" s="36" t="s">
        <v>615</v>
      </c>
      <c r="DY17" s="40">
        <v>0.34839999999999999</v>
      </c>
      <c r="DZ17" s="36" t="s">
        <v>615</v>
      </c>
      <c r="EC17" s="40">
        <v>0.50939999999999996</v>
      </c>
      <c r="ED17" s="36" t="s">
        <v>615</v>
      </c>
      <c r="EG17" s="44">
        <v>0</v>
      </c>
      <c r="EH17" s="36" t="s">
        <v>615</v>
      </c>
      <c r="EJ17" s="39">
        <f>IF(EK17="数据缺失",0,IF(EK17&lt;0%,0,IF(EK17&lt;=5%,5,IF(EK17&lt;=20%,4,IF(EK17&lt;=50%,3,IF(EK17&lt;=100,2,1))))))</f>
        <v>2</v>
      </c>
      <c r="EK17" s="39">
        <f>EO17</f>
        <v>21.01</v>
      </c>
      <c r="EO17" s="39">
        <v>21.01</v>
      </c>
      <c r="EP17" s="39" t="s">
        <v>724</v>
      </c>
      <c r="ER17" s="42">
        <f>IF(ES17="数据缺失",0,IF(ES17&lt;0%,0,IF(ES17&lt;=5%,5,IF(ES17&lt;=20%,4,IF(ES17&lt;=50%,3,IF(ES17&lt;=100,2,1))))))</f>
        <v>2</v>
      </c>
      <c r="ES17" s="39">
        <f>EW17</f>
        <v>29.06</v>
      </c>
      <c r="EW17" s="39">
        <v>29.06</v>
      </c>
      <c r="EX17" s="39" t="s">
        <v>724</v>
      </c>
      <c r="EZ17" s="36">
        <v>3</v>
      </c>
      <c r="FA17" s="36">
        <v>52.03</v>
      </c>
      <c r="FB17" s="36"/>
      <c r="FC17" s="36"/>
      <c r="FD17" s="36"/>
      <c r="FE17" s="36">
        <v>52.03</v>
      </c>
      <c r="FF17" s="36" t="s">
        <v>615</v>
      </c>
      <c r="FH17" s="39">
        <v>2</v>
      </c>
      <c r="FI17" s="39" t="s">
        <v>728</v>
      </c>
      <c r="FJ17" s="36" t="s">
        <v>615</v>
      </c>
      <c r="FM17" s="39" t="s">
        <v>37</v>
      </c>
      <c r="FQ17" s="39" t="s">
        <v>37</v>
      </c>
      <c r="FU17" s="39" t="s">
        <v>37</v>
      </c>
      <c r="FY17" s="39" t="s">
        <v>37</v>
      </c>
      <c r="GB17" s="39">
        <v>2</v>
      </c>
      <c r="GC17" s="39" t="s">
        <v>729</v>
      </c>
      <c r="GG17" s="39" t="s">
        <v>729</v>
      </c>
      <c r="GH17" s="39" t="s">
        <v>724</v>
      </c>
      <c r="GJ17" s="39">
        <v>3</v>
      </c>
      <c r="GK17" s="40">
        <f>GN17/GS17</f>
        <v>9.3096234309623424E-2</v>
      </c>
      <c r="GN17" s="39">
        <v>1.78</v>
      </c>
      <c r="GO17" s="39" t="s">
        <v>730</v>
      </c>
      <c r="GP17" s="39" t="s">
        <v>724</v>
      </c>
      <c r="GS17" s="39">
        <v>19.12</v>
      </c>
      <c r="GT17" s="39" t="s">
        <v>615</v>
      </c>
      <c r="GV17" s="39">
        <v>0</v>
      </c>
      <c r="GW17" s="43" t="s">
        <v>37</v>
      </c>
      <c r="HA17" s="48" t="s">
        <v>37</v>
      </c>
      <c r="HE17" s="39">
        <v>142.31</v>
      </c>
      <c r="HF17" s="39" t="s">
        <v>615</v>
      </c>
      <c r="HH17" s="39">
        <f t="shared" si="10"/>
        <v>1</v>
      </c>
      <c r="HI17" s="43">
        <f t="shared" si="11"/>
        <v>6.5594855305466229E-2</v>
      </c>
      <c r="HM17" s="39">
        <v>1.02</v>
      </c>
      <c r="HN17" s="39" t="s">
        <v>615</v>
      </c>
      <c r="HQ17" s="39">
        <v>15.55</v>
      </c>
      <c r="HR17" s="39" t="s">
        <v>615</v>
      </c>
      <c r="HT17" s="39">
        <v>4</v>
      </c>
      <c r="HU17" s="39">
        <v>0</v>
      </c>
      <c r="HY17" s="39">
        <v>0</v>
      </c>
      <c r="HZ17" s="36" t="s">
        <v>615</v>
      </c>
      <c r="IC17" s="39">
        <v>28.6</v>
      </c>
      <c r="ID17" s="39" t="s">
        <v>615</v>
      </c>
      <c r="IR17" s="42">
        <f>IF(IS17="数据缺失",0,IF(IS17&lt;0%,0,IF(IS17&lt;=100%,4,IF(IS17&lt;200%,3,IF(IS17&lt;300%,2,1)))))</f>
        <v>2</v>
      </c>
      <c r="IS17" s="43">
        <f>IW17/JA17</f>
        <v>2.3347324239244491</v>
      </c>
      <c r="IW17" s="71">
        <v>89</v>
      </c>
      <c r="IX17" s="39" t="s">
        <v>224</v>
      </c>
      <c r="IY17" s="39" t="s">
        <v>731</v>
      </c>
      <c r="JA17" s="39">
        <v>38.119999999999997</v>
      </c>
      <c r="JB17" s="39" t="s">
        <v>615</v>
      </c>
      <c r="JD17" s="39">
        <f t="shared" ref="JD17:JD22" si="13">IF(JE17="数据缺失",0,IF(JE17&lt;0%,0,IF(JE17&lt;4%,1,IF(JE17&lt;6%,2,IF(JE17&lt;8%,3,4)))))</f>
        <v>4</v>
      </c>
      <c r="JE17" s="40">
        <f>JI17/JM17/(JQ17+JU17)*2</f>
        <v>9.8532556936329521E-2</v>
      </c>
      <c r="JI17" s="39">
        <v>2.99</v>
      </c>
      <c r="JJ17" s="39" t="s">
        <v>724</v>
      </c>
      <c r="JM17" s="39">
        <v>0.54</v>
      </c>
      <c r="JN17" s="39" t="s">
        <v>724</v>
      </c>
      <c r="JQ17" s="39">
        <v>69.92</v>
      </c>
      <c r="JR17" s="39" t="s">
        <v>724</v>
      </c>
      <c r="JU17" s="39">
        <v>42.47</v>
      </c>
      <c r="JV17" s="39" t="s">
        <v>724</v>
      </c>
      <c r="JX17" s="39">
        <v>1</v>
      </c>
      <c r="JY17" s="39" t="s">
        <v>245</v>
      </c>
      <c r="KB17" s="39">
        <v>1</v>
      </c>
      <c r="KC17" s="39" t="s">
        <v>245</v>
      </c>
      <c r="KD17" s="39" t="s">
        <v>724</v>
      </c>
      <c r="KF17" s="39">
        <v>2</v>
      </c>
      <c r="KG17" s="40">
        <f t="shared" si="12"/>
        <v>0.21589716684155302</v>
      </c>
      <c r="KK17" s="39">
        <v>8.23</v>
      </c>
      <c r="KL17" s="39" t="s">
        <v>615</v>
      </c>
      <c r="KO17" s="39">
        <v>38.119999999999997</v>
      </c>
      <c r="KP17" s="39" t="s">
        <v>615</v>
      </c>
    </row>
    <row r="18" spans="2:302" s="39" customFormat="1" ht="16.5" customHeight="1" x14ac:dyDescent="0.35">
      <c r="B18" s="39" t="s">
        <v>720</v>
      </c>
      <c r="C18" s="39" t="s">
        <v>325</v>
      </c>
      <c r="D18" s="39" t="s">
        <v>666</v>
      </c>
      <c r="E18" s="39" t="s">
        <v>172</v>
      </c>
      <c r="F18" s="36" t="s">
        <v>733</v>
      </c>
      <c r="G18" s="36" t="s">
        <v>249</v>
      </c>
      <c r="H18" s="40">
        <f>32.6/32.99</f>
        <v>0.98817823582903908</v>
      </c>
      <c r="L18" s="42">
        <v>4</v>
      </c>
      <c r="M18" s="36" t="s">
        <v>1236</v>
      </c>
      <c r="P18" s="39" t="s">
        <v>118</v>
      </c>
      <c r="Q18" s="39" t="s">
        <v>723</v>
      </c>
      <c r="R18" s="39" t="s">
        <v>734</v>
      </c>
      <c r="T18" s="116" t="s">
        <v>129</v>
      </c>
      <c r="U18" s="117">
        <v>0.2571</v>
      </c>
      <c r="X18" s="39">
        <f t="shared" si="9"/>
        <v>4</v>
      </c>
      <c r="Y18" s="43">
        <f>((AC18-AG18)/AG18+(AG18-AK18)/AK18)/2*100%</f>
        <v>-4.0906785121814115E-2</v>
      </c>
      <c r="AC18" s="78">
        <v>31.4</v>
      </c>
      <c r="AD18" s="39" t="s">
        <v>724</v>
      </c>
      <c r="AG18" s="39">
        <v>41</v>
      </c>
      <c r="AH18" s="39" t="s">
        <v>734</v>
      </c>
      <c r="AK18" s="39">
        <v>35.58</v>
      </c>
      <c r="AL18" s="39" t="s">
        <v>735</v>
      </c>
      <c r="AN18" s="39">
        <f>IF(AO18="数据缺失",0,IF(AO18&lt;-30%,6,IF(AO18&lt;-10%,5,IF(AO18&lt;0%,4,IF(AO18&lt;10%,3,IF(AO18&lt;30%,2,1))))))</f>
        <v>3</v>
      </c>
      <c r="AO18" s="43">
        <f>((AS18-AW18)/AW18+(AW18-BA18)/BA18)/2*100%</f>
        <v>8.2207146853716384E-3</v>
      </c>
      <c r="AS18" s="39">
        <v>20.95</v>
      </c>
      <c r="AT18" s="39" t="s">
        <v>724</v>
      </c>
      <c r="AW18" s="39">
        <v>36.729999999999997</v>
      </c>
      <c r="AX18" s="39" t="s">
        <v>734</v>
      </c>
      <c r="BA18" s="39">
        <v>25.4</v>
      </c>
      <c r="BB18" s="39" t="s">
        <v>735</v>
      </c>
      <c r="BD18" s="39">
        <f>IF(BE18="数据缺失",0,IF(BE18&lt;50,5,IF(BE18&lt;100,4,IF(BE18&lt;300,3,IF(BE18&lt;500,2,1)))))</f>
        <v>5</v>
      </c>
      <c r="BE18" s="8">
        <f t="shared" si="2"/>
        <v>31.4</v>
      </c>
      <c r="BI18" s="39">
        <f>AC18</f>
        <v>31.4</v>
      </c>
      <c r="BJ18" s="39" t="s">
        <v>734</v>
      </c>
      <c r="BL18" s="39">
        <f>IF(BM18="数据缺失",0,IF(BM18&lt;50,5,IF(BM18&lt;100,4,IF(BM18&lt;300,3,IF(BM18&lt;500,2,1)))))</f>
        <v>5</v>
      </c>
      <c r="BM18" s="39">
        <v>23.27</v>
      </c>
      <c r="BQ18" s="39">
        <f>AS18</f>
        <v>20.95</v>
      </c>
      <c r="BR18" s="39" t="s">
        <v>734</v>
      </c>
      <c r="BT18" s="81">
        <v>3</v>
      </c>
      <c r="BU18" s="81">
        <v>149</v>
      </c>
      <c r="BV18" s="81"/>
      <c r="BW18" s="81"/>
      <c r="BX18" s="81"/>
      <c r="BY18" s="81">
        <v>149</v>
      </c>
      <c r="BZ18" s="80" t="s">
        <v>258</v>
      </c>
      <c r="CB18" s="39">
        <v>1</v>
      </c>
      <c r="CC18" s="39" t="s">
        <v>133</v>
      </c>
      <c r="CF18" s="39" t="s">
        <v>133</v>
      </c>
      <c r="CG18" s="39" t="s">
        <v>698</v>
      </c>
      <c r="CH18" s="39" t="s">
        <v>360</v>
      </c>
      <c r="CJ18" s="67">
        <f t="shared" si="3"/>
        <v>2</v>
      </c>
      <c r="CK18" s="69">
        <f>CO18/CS18</f>
        <v>0.75828025477707006</v>
      </c>
      <c r="CO18" s="39">
        <v>23.81</v>
      </c>
      <c r="CP18" s="39" t="s">
        <v>734</v>
      </c>
      <c r="CS18" s="39">
        <f>AC18</f>
        <v>31.4</v>
      </c>
      <c r="CT18" s="39" t="s">
        <v>734</v>
      </c>
      <c r="CV18" s="42">
        <f t="shared" si="8"/>
        <v>0</v>
      </c>
      <c r="CW18" s="42" t="str">
        <f>DA18</f>
        <v>数据缺失</v>
      </c>
      <c r="DA18" s="42" t="s">
        <v>37</v>
      </c>
      <c r="DD18" s="39">
        <v>0</v>
      </c>
      <c r="DE18" s="69" t="s">
        <v>37</v>
      </c>
      <c r="DI18" s="39">
        <f>AS18</f>
        <v>20.95</v>
      </c>
      <c r="DJ18" s="39" t="s">
        <v>734</v>
      </c>
      <c r="DM18" s="39" t="s">
        <v>37</v>
      </c>
      <c r="DP18" s="39">
        <v>2</v>
      </c>
      <c r="DQ18" s="39" t="s">
        <v>736</v>
      </c>
      <c r="DR18" s="39" t="s">
        <v>734</v>
      </c>
      <c r="DU18" s="40" t="s">
        <v>36</v>
      </c>
      <c r="DY18" s="40" t="s">
        <v>36</v>
      </c>
      <c r="EC18" s="40" t="s">
        <v>36</v>
      </c>
      <c r="EG18" s="40" t="s">
        <v>36</v>
      </c>
      <c r="EJ18" s="39">
        <f>IF(EK18="数据缺失",0,IF(EK18&lt;0%,0,IF(EK18&lt;=5%,5,IF(EK18&lt;=20%,4,IF(EK18&lt;=50%,3,IF(EK18&lt;=100,2,1))))))</f>
        <v>2</v>
      </c>
      <c r="EK18" s="39">
        <v>19.149999999999999</v>
      </c>
      <c r="EO18" s="39">
        <v>19.149999999999999</v>
      </c>
      <c r="EP18" s="39" t="s">
        <v>734</v>
      </c>
      <c r="ER18" s="42">
        <f>IF(ES18="数据缺失",0,IF(ES18&lt;0%,0,IF(ES18&lt;=5%,5,IF(ES18&lt;=20%,4,IF(ES18&lt;=50%,3,IF(ES18&lt;=100,2,1))))))</f>
        <v>2</v>
      </c>
      <c r="ES18" s="39">
        <v>35.799999999999997</v>
      </c>
      <c r="EW18" s="39">
        <v>35.799999999999997</v>
      </c>
      <c r="EX18" s="39" t="s">
        <v>734</v>
      </c>
      <c r="EZ18" s="39">
        <v>0</v>
      </c>
      <c r="FA18" s="39" t="s">
        <v>37</v>
      </c>
      <c r="FE18" s="39" t="s">
        <v>37</v>
      </c>
      <c r="FH18" s="39">
        <v>2</v>
      </c>
      <c r="FI18" s="39" t="s">
        <v>728</v>
      </c>
      <c r="FJ18" s="39" t="s">
        <v>734</v>
      </c>
      <c r="FM18" s="39" t="s">
        <v>37</v>
      </c>
      <c r="FQ18" s="39" t="s">
        <v>37</v>
      </c>
      <c r="FU18" s="39" t="s">
        <v>37</v>
      </c>
      <c r="FY18" s="39" t="s">
        <v>37</v>
      </c>
      <c r="GB18" s="39">
        <v>2</v>
      </c>
      <c r="GC18" s="39" t="s">
        <v>737</v>
      </c>
      <c r="GG18" s="39" t="s">
        <v>737</v>
      </c>
      <c r="GH18" s="39" t="s">
        <v>734</v>
      </c>
      <c r="GJ18" s="39">
        <v>4</v>
      </c>
      <c r="GK18" s="40">
        <f>GN18/GS18</f>
        <v>4.9105789633222187E-2</v>
      </c>
      <c r="GN18" s="39">
        <v>1.62</v>
      </c>
      <c r="GO18" s="39" t="s">
        <v>738</v>
      </c>
      <c r="GP18" s="39" t="s">
        <v>734</v>
      </c>
      <c r="GS18" s="39">
        <v>32.99</v>
      </c>
      <c r="GT18" s="39" t="s">
        <v>734</v>
      </c>
      <c r="GV18" s="39">
        <v>0</v>
      </c>
      <c r="GW18" s="48" t="s">
        <v>37</v>
      </c>
      <c r="HA18" s="48" t="s">
        <v>37</v>
      </c>
      <c r="HE18" s="39">
        <v>119.26</v>
      </c>
      <c r="HF18" s="39" t="s">
        <v>375</v>
      </c>
      <c r="HH18" s="39">
        <f t="shared" si="10"/>
        <v>1</v>
      </c>
      <c r="HI18" s="43">
        <f t="shared" si="11"/>
        <v>8.5271317829457363E-2</v>
      </c>
      <c r="HM18" s="39">
        <v>1.98</v>
      </c>
      <c r="HN18" s="39" t="s">
        <v>375</v>
      </c>
      <c r="HQ18" s="39">
        <v>23.22</v>
      </c>
      <c r="HR18" s="39" t="s">
        <v>375</v>
      </c>
      <c r="HT18" s="39">
        <f t="shared" ref="HT18:HT24" si="14">IF(HU18="数据缺失",0,IF(HU18&lt;5%,4,IF(HU18&lt;=10%,3,IF(HU18&lt;30%,2,IF(HU18&lt;=100%,1,0)))))</f>
        <v>4</v>
      </c>
      <c r="HU18" s="39">
        <f>HY18/IC18</f>
        <v>0</v>
      </c>
      <c r="HY18" s="39">
        <v>0</v>
      </c>
      <c r="HZ18" s="39" t="s">
        <v>375</v>
      </c>
      <c r="IC18" s="39">
        <v>12.48</v>
      </c>
      <c r="ID18" s="39" t="s">
        <v>375</v>
      </c>
      <c r="IR18" s="42">
        <v>0</v>
      </c>
      <c r="IS18" s="42" t="s">
        <v>37</v>
      </c>
      <c r="IW18" s="42" t="s">
        <v>37</v>
      </c>
      <c r="JA18" s="39">
        <v>42.06</v>
      </c>
      <c r="JB18" s="39" t="s">
        <v>375</v>
      </c>
      <c r="JD18" s="39">
        <f t="shared" si="13"/>
        <v>4</v>
      </c>
      <c r="JE18" s="43">
        <f t="shared" ref="JE18:JE26" si="15">JI18/JM18/(JQ18+JU18)*2</f>
        <v>0.10854826611274594</v>
      </c>
      <c r="JI18" s="39">
        <v>9.0299999999999994</v>
      </c>
      <c r="JJ18" s="39" t="s">
        <v>734</v>
      </c>
      <c r="JM18" s="39">
        <v>2.1800000000000002</v>
      </c>
      <c r="JN18" s="39" t="s">
        <v>734</v>
      </c>
      <c r="JQ18" s="39">
        <v>42.47</v>
      </c>
      <c r="JR18" s="39" t="s">
        <v>724</v>
      </c>
      <c r="JU18" s="39">
        <v>33.85</v>
      </c>
      <c r="JV18" s="39" t="s">
        <v>724</v>
      </c>
      <c r="JX18" s="39">
        <v>1</v>
      </c>
      <c r="JY18" s="39" t="s">
        <v>245</v>
      </c>
      <c r="KB18" s="39">
        <v>1</v>
      </c>
      <c r="KC18" s="39" t="s">
        <v>245</v>
      </c>
      <c r="KD18" s="39" t="s">
        <v>734</v>
      </c>
      <c r="KF18" s="39">
        <f t="shared" ref="KF18:KF24" si="16">IF(KG18="数据缺失",0,IF(KG18&lt;0%,0,IF(KG18&lt;20%,1,IF(KG18&lt;50%,2,IF(KG18&lt;100%,3,4)))))</f>
        <v>1</v>
      </c>
      <c r="KG18" s="43">
        <f t="shared" si="12"/>
        <v>0.16690442225392293</v>
      </c>
      <c r="KK18" s="39">
        <f>5.42+1.6</f>
        <v>7.02</v>
      </c>
      <c r="KL18" s="39" t="s">
        <v>375</v>
      </c>
      <c r="KO18" s="39">
        <v>42.06</v>
      </c>
      <c r="KP18" s="39" t="s">
        <v>375</v>
      </c>
    </row>
    <row r="19" spans="2:302" s="39" customFormat="1" ht="16.5" customHeight="1" x14ac:dyDescent="0.35">
      <c r="B19" s="39" t="s">
        <v>739</v>
      </c>
      <c r="C19" s="39" t="s">
        <v>325</v>
      </c>
      <c r="D19" s="39" t="s">
        <v>666</v>
      </c>
      <c r="E19" s="39" t="s">
        <v>172</v>
      </c>
      <c r="F19" s="112" t="s">
        <v>740</v>
      </c>
      <c r="G19" s="36" t="s">
        <v>249</v>
      </c>
      <c r="H19" s="40">
        <v>0.95404933339951148</v>
      </c>
      <c r="I19" s="40"/>
      <c r="L19" s="42">
        <v>4</v>
      </c>
      <c r="M19" s="36" t="s">
        <v>1237</v>
      </c>
      <c r="P19" s="39" t="s">
        <v>126</v>
      </c>
      <c r="Q19" s="39" t="s">
        <v>741</v>
      </c>
      <c r="R19" s="39" t="s">
        <v>742</v>
      </c>
      <c r="T19" s="116" t="s">
        <v>203</v>
      </c>
      <c r="U19" s="82">
        <v>0.58930000000000005</v>
      </c>
      <c r="X19" s="39">
        <f t="shared" si="9"/>
        <v>1</v>
      </c>
      <c r="Y19" s="43">
        <f t="shared" ref="Y19:Y24" si="17">((AC19-AG19)/AG19+(AG19-AK19)/AK19)/2*100%</f>
        <v>2.1086746853062035</v>
      </c>
      <c r="AC19" s="39">
        <v>58.44</v>
      </c>
      <c r="AD19" s="39" t="s">
        <v>743</v>
      </c>
      <c r="AG19" s="39">
        <v>51.09</v>
      </c>
      <c r="AH19" s="39" t="s">
        <v>743</v>
      </c>
      <c r="AK19" s="39">
        <v>10.07</v>
      </c>
      <c r="AL19" s="39" t="s">
        <v>744</v>
      </c>
      <c r="AN19" s="39">
        <v>1</v>
      </c>
      <c r="AO19" s="43">
        <v>2.1008776329760961</v>
      </c>
      <c r="AS19" s="39">
        <v>31.85</v>
      </c>
      <c r="AT19" s="39" t="s">
        <v>743</v>
      </c>
      <c r="AW19" s="39">
        <v>25.31</v>
      </c>
      <c r="AX19" s="39" t="s">
        <v>743</v>
      </c>
      <c r="BA19" s="39">
        <v>5.12</v>
      </c>
      <c r="BB19" s="39" t="s">
        <v>744</v>
      </c>
      <c r="BD19" s="39">
        <v>4</v>
      </c>
      <c r="BE19" s="8">
        <f t="shared" si="2"/>
        <v>58.44</v>
      </c>
      <c r="BI19" s="39">
        <v>58.44</v>
      </c>
      <c r="BJ19" s="39" t="s">
        <v>743</v>
      </c>
      <c r="BL19" s="39">
        <v>5</v>
      </c>
      <c r="BM19" s="39">
        <v>31.85</v>
      </c>
      <c r="BQ19" s="39">
        <v>31.85</v>
      </c>
      <c r="BR19" s="39" t="s">
        <v>743</v>
      </c>
      <c r="BT19" s="81">
        <v>3</v>
      </c>
      <c r="BU19" s="81">
        <v>239</v>
      </c>
      <c r="BV19" s="81"/>
      <c r="BW19" s="81" t="s">
        <v>745</v>
      </c>
      <c r="BX19" s="81"/>
      <c r="BY19" s="81">
        <v>239</v>
      </c>
      <c r="BZ19" s="81" t="s">
        <v>746</v>
      </c>
      <c r="CB19" s="39">
        <v>1</v>
      </c>
      <c r="CC19" s="39" t="s">
        <v>133</v>
      </c>
      <c r="CF19" s="39" t="s">
        <v>133</v>
      </c>
      <c r="CG19" s="39" t="s">
        <v>698</v>
      </c>
      <c r="CH19" s="39" t="s">
        <v>360</v>
      </c>
      <c r="CJ19" s="67">
        <f t="shared" si="3"/>
        <v>0</v>
      </c>
      <c r="CK19" s="48" t="s">
        <v>36</v>
      </c>
      <c r="CO19" s="49" t="s">
        <v>36</v>
      </c>
      <c r="CS19" s="39">
        <v>58.44</v>
      </c>
      <c r="CT19" s="39" t="s">
        <v>743</v>
      </c>
      <c r="CV19" s="42">
        <f t="shared" si="8"/>
        <v>3</v>
      </c>
      <c r="CW19" s="39">
        <v>820.11</v>
      </c>
      <c r="DA19" s="61">
        <v>820.11</v>
      </c>
      <c r="DB19" s="39" t="s">
        <v>743</v>
      </c>
      <c r="DC19" s="39" t="s">
        <v>747</v>
      </c>
      <c r="DD19" s="39">
        <v>2</v>
      </c>
      <c r="DE19" s="69">
        <v>25.749136577708004</v>
      </c>
      <c r="DI19" s="39">
        <v>31.85</v>
      </c>
      <c r="DJ19" s="39" t="s">
        <v>743</v>
      </c>
      <c r="DM19" s="61">
        <f>820.11</f>
        <v>820.11</v>
      </c>
      <c r="DN19" s="39" t="s">
        <v>743</v>
      </c>
      <c r="DP19" s="39">
        <v>2</v>
      </c>
      <c r="DQ19" s="39" t="s">
        <v>748</v>
      </c>
      <c r="DR19" s="39" t="s">
        <v>743</v>
      </c>
      <c r="DS19" s="39" t="s">
        <v>749</v>
      </c>
      <c r="DU19" s="40">
        <v>0.31914011535037984</v>
      </c>
      <c r="DV19" s="39" t="s">
        <v>743</v>
      </c>
      <c r="DY19" s="40">
        <v>0.65363182987647994</v>
      </c>
      <c r="DZ19" s="39" t="s">
        <v>743</v>
      </c>
      <c r="EC19" s="40">
        <v>0</v>
      </c>
      <c r="ED19" s="39" t="s">
        <v>743</v>
      </c>
      <c r="EG19" s="40">
        <v>0</v>
      </c>
      <c r="EH19" s="39" t="s">
        <v>743</v>
      </c>
      <c r="EJ19" s="39">
        <v>1</v>
      </c>
      <c r="EK19" s="39">
        <v>168.44</v>
      </c>
      <c r="EO19" s="39">
        <v>168.44</v>
      </c>
      <c r="EP19" s="39" t="s">
        <v>743</v>
      </c>
      <c r="ER19" s="42">
        <v>2</v>
      </c>
      <c r="ES19" s="39">
        <v>57.64</v>
      </c>
      <c r="EW19" s="39">
        <v>57.64</v>
      </c>
      <c r="EX19" s="39" t="s">
        <v>743</v>
      </c>
      <c r="EZ19" s="39">
        <v>1</v>
      </c>
      <c r="FA19" s="39">
        <v>425.97</v>
      </c>
      <c r="FE19" s="39">
        <v>425.97</v>
      </c>
      <c r="FF19" s="39" t="s">
        <v>743</v>
      </c>
      <c r="FH19" s="39">
        <v>2</v>
      </c>
      <c r="FI19" s="39" t="s">
        <v>750</v>
      </c>
      <c r="FM19" s="40">
        <v>0.49578608822217524</v>
      </c>
      <c r="FN19" s="39" t="s">
        <v>743</v>
      </c>
      <c r="FQ19" s="40">
        <v>0.50421391177782482</v>
      </c>
      <c r="FR19" s="39" t="s">
        <v>743</v>
      </c>
      <c r="FU19" s="40">
        <v>0</v>
      </c>
      <c r="FV19" s="39" t="s">
        <v>743</v>
      </c>
      <c r="FY19" s="40">
        <v>0</v>
      </c>
      <c r="FZ19" s="39" t="s">
        <v>743</v>
      </c>
      <c r="GB19" s="39">
        <v>2</v>
      </c>
      <c r="GC19" s="39" t="s">
        <v>751</v>
      </c>
      <c r="GG19" s="39" t="s">
        <v>751</v>
      </c>
      <c r="GH19" s="39" t="s">
        <v>743</v>
      </c>
      <c r="GJ19" s="39">
        <f>IF(GK19="数据缺失",0,IF(GK19&lt;0%,0,IF(GK19&lt;=5%,4,IF(GK19&lt;10%,3,IF(GK19&lt;20%,2,1)))))</f>
        <v>4</v>
      </c>
      <c r="GK19" s="43">
        <v>3.2808046084123285E-2</v>
      </c>
      <c r="GN19" s="39">
        <v>1.95</v>
      </c>
      <c r="GO19" s="39" t="s">
        <v>752</v>
      </c>
      <c r="GP19" s="39" t="s">
        <v>743</v>
      </c>
      <c r="GS19" s="39">
        <v>59.38</v>
      </c>
      <c r="GT19" s="39" t="s">
        <v>743</v>
      </c>
      <c r="GV19" s="39">
        <v>0</v>
      </c>
      <c r="GW19" s="43" t="s">
        <v>37</v>
      </c>
      <c r="HA19" s="48" t="s">
        <v>37</v>
      </c>
      <c r="HE19" s="39">
        <v>407.38</v>
      </c>
      <c r="HF19" s="39" t="s">
        <v>375</v>
      </c>
      <c r="HH19" s="39">
        <f t="shared" si="10"/>
        <v>2</v>
      </c>
      <c r="HI19" s="43">
        <f t="shared" si="11"/>
        <v>0.2161342498989082</v>
      </c>
      <c r="HM19" s="39">
        <v>10.69</v>
      </c>
      <c r="HN19" s="39" t="s">
        <v>375</v>
      </c>
      <c r="HQ19" s="39">
        <v>49.46</v>
      </c>
      <c r="HR19" s="39" t="s">
        <v>375</v>
      </c>
      <c r="HT19" s="39">
        <f t="shared" si="14"/>
        <v>4</v>
      </c>
      <c r="HU19" s="39">
        <v>0</v>
      </c>
      <c r="HY19" s="39">
        <v>0</v>
      </c>
      <c r="HZ19" s="39" t="s">
        <v>375</v>
      </c>
      <c r="IC19" s="39">
        <v>189.25</v>
      </c>
      <c r="ID19" s="39" t="s">
        <v>375</v>
      </c>
      <c r="IR19" s="42">
        <v>0</v>
      </c>
      <c r="IS19" s="43" t="s">
        <v>36</v>
      </c>
      <c r="IW19" s="39" t="s">
        <v>36</v>
      </c>
      <c r="JA19" s="39">
        <v>96.51</v>
      </c>
      <c r="JB19" s="39" t="s">
        <v>375</v>
      </c>
      <c r="JD19" s="39">
        <f t="shared" si="13"/>
        <v>4</v>
      </c>
      <c r="JE19" s="43">
        <f t="shared" si="15"/>
        <v>0.11611558397045349</v>
      </c>
      <c r="JI19" s="78">
        <v>16.600000000000001</v>
      </c>
      <c r="JJ19" s="39" t="s">
        <v>753</v>
      </c>
      <c r="JM19" s="39">
        <v>0.65</v>
      </c>
      <c r="JN19" s="39" t="s">
        <v>753</v>
      </c>
      <c r="JQ19" s="39">
        <v>259.95</v>
      </c>
      <c r="JR19" s="39" t="s">
        <v>753</v>
      </c>
      <c r="JU19" s="39">
        <v>179.93</v>
      </c>
      <c r="JV19" s="39" t="s">
        <v>753</v>
      </c>
      <c r="JX19" s="39">
        <v>2</v>
      </c>
      <c r="JY19" s="39" t="s">
        <v>754</v>
      </c>
      <c r="KB19" s="39">
        <v>4</v>
      </c>
      <c r="KC19" s="39" t="s">
        <v>754</v>
      </c>
      <c r="KD19" s="39" t="s">
        <v>743</v>
      </c>
      <c r="KF19" s="39">
        <f t="shared" si="16"/>
        <v>2</v>
      </c>
      <c r="KG19" s="43">
        <f t="shared" si="12"/>
        <v>0.30784374676199355</v>
      </c>
      <c r="KK19" s="39">
        <v>29.71</v>
      </c>
      <c r="KL19" s="39" t="s">
        <v>375</v>
      </c>
      <c r="KO19" s="39">
        <v>96.51</v>
      </c>
      <c r="KP19" s="39" t="s">
        <v>375</v>
      </c>
    </row>
    <row r="20" spans="2:302" s="39" customFormat="1" ht="16.5" customHeight="1" x14ac:dyDescent="0.35">
      <c r="B20" s="39" t="s">
        <v>755</v>
      </c>
      <c r="C20" s="39" t="s">
        <v>325</v>
      </c>
      <c r="D20" s="39" t="s">
        <v>666</v>
      </c>
      <c r="E20" s="39" t="s">
        <v>172</v>
      </c>
      <c r="F20" s="112" t="s">
        <v>756</v>
      </c>
      <c r="G20" s="36" t="s">
        <v>174</v>
      </c>
      <c r="H20" s="40">
        <f>(143676+2723 +4152)/171954</f>
        <v>0.87553066517789646</v>
      </c>
      <c r="I20" s="40"/>
      <c r="L20" s="42">
        <v>4</v>
      </c>
      <c r="M20" s="39" t="s">
        <v>757</v>
      </c>
      <c r="P20" s="39" t="s">
        <v>126</v>
      </c>
      <c r="Q20" s="39" t="s">
        <v>758</v>
      </c>
      <c r="R20" s="39" t="s">
        <v>759</v>
      </c>
      <c r="T20" s="60" t="s">
        <v>115</v>
      </c>
      <c r="U20" s="44">
        <v>0.13</v>
      </c>
      <c r="X20" s="39">
        <f t="shared" si="9"/>
        <v>1</v>
      </c>
      <c r="Y20" s="43">
        <f t="shared" si="17"/>
        <v>0.44879012386312855</v>
      </c>
      <c r="AC20" s="39">
        <v>34.950000000000003</v>
      </c>
      <c r="AD20" s="39" t="s">
        <v>760</v>
      </c>
      <c r="AG20" s="39">
        <v>18.79</v>
      </c>
      <c r="AH20" s="39" t="s">
        <v>760</v>
      </c>
      <c r="AK20" s="39">
        <v>18.11</v>
      </c>
      <c r="AL20" s="39" t="s">
        <v>760</v>
      </c>
      <c r="AN20" s="39">
        <f>IF(AO20="数据缺失",0,IF(AO20&lt;-30%,6,IF(AO20&lt;-10%,5,IF(AO20&lt;0%,4,IF(AO20&lt;10%,3,IF(AO20&lt;30%,2,1))))))</f>
        <v>3</v>
      </c>
      <c r="AO20" s="43">
        <f>((AS20-AW20)/AW20+(AW20-BA20)/BA20)/2*100%</f>
        <v>9.8414956630029027E-2</v>
      </c>
      <c r="AS20" s="39">
        <v>18.899999999999999</v>
      </c>
      <c r="AT20" s="39" t="s">
        <v>760</v>
      </c>
      <c r="AW20" s="39">
        <v>13.41</v>
      </c>
      <c r="AX20" s="39" t="s">
        <v>760</v>
      </c>
      <c r="BA20" s="39">
        <v>17.03</v>
      </c>
      <c r="BB20" s="39" t="s">
        <v>760</v>
      </c>
      <c r="BD20" s="39">
        <f>IF(BE20="数据缺失",0,IF(BE20&lt;50,5,IF(BE20&lt;100,4,IF(BE20&lt;300,3,IF(BE20&lt;500,2,1)))))</f>
        <v>5</v>
      </c>
      <c r="BE20" s="8">
        <f t="shared" si="2"/>
        <v>34.950000000000003</v>
      </c>
      <c r="BI20" s="39">
        <v>34.950000000000003</v>
      </c>
      <c r="BJ20" s="39" t="s">
        <v>760</v>
      </c>
      <c r="BL20" s="39">
        <f>IF(BM20="数据缺失",0,IF(BM20&lt;50,5,IF(BM20&lt;100,4,IF(BM20&lt;300,3,IF(BM20&lt;500,2,1)))))</f>
        <v>5</v>
      </c>
      <c r="BM20" s="39">
        <f>BQ20</f>
        <v>18.899999999999999</v>
      </c>
      <c r="BQ20" s="39">
        <v>18.899999999999999</v>
      </c>
      <c r="BR20" s="39" t="s">
        <v>760</v>
      </c>
      <c r="BT20" s="39">
        <v>3</v>
      </c>
      <c r="BU20" s="39">
        <f>BY20</f>
        <v>241</v>
      </c>
      <c r="BY20" s="39">
        <v>241</v>
      </c>
      <c r="BZ20" s="39" t="s">
        <v>234</v>
      </c>
      <c r="CB20" s="39">
        <v>1</v>
      </c>
      <c r="CC20" s="39" t="s">
        <v>133</v>
      </c>
      <c r="CF20" s="39" t="s">
        <v>133</v>
      </c>
      <c r="CG20" s="39" t="s">
        <v>761</v>
      </c>
      <c r="CH20" s="39" t="s">
        <v>760</v>
      </c>
      <c r="CJ20" s="67">
        <f t="shared" si="3"/>
        <v>0</v>
      </c>
      <c r="CK20" s="48" t="s">
        <v>36</v>
      </c>
      <c r="CO20" s="39" t="s">
        <v>36</v>
      </c>
      <c r="CS20" s="39">
        <v>34.950000000000003</v>
      </c>
      <c r="CT20" s="39" t="s">
        <v>759</v>
      </c>
      <c r="CV20" s="42">
        <f t="shared" si="8"/>
        <v>0</v>
      </c>
      <c r="CW20" s="39" t="s">
        <v>36</v>
      </c>
      <c r="DA20" s="39" t="s">
        <v>36</v>
      </c>
      <c r="DB20" s="61"/>
      <c r="DD20" s="39">
        <v>0</v>
      </c>
      <c r="DE20" s="69" t="s">
        <v>36</v>
      </c>
      <c r="DI20" s="39">
        <v>18.899999999999999</v>
      </c>
      <c r="DJ20" s="39" t="s">
        <v>759</v>
      </c>
      <c r="DM20" s="39" t="s">
        <v>36</v>
      </c>
      <c r="DN20" s="61"/>
      <c r="DP20" s="39">
        <v>6</v>
      </c>
      <c r="DQ20" s="39" t="s">
        <v>762</v>
      </c>
      <c r="DR20" s="39" t="s">
        <v>759</v>
      </c>
      <c r="DU20" s="40" t="s">
        <v>36</v>
      </c>
      <c r="DY20" s="40" t="s">
        <v>36</v>
      </c>
      <c r="EC20" s="40" t="s">
        <v>36</v>
      </c>
      <c r="EG20" s="40" t="s">
        <v>36</v>
      </c>
      <c r="EJ20" s="39">
        <v>2</v>
      </c>
      <c r="EK20" s="39">
        <v>3.77</v>
      </c>
      <c r="EO20" s="39">
        <v>3.77</v>
      </c>
      <c r="EP20" s="39" t="s">
        <v>759</v>
      </c>
      <c r="ER20" s="42">
        <v>2</v>
      </c>
      <c r="ES20" s="39">
        <v>24.98</v>
      </c>
      <c r="EW20" s="39">
        <v>24.98</v>
      </c>
      <c r="EX20" s="39" t="s">
        <v>759</v>
      </c>
      <c r="EZ20" s="39">
        <f>IF(FA20="数据缺失",0,IF(FA20&lt;0%,0,IF(FA20&lt;=50,4,IF(FA20&lt;100,3,IF(FA20&lt;200,2,1)))))</f>
        <v>3</v>
      </c>
      <c r="FA20" s="39">
        <f>FE20</f>
        <v>55.76</v>
      </c>
      <c r="FE20" s="39">
        <v>55.76</v>
      </c>
      <c r="FF20" s="39" t="s">
        <v>760</v>
      </c>
      <c r="FH20" s="39">
        <v>6</v>
      </c>
      <c r="FI20" s="39" t="s">
        <v>762</v>
      </c>
      <c r="FJ20" s="39" t="s">
        <v>760</v>
      </c>
      <c r="FM20" s="39" t="s">
        <v>36</v>
      </c>
      <c r="FQ20" s="40" t="s">
        <v>36</v>
      </c>
      <c r="FU20" s="40" t="s">
        <v>36</v>
      </c>
      <c r="FY20" s="40" t="s">
        <v>36</v>
      </c>
      <c r="GB20" s="39">
        <v>2</v>
      </c>
      <c r="GC20" s="39" t="s">
        <v>764</v>
      </c>
      <c r="GG20" s="39" t="s">
        <v>764</v>
      </c>
      <c r="GH20" s="39" t="s">
        <v>760</v>
      </c>
      <c r="GJ20" s="39">
        <f>IF(GK20="数据缺失",0,IF(GK20&lt;0%,0,IF(GK20&lt;=5%,4,IF(GK20&lt;10%,3,IF(GK20&lt;20%,2,1)))))</f>
        <v>4</v>
      </c>
      <c r="GK20" s="43">
        <f>GN20/GS20</f>
        <v>4.011627906976744E-2</v>
      </c>
      <c r="GN20" s="39">
        <v>0.69</v>
      </c>
      <c r="GO20" s="39" t="s">
        <v>765</v>
      </c>
      <c r="GP20" s="39" t="s">
        <v>760</v>
      </c>
      <c r="GS20" s="78">
        <v>17.2</v>
      </c>
      <c r="GT20" s="39" t="s">
        <v>760</v>
      </c>
      <c r="GV20" s="39">
        <f>IF(GW20="数据缺失",0,IF(GW20&lt;20%,1,IF(GW20&lt;40%,2,IF(GW20&lt;60%,3,IF(GW20&lt;80%,4,IF(GW20&lt;=100%,5,0))))))</f>
        <v>2</v>
      </c>
      <c r="GW20" s="43">
        <f>HA20/HE20*100%</f>
        <v>0.24842587292501431</v>
      </c>
      <c r="HA20" s="78">
        <v>21.7</v>
      </c>
      <c r="HB20" s="39" t="s">
        <v>146</v>
      </c>
      <c r="HE20" s="39">
        <v>87.35</v>
      </c>
      <c r="HF20" s="39" t="s">
        <v>146</v>
      </c>
      <c r="HH20" s="39">
        <f t="shared" si="10"/>
        <v>1</v>
      </c>
      <c r="HI20" s="43">
        <f t="shared" si="11"/>
        <v>0.15809893307468476</v>
      </c>
      <c r="HM20" s="39">
        <v>1.63</v>
      </c>
      <c r="HN20" s="39" t="s">
        <v>146</v>
      </c>
      <c r="HQ20" s="39">
        <v>10.31</v>
      </c>
      <c r="HR20" s="39" t="s">
        <v>146</v>
      </c>
      <c r="HT20" s="39">
        <f t="shared" si="14"/>
        <v>4</v>
      </c>
      <c r="HU20" s="39">
        <f>HY20/IC20</f>
        <v>0</v>
      </c>
      <c r="HY20" s="39">
        <v>0</v>
      </c>
      <c r="HZ20" s="39" t="s">
        <v>146</v>
      </c>
      <c r="IC20" s="39">
        <v>8.16</v>
      </c>
      <c r="ID20" s="39" t="s">
        <v>146</v>
      </c>
      <c r="IR20" s="42">
        <v>0</v>
      </c>
      <c r="IS20" s="43" t="s">
        <v>36</v>
      </c>
      <c r="IW20" s="39" t="s">
        <v>36</v>
      </c>
      <c r="JA20" s="39">
        <v>31.95</v>
      </c>
      <c r="JB20" s="39" t="s">
        <v>146</v>
      </c>
      <c r="JD20" s="39">
        <f t="shared" si="13"/>
        <v>2</v>
      </c>
      <c r="JE20" s="43">
        <f t="shared" si="15"/>
        <v>4.558924093913836E-2</v>
      </c>
      <c r="JI20" s="39">
        <v>0.01</v>
      </c>
      <c r="JJ20" s="39" t="s">
        <v>760</v>
      </c>
      <c r="JM20" s="39">
        <v>0.01</v>
      </c>
      <c r="JN20" s="39" t="s">
        <v>760</v>
      </c>
      <c r="JQ20" s="39">
        <v>14.91</v>
      </c>
      <c r="JR20" s="39" t="s">
        <v>760</v>
      </c>
      <c r="JU20" s="39">
        <v>28.96</v>
      </c>
      <c r="JV20" s="39" t="s">
        <v>760</v>
      </c>
      <c r="JX20" s="39">
        <v>2</v>
      </c>
      <c r="JY20" s="39" t="s">
        <v>754</v>
      </c>
      <c r="KB20" s="39">
        <v>4</v>
      </c>
      <c r="KC20" s="39" t="s">
        <v>754</v>
      </c>
      <c r="KD20" s="39" t="s">
        <v>760</v>
      </c>
      <c r="KF20" s="39">
        <f t="shared" si="16"/>
        <v>1</v>
      </c>
      <c r="KG20" s="43">
        <f t="shared" si="12"/>
        <v>7.5743348982785605E-2</v>
      </c>
      <c r="KK20" s="39">
        <v>2.42</v>
      </c>
      <c r="KL20" s="39" t="s">
        <v>146</v>
      </c>
      <c r="KO20" s="39">
        <v>31.95</v>
      </c>
      <c r="KP20" s="39" t="s">
        <v>146</v>
      </c>
    </row>
    <row r="21" spans="2:302" s="39" customFormat="1" ht="16.5" customHeight="1" x14ac:dyDescent="0.35">
      <c r="B21" s="39" t="s">
        <v>766</v>
      </c>
      <c r="C21" s="39" t="s">
        <v>325</v>
      </c>
      <c r="D21" s="39" t="s">
        <v>666</v>
      </c>
      <c r="E21" s="39" t="s">
        <v>172</v>
      </c>
      <c r="F21" s="112" t="s">
        <v>768</v>
      </c>
      <c r="G21" s="36" t="s">
        <v>174</v>
      </c>
      <c r="H21" s="40">
        <f>(110.56-0.68-12.04-0.03)/110.56</f>
        <v>0.88467800289435605</v>
      </c>
      <c r="L21" s="42">
        <v>4</v>
      </c>
      <c r="M21" s="39" t="s">
        <v>769</v>
      </c>
      <c r="P21" s="39" t="s">
        <v>603</v>
      </c>
      <c r="Q21" s="39" t="s">
        <v>770</v>
      </c>
      <c r="R21" s="39" t="s">
        <v>771</v>
      </c>
      <c r="T21" s="60" t="s">
        <v>113</v>
      </c>
      <c r="U21" s="44">
        <f>((100%*45%*6%*38.22%)+(100%*45%*6%*100%*16.07%)+(6%*38.22%)+(6%*100%*16.07%)+(100%*49%*38.22%)+(100%*49%*100%*16.07%))</f>
        <v>0.31325330000000001</v>
      </c>
      <c r="X21" s="39">
        <f t="shared" si="9"/>
        <v>1</v>
      </c>
      <c r="Y21" s="43">
        <f t="shared" si="17"/>
        <v>0.6857353549989651</v>
      </c>
      <c r="AC21" s="39">
        <v>149.16</v>
      </c>
      <c r="AD21" s="39" t="s">
        <v>772</v>
      </c>
      <c r="AG21" s="78">
        <v>52.8</v>
      </c>
      <c r="AH21" s="39" t="s">
        <v>772</v>
      </c>
      <c r="AK21" s="39">
        <v>96.62</v>
      </c>
      <c r="AL21" s="39" t="s">
        <v>772</v>
      </c>
      <c r="AN21" s="39">
        <v>2</v>
      </c>
      <c r="AO21" s="43">
        <v>0.24841888842546553</v>
      </c>
      <c r="AS21" s="39">
        <v>129.43</v>
      </c>
      <c r="AT21" s="39" t="s">
        <v>771</v>
      </c>
      <c r="AW21" s="39">
        <v>71</v>
      </c>
      <c r="AX21" s="39" t="s">
        <v>771</v>
      </c>
      <c r="BA21" s="39">
        <v>105.36</v>
      </c>
      <c r="BB21" s="39" t="s">
        <v>771</v>
      </c>
      <c r="BD21" s="39">
        <f>IF(BE21="数据缺失",0,IF(BE21&lt;50,5,IF(BE21&lt;100,4,IF(BE21&lt;300,3,IF(BE21&lt;500,2,1)))))</f>
        <v>3</v>
      </c>
      <c r="BE21" s="8">
        <f t="shared" si="2"/>
        <v>149.16</v>
      </c>
      <c r="BI21" s="39">
        <v>149.16</v>
      </c>
      <c r="BJ21" s="39" t="s">
        <v>772</v>
      </c>
      <c r="BL21" s="39">
        <f>IF(BM21="数据缺失",0,IF(BM21&lt;50,5,IF(BM21&lt;100,4,IF(BM21&lt;300,3,IF(BM21&lt;500,2,1)))))</f>
        <v>3</v>
      </c>
      <c r="BM21" s="39">
        <f>BQ21</f>
        <v>129.43</v>
      </c>
      <c r="BQ21" s="39">
        <v>129.43</v>
      </c>
      <c r="BR21" s="39" t="s">
        <v>772</v>
      </c>
      <c r="BT21" s="103">
        <v>2</v>
      </c>
      <c r="BU21" s="103">
        <v>45</v>
      </c>
      <c r="BV21" s="103"/>
      <c r="BW21" s="103"/>
      <c r="BX21" s="103"/>
      <c r="BY21" s="103">
        <v>45</v>
      </c>
      <c r="BZ21" s="109" t="s">
        <v>234</v>
      </c>
      <c r="CB21" s="39">
        <v>1</v>
      </c>
      <c r="CC21" s="39" t="s">
        <v>132</v>
      </c>
      <c r="CF21" s="39" t="s">
        <v>132</v>
      </c>
      <c r="CG21" s="39" t="s">
        <v>774</v>
      </c>
      <c r="CH21" s="39" t="s">
        <v>771</v>
      </c>
      <c r="CJ21" s="67">
        <f t="shared" si="3"/>
        <v>2</v>
      </c>
      <c r="CK21" s="48">
        <f>CO21/CS21</f>
        <v>0</v>
      </c>
      <c r="CO21" s="39">
        <v>0</v>
      </c>
      <c r="CP21" s="39" t="s">
        <v>771</v>
      </c>
      <c r="CS21" s="39">
        <v>149.16</v>
      </c>
      <c r="CT21" s="39" t="s">
        <v>771</v>
      </c>
      <c r="CV21" s="42">
        <f t="shared" si="8"/>
        <v>4</v>
      </c>
      <c r="CW21" s="39">
        <f>DA21</f>
        <v>249.98</v>
      </c>
      <c r="DA21" s="39">
        <v>249.98</v>
      </c>
      <c r="DB21" s="39" t="s">
        <v>772</v>
      </c>
      <c r="DC21" s="39" t="s">
        <v>775</v>
      </c>
      <c r="DD21" s="39">
        <f>IF(DE21="数据缺失",0,IF(DE21&lt;0,0,IF(DE21&lt;2,3,IF(DE21&lt;=5,1,2))))</f>
        <v>3</v>
      </c>
      <c r="DE21" s="69">
        <f>DM21/DI21</f>
        <v>1.9313914857451904</v>
      </c>
      <c r="DI21" s="39">
        <v>129.43</v>
      </c>
      <c r="DJ21" s="39" t="s">
        <v>772</v>
      </c>
      <c r="DM21" s="39">
        <v>249.98</v>
      </c>
      <c r="DN21" s="39" t="s">
        <v>772</v>
      </c>
      <c r="DP21" s="39">
        <v>4</v>
      </c>
      <c r="DQ21" s="39" t="s">
        <v>776</v>
      </c>
      <c r="DU21" s="40">
        <v>0</v>
      </c>
      <c r="DV21" s="39" t="s">
        <v>772</v>
      </c>
      <c r="DY21" s="40">
        <v>0.49230000000000002</v>
      </c>
      <c r="DZ21" s="39" t="s">
        <v>772</v>
      </c>
      <c r="EC21" s="40">
        <v>0.2177</v>
      </c>
      <c r="ED21" s="39" t="s">
        <v>772</v>
      </c>
      <c r="EG21" s="40">
        <v>0.28999999999999998</v>
      </c>
      <c r="EH21" s="39" t="s">
        <v>772</v>
      </c>
      <c r="EJ21" s="39">
        <v>1</v>
      </c>
      <c r="EK21" s="39">
        <v>135.6</v>
      </c>
      <c r="EO21" s="39">
        <v>135.6</v>
      </c>
      <c r="EP21" s="39" t="s">
        <v>777</v>
      </c>
      <c r="ER21" s="42">
        <v>1</v>
      </c>
      <c r="ES21" s="39">
        <v>196.1</v>
      </c>
      <c r="EW21" s="39">
        <v>196.1</v>
      </c>
      <c r="EX21" s="39" t="s">
        <v>777</v>
      </c>
      <c r="EZ21" s="39">
        <v>1</v>
      </c>
      <c r="FA21" s="39">
        <v>611.72</v>
      </c>
      <c r="FE21" s="39">
        <v>611.72</v>
      </c>
      <c r="FF21" s="39" t="s">
        <v>772</v>
      </c>
      <c r="FH21" s="39">
        <v>4</v>
      </c>
      <c r="FI21" s="39" t="s">
        <v>778</v>
      </c>
      <c r="FM21" s="40">
        <v>0.2044</v>
      </c>
      <c r="FN21" s="39" t="s">
        <v>772</v>
      </c>
      <c r="FQ21" s="40">
        <v>0.37840000000000001</v>
      </c>
      <c r="FR21" s="39" t="s">
        <v>772</v>
      </c>
      <c r="FU21" s="40">
        <v>0.30520000000000003</v>
      </c>
      <c r="FV21" s="39" t="s">
        <v>772</v>
      </c>
      <c r="FY21" s="40">
        <v>0.112</v>
      </c>
      <c r="FZ21" s="39" t="s">
        <v>772</v>
      </c>
      <c r="GB21" s="39">
        <v>3</v>
      </c>
      <c r="GC21" s="39" t="s">
        <v>779</v>
      </c>
      <c r="GG21" s="39" t="s">
        <v>779</v>
      </c>
      <c r="GH21" s="39" t="s">
        <v>772</v>
      </c>
      <c r="GJ21" s="39">
        <f>IF(GK21="数据缺失",0,IF(GK21&lt;0%,0,IF(GK21&lt;=5%,4,IF(GK21&lt;10%,3,IF(GK21&lt;20%,2,1)))))</f>
        <v>4</v>
      </c>
      <c r="GK21" s="43">
        <f>GN21/GS21</f>
        <v>1.5828509406657018E-2</v>
      </c>
      <c r="GN21" s="39">
        <v>1.75</v>
      </c>
      <c r="GO21" s="39" t="s">
        <v>780</v>
      </c>
      <c r="GP21" s="39" t="s">
        <v>772</v>
      </c>
      <c r="GS21" s="39">
        <v>110.56</v>
      </c>
      <c r="GT21" s="39" t="s">
        <v>772</v>
      </c>
      <c r="GV21" s="39">
        <f>IF(GW21="数据缺失",0,IF(GW21&lt;20%,1,IF(GW21&lt;40%,2,IF(GW21&lt;60%,3,IF(GW21&lt;80%,4,IF(GW21&lt;=100%,5,0))))))</f>
        <v>2</v>
      </c>
      <c r="GW21" s="43">
        <f>HA21/HE21*100%</f>
        <v>0.31326990485728595</v>
      </c>
      <c r="HA21" s="39">
        <v>156.4</v>
      </c>
      <c r="HB21" s="39" t="s">
        <v>146</v>
      </c>
      <c r="HE21" s="39">
        <v>499.25</v>
      </c>
      <c r="HF21" s="39" t="s">
        <v>146</v>
      </c>
      <c r="HH21" s="39">
        <f t="shared" si="10"/>
        <v>1</v>
      </c>
      <c r="HI21" s="43">
        <f t="shared" si="11"/>
        <v>0.12687288545190914</v>
      </c>
      <c r="HM21" s="48">
        <v>5.25</v>
      </c>
      <c r="HN21" s="39" t="s">
        <v>146</v>
      </c>
      <c r="HQ21" s="39">
        <v>41.38</v>
      </c>
      <c r="HR21" s="39" t="s">
        <v>146</v>
      </c>
      <c r="HT21" s="39">
        <f t="shared" si="14"/>
        <v>4</v>
      </c>
      <c r="HU21" s="40">
        <v>2.7199999999999998E-2</v>
      </c>
      <c r="HY21" s="39">
        <v>2.67</v>
      </c>
      <c r="HZ21" s="39" t="s">
        <v>146</v>
      </c>
      <c r="IC21" s="78">
        <v>98.3</v>
      </c>
      <c r="ID21" s="39" t="s">
        <v>146</v>
      </c>
      <c r="IR21" s="42">
        <f>IF(IS21="数据缺失",0,IF(IS21&lt;0%,0,IF(IS21&lt;=100%,4,IF(IS21&lt;200%,3,IF(IS21&lt;300%,2,1)))))</f>
        <v>1</v>
      </c>
      <c r="IS21" s="43">
        <f>IW21/JA21</f>
        <v>3.433955534419213</v>
      </c>
      <c r="IW21" s="39">
        <v>288.83</v>
      </c>
      <c r="IX21" s="39" t="s">
        <v>224</v>
      </c>
      <c r="IY21" s="39" t="s">
        <v>775</v>
      </c>
      <c r="JA21" s="39">
        <v>84.11</v>
      </c>
      <c r="JB21" s="39" t="s">
        <v>146</v>
      </c>
      <c r="JD21" s="39">
        <f t="shared" si="13"/>
        <v>4</v>
      </c>
      <c r="JE21" s="43">
        <f t="shared" si="15"/>
        <v>8.84139528269305E-2</v>
      </c>
      <c r="JI21" s="39">
        <v>10.88</v>
      </c>
      <c r="JJ21" s="39" t="s">
        <v>772</v>
      </c>
      <c r="JM21" s="39">
        <v>0.5</v>
      </c>
      <c r="JN21" s="39" t="s">
        <v>772</v>
      </c>
      <c r="JQ21" s="39">
        <v>266.47000000000003</v>
      </c>
      <c r="JR21" s="39" t="s">
        <v>772</v>
      </c>
      <c r="JU21" s="39">
        <v>225.76</v>
      </c>
      <c r="JV21" s="39" t="s">
        <v>772</v>
      </c>
      <c r="JX21" s="39">
        <v>2</v>
      </c>
      <c r="JY21" s="39" t="s">
        <v>754</v>
      </c>
      <c r="KB21" s="39">
        <v>4</v>
      </c>
      <c r="KC21" s="39" t="s">
        <v>754</v>
      </c>
      <c r="KD21" s="39" t="s">
        <v>772</v>
      </c>
      <c r="KF21" s="39">
        <f t="shared" si="16"/>
        <v>1</v>
      </c>
      <c r="KG21" s="43">
        <f t="shared" si="12"/>
        <v>0</v>
      </c>
      <c r="KK21" s="39">
        <v>0</v>
      </c>
      <c r="KL21" s="39" t="s">
        <v>146</v>
      </c>
      <c r="KO21" s="39">
        <v>84.11</v>
      </c>
      <c r="KP21" s="39" t="s">
        <v>146</v>
      </c>
    </row>
    <row r="22" spans="2:302" s="39" customFormat="1" ht="16.5" customHeight="1" x14ac:dyDescent="0.35">
      <c r="B22" s="39" t="s">
        <v>781</v>
      </c>
      <c r="C22" s="39" t="s">
        <v>325</v>
      </c>
      <c r="D22" s="39" t="s">
        <v>666</v>
      </c>
      <c r="E22" s="39" t="s">
        <v>172</v>
      </c>
      <c r="F22" s="112" t="s">
        <v>782</v>
      </c>
      <c r="G22" s="36" t="s">
        <v>199</v>
      </c>
      <c r="H22" s="40">
        <v>0.98970000000000002</v>
      </c>
      <c r="L22" s="42">
        <v>4</v>
      </c>
      <c r="M22" s="39" t="s">
        <v>783</v>
      </c>
      <c r="P22" s="60" t="s">
        <v>117</v>
      </c>
      <c r="Q22" s="39" t="s">
        <v>785</v>
      </c>
      <c r="R22" s="39" t="s">
        <v>786</v>
      </c>
      <c r="T22" s="60" t="s">
        <v>113</v>
      </c>
      <c r="U22" s="44">
        <v>0.26019999999999999</v>
      </c>
      <c r="X22" s="39">
        <f t="shared" si="9"/>
        <v>4</v>
      </c>
      <c r="Y22" s="43">
        <f t="shared" si="17"/>
        <v>-5.1444100928113579E-3</v>
      </c>
      <c r="AC22" s="39">
        <v>61.19</v>
      </c>
      <c r="AD22" s="39" t="s">
        <v>786</v>
      </c>
      <c r="AG22" s="78">
        <v>48.3</v>
      </c>
      <c r="AH22" s="39" t="s">
        <v>786</v>
      </c>
      <c r="AK22" s="39">
        <v>66.819999999999993</v>
      </c>
      <c r="AL22" s="39" t="s">
        <v>786</v>
      </c>
      <c r="AN22" s="39">
        <f>IF(AO22="数据缺失",0,IF(AO22&lt;-30%,6,IF(AO22&lt;-10%,5,IF(AO22&lt;0%,4,IF(AO22&lt;10%,3,IF(AO22&lt;30%,2,1))))))</f>
        <v>4</v>
      </c>
      <c r="AO22" s="43">
        <f>((AS22-AW22)/AW22+(AW22-BA22)/BA22)/2*100%</f>
        <v>-7.1111276391264966E-2</v>
      </c>
      <c r="AS22" s="39">
        <v>56.91</v>
      </c>
      <c r="AT22" s="39" t="s">
        <v>786</v>
      </c>
      <c r="AW22" s="78">
        <v>46.51</v>
      </c>
      <c r="AX22" s="39" t="s">
        <v>786</v>
      </c>
      <c r="BA22" s="39">
        <v>73.34</v>
      </c>
      <c r="BB22" s="39" t="s">
        <v>786</v>
      </c>
      <c r="BD22" s="39">
        <f>IF(BE22="数据缺失",0,IF(BE22&lt;50,5,IF(BE22&lt;100,4,IF(BE22&lt;300,3,IF(BE22&lt;500,2,1)))))</f>
        <v>4</v>
      </c>
      <c r="BE22" s="8">
        <f t="shared" si="2"/>
        <v>61.19</v>
      </c>
      <c r="BI22" s="39">
        <v>61.19</v>
      </c>
      <c r="BJ22" s="39" t="s">
        <v>786</v>
      </c>
      <c r="BL22" s="39">
        <f>IF(BM22="数据缺失",0,IF(BM22&lt;50,5,IF(BM22&lt;100,4,IF(BM22&lt;300,3,IF(BM22&lt;500,2,1)))))</f>
        <v>4</v>
      </c>
      <c r="BM22" s="39">
        <f>BQ22</f>
        <v>56.91</v>
      </c>
      <c r="BQ22" s="39">
        <v>56.91</v>
      </c>
      <c r="BR22" s="39" t="s">
        <v>786</v>
      </c>
      <c r="BT22" s="39">
        <v>3</v>
      </c>
      <c r="BU22" s="39">
        <v>154</v>
      </c>
      <c r="BY22" s="14">
        <v>154</v>
      </c>
      <c r="BZ22" s="80" t="s">
        <v>331</v>
      </c>
      <c r="CB22" s="39">
        <v>1</v>
      </c>
      <c r="CC22" s="39" t="s">
        <v>133</v>
      </c>
      <c r="CF22" s="39" t="s">
        <v>133</v>
      </c>
      <c r="CG22" s="39" t="s">
        <v>698</v>
      </c>
      <c r="CH22" s="39" t="s">
        <v>786</v>
      </c>
      <c r="CJ22" s="67">
        <f t="shared" si="3"/>
        <v>2</v>
      </c>
      <c r="CO22" s="39" t="s">
        <v>37</v>
      </c>
      <c r="CS22" s="39">
        <v>61.19</v>
      </c>
      <c r="CT22" s="39" t="s">
        <v>786</v>
      </c>
      <c r="CV22" s="42">
        <f t="shared" si="8"/>
        <v>0</v>
      </c>
      <c r="CW22" s="42" t="s">
        <v>37</v>
      </c>
      <c r="DA22" s="42" t="s">
        <v>37</v>
      </c>
      <c r="DD22" s="39">
        <v>0</v>
      </c>
      <c r="DE22" s="151" t="s">
        <v>37</v>
      </c>
      <c r="DI22" s="39">
        <v>56.91</v>
      </c>
      <c r="DJ22" s="39" t="s">
        <v>788</v>
      </c>
      <c r="DM22" s="42" t="s">
        <v>37</v>
      </c>
      <c r="DP22" s="39">
        <v>3</v>
      </c>
      <c r="DQ22" s="14" t="s">
        <v>789</v>
      </c>
      <c r="DR22" s="39" t="s">
        <v>788</v>
      </c>
      <c r="DU22" s="44" t="s">
        <v>37</v>
      </c>
      <c r="DY22" s="44" t="s">
        <v>37</v>
      </c>
      <c r="EC22" s="44" t="s">
        <v>37</v>
      </c>
      <c r="EG22" s="44" t="s">
        <v>37</v>
      </c>
      <c r="EJ22" s="39">
        <f>IF(EK22="数据缺失",0,IF(EK22&lt;0%,0,IF(EK22&lt;=5%,5,IF(EK22&lt;=20%,4,IF(EK22&lt;=50%,3,IF(EK22&lt;=100,2,1))))))</f>
        <v>1</v>
      </c>
      <c r="EK22" s="39">
        <f>EO22</f>
        <v>120</v>
      </c>
      <c r="EO22" s="39">
        <v>120</v>
      </c>
      <c r="EP22" s="39" t="s">
        <v>786</v>
      </c>
      <c r="ER22" s="42">
        <f>IF(ES22="数据缺失",0,IF(ES22&lt;0%,0,IF(ES22&lt;=5%,5,IF(ES22&lt;=20%,4,IF(ES22&lt;=50%,3,IF(ES22&lt;=100,2,1))))))</f>
        <v>2</v>
      </c>
      <c r="ES22" s="39">
        <f>EW22</f>
        <v>56</v>
      </c>
      <c r="EW22" s="39">
        <v>56</v>
      </c>
      <c r="EX22" s="39" t="s">
        <v>786</v>
      </c>
      <c r="EZ22" s="39">
        <f>IF(FA22="数据缺失",0,IF(FA22&lt;0%,0,IF(FA22&lt;=50,4,IF(FA22&lt;100,3,IF(FA22&lt;200,2,1)))))</f>
        <v>1</v>
      </c>
      <c r="FA22" s="39">
        <f>FE22</f>
        <v>368</v>
      </c>
      <c r="FE22" s="39">
        <v>368</v>
      </c>
      <c r="FF22" s="39" t="s">
        <v>786</v>
      </c>
      <c r="FH22" s="39">
        <v>3</v>
      </c>
      <c r="FI22" s="14" t="s">
        <v>789</v>
      </c>
      <c r="FJ22" s="39" t="s">
        <v>786</v>
      </c>
      <c r="FM22" s="39">
        <v>0</v>
      </c>
      <c r="FN22" s="39" t="s">
        <v>786</v>
      </c>
      <c r="FQ22" s="42" t="s">
        <v>37</v>
      </c>
      <c r="FU22" s="39">
        <v>0</v>
      </c>
      <c r="FV22" s="39" t="s">
        <v>786</v>
      </c>
      <c r="FY22" s="39">
        <v>0</v>
      </c>
      <c r="FZ22" s="39" t="s">
        <v>786</v>
      </c>
      <c r="GB22" s="39">
        <v>2</v>
      </c>
      <c r="GC22" s="39" t="s">
        <v>790</v>
      </c>
      <c r="GG22" s="39" t="s">
        <v>790</v>
      </c>
      <c r="GH22" s="39" t="s">
        <v>786</v>
      </c>
      <c r="GJ22" s="39">
        <v>0</v>
      </c>
      <c r="GK22" s="39" t="s">
        <v>37</v>
      </c>
      <c r="GO22" s="39" t="s">
        <v>37</v>
      </c>
      <c r="GS22" s="39">
        <v>53.44</v>
      </c>
      <c r="GT22" s="39" t="s">
        <v>786</v>
      </c>
      <c r="GV22" s="39">
        <v>0</v>
      </c>
      <c r="GW22" s="39" t="s">
        <v>37</v>
      </c>
      <c r="HA22" s="39" t="s">
        <v>37</v>
      </c>
      <c r="HE22" s="39">
        <v>256.72000000000003</v>
      </c>
      <c r="HF22" s="39" t="s">
        <v>786</v>
      </c>
      <c r="HH22" s="39">
        <v>0</v>
      </c>
      <c r="HI22" s="42" t="s">
        <v>37</v>
      </c>
      <c r="HM22" s="42" t="s">
        <v>37</v>
      </c>
      <c r="HQ22" s="39">
        <v>8.91</v>
      </c>
      <c r="HR22" s="39" t="s">
        <v>786</v>
      </c>
      <c r="HT22" s="39">
        <f t="shared" si="14"/>
        <v>0</v>
      </c>
      <c r="HU22" s="42" t="s">
        <v>37</v>
      </c>
      <c r="HY22" s="42" t="s">
        <v>37</v>
      </c>
      <c r="IC22" s="39">
        <v>32.659999999999997</v>
      </c>
      <c r="ID22" s="39" t="s">
        <v>786</v>
      </c>
      <c r="IR22" s="3">
        <f>IF(IS22="数据缺失",0,IF(IS22&lt;0%,0,IF(IS22&lt;=100%,4,IF(IS22&lt;200%,3,IF(IS22&lt;300%,2,1)))))</f>
        <v>3</v>
      </c>
      <c r="IS22" s="5">
        <f>IW22/JA22</f>
        <v>1.0457785087719298</v>
      </c>
      <c r="IT22" s="36"/>
      <c r="IU22" s="36"/>
      <c r="IV22" s="36"/>
      <c r="IW22" s="36">
        <v>76.3</v>
      </c>
      <c r="IX22" s="36" t="s">
        <v>144</v>
      </c>
      <c r="IY22" s="36" t="s">
        <v>401</v>
      </c>
      <c r="JA22" s="39">
        <v>72.959999999999994</v>
      </c>
      <c r="JB22" s="39" t="s">
        <v>786</v>
      </c>
      <c r="JD22" s="39">
        <f t="shared" si="13"/>
        <v>4</v>
      </c>
      <c r="JE22" s="43">
        <f t="shared" si="15"/>
        <v>9.655767694725724E-2</v>
      </c>
      <c r="JI22" s="39">
        <v>14.99</v>
      </c>
      <c r="JJ22" s="39" t="s">
        <v>786</v>
      </c>
      <c r="JM22" s="39">
        <v>1.7</v>
      </c>
      <c r="JN22" s="39" t="s">
        <v>786</v>
      </c>
      <c r="JQ22" s="39">
        <v>111.38</v>
      </c>
      <c r="JR22" s="39" t="s">
        <v>786</v>
      </c>
      <c r="JU22" s="39">
        <v>71.260000000000005</v>
      </c>
      <c r="JV22" s="39" t="s">
        <v>786</v>
      </c>
      <c r="JX22" s="39">
        <v>2</v>
      </c>
      <c r="JY22" s="39" t="s">
        <v>504</v>
      </c>
      <c r="KB22" s="39">
        <v>10</v>
      </c>
      <c r="KC22" s="39" t="s">
        <v>504</v>
      </c>
      <c r="KD22" s="39" t="s">
        <v>786</v>
      </c>
      <c r="KF22" s="39">
        <f t="shared" si="16"/>
        <v>0</v>
      </c>
      <c r="KG22" s="39" t="s">
        <v>37</v>
      </c>
      <c r="KK22" s="39" t="s">
        <v>37</v>
      </c>
      <c r="KO22" s="39">
        <v>72.959999999999994</v>
      </c>
      <c r="KP22" s="39" t="s">
        <v>786</v>
      </c>
    </row>
    <row r="23" spans="2:302" s="39" customFormat="1" ht="16.5" customHeight="1" x14ac:dyDescent="0.35">
      <c r="B23" s="39" t="s">
        <v>791</v>
      </c>
      <c r="C23" s="39" t="s">
        <v>170</v>
      </c>
      <c r="D23" s="39" t="s">
        <v>792</v>
      </c>
      <c r="E23" s="39" t="s">
        <v>172</v>
      </c>
      <c r="F23" s="112" t="s">
        <v>793</v>
      </c>
      <c r="G23" s="36" t="s">
        <v>174</v>
      </c>
      <c r="H23" s="40">
        <v>1</v>
      </c>
      <c r="L23" s="42">
        <v>3</v>
      </c>
      <c r="M23" s="39" t="s">
        <v>794</v>
      </c>
      <c r="P23" s="60" t="s">
        <v>118</v>
      </c>
      <c r="Q23" s="39" t="s">
        <v>795</v>
      </c>
      <c r="R23" s="39" t="s">
        <v>418</v>
      </c>
      <c r="T23" s="60" t="s">
        <v>111</v>
      </c>
      <c r="U23" s="44">
        <v>0.63929999999999998</v>
      </c>
      <c r="X23" s="42" t="str">
        <f>IF(Y23&gt;=30%,"1",IF(Y23&gt;=10%,"2",IF(Y23&gt;=0%,"3",IF(Y23&gt;=-10%,"4",IF(Y23&gt;=-30%,"5",IF(Y23&lt;-30%,"6",IF(Y23=数据缺失,"0")))))))</f>
        <v>6</v>
      </c>
      <c r="Y23" s="43">
        <f t="shared" si="17"/>
        <v>-1.1093982930687418</v>
      </c>
      <c r="AC23" s="39">
        <v>0.21</v>
      </c>
      <c r="AD23" s="39" t="s">
        <v>146</v>
      </c>
      <c r="AG23" s="83">
        <v>-3.17</v>
      </c>
      <c r="AH23" s="39" t="s">
        <v>798</v>
      </c>
      <c r="AK23" s="39">
        <v>20.78</v>
      </c>
      <c r="AL23" s="39" t="s">
        <v>798</v>
      </c>
      <c r="AN23" s="39">
        <v>6</v>
      </c>
      <c r="AO23" s="43">
        <f>((AS23-AW23)/AW23+(AW23-BA23)/BA23)/2*100%</f>
        <v>-1.1323004694835681</v>
      </c>
      <c r="AS23" s="39">
        <v>0.04</v>
      </c>
      <c r="AT23" s="39" t="s">
        <v>146</v>
      </c>
      <c r="AW23" s="83">
        <v>-0.75</v>
      </c>
      <c r="AX23" s="39" t="s">
        <v>798</v>
      </c>
      <c r="BA23" s="39">
        <v>3.55</v>
      </c>
      <c r="BB23" s="39" t="s">
        <v>798</v>
      </c>
      <c r="BD23" s="39">
        <v>5</v>
      </c>
      <c r="BE23" s="8">
        <f t="shared" si="2"/>
        <v>0.21</v>
      </c>
      <c r="BI23" s="39">
        <v>0.21</v>
      </c>
      <c r="BJ23" s="39" t="s">
        <v>146</v>
      </c>
      <c r="BL23" s="39">
        <v>5</v>
      </c>
      <c r="BM23" s="39">
        <v>0.04</v>
      </c>
      <c r="BQ23" s="39">
        <v>0.04</v>
      </c>
      <c r="BR23" s="39" t="s">
        <v>146</v>
      </c>
      <c r="BT23" s="39">
        <v>3</v>
      </c>
      <c r="BU23" s="39">
        <v>206</v>
      </c>
      <c r="BY23" s="14">
        <v>206</v>
      </c>
      <c r="BZ23" s="80" t="s">
        <v>529</v>
      </c>
      <c r="CA23" s="39" t="s">
        <v>799</v>
      </c>
      <c r="CB23" s="39">
        <v>4</v>
      </c>
      <c r="CC23" s="39" t="s">
        <v>136</v>
      </c>
      <c r="CF23" s="39" t="s">
        <v>136</v>
      </c>
      <c r="CG23" s="39" t="s">
        <v>801</v>
      </c>
      <c r="CH23" s="39" t="s">
        <v>798</v>
      </c>
      <c r="CJ23" s="67">
        <f t="shared" si="3"/>
        <v>0</v>
      </c>
      <c r="CK23" s="39" t="s">
        <v>37</v>
      </c>
      <c r="CO23" s="39" t="s">
        <v>37</v>
      </c>
      <c r="CS23" s="39">
        <f t="shared" ref="CS23:CT25" si="18">AC23</f>
        <v>0.21</v>
      </c>
      <c r="CT23" s="39" t="str">
        <f t="shared" si="18"/>
        <v>年报2015</v>
      </c>
      <c r="CV23" s="42">
        <f t="shared" si="8"/>
        <v>0</v>
      </c>
      <c r="CW23" s="39" t="str">
        <f>DA23</f>
        <v>数据缺失</v>
      </c>
      <c r="DA23" s="42" t="s">
        <v>37</v>
      </c>
      <c r="DD23" s="39">
        <v>0</v>
      </c>
      <c r="DE23" s="151" t="s">
        <v>37</v>
      </c>
      <c r="DI23" s="39">
        <f>AS23</f>
        <v>0.04</v>
      </c>
      <c r="DJ23" s="39" t="str">
        <f>AT23</f>
        <v>年报2015</v>
      </c>
      <c r="DM23" s="42" t="s">
        <v>37</v>
      </c>
      <c r="DP23" s="39">
        <v>1</v>
      </c>
      <c r="DQ23" s="14" t="s">
        <v>802</v>
      </c>
      <c r="DR23" s="36" t="str">
        <f>BB23</f>
        <v>募集20160120</v>
      </c>
      <c r="DU23" s="44" t="s">
        <v>37</v>
      </c>
      <c r="DY23" s="44" t="s">
        <v>37</v>
      </c>
      <c r="EC23" s="44" t="s">
        <v>37</v>
      </c>
      <c r="EG23" s="44" t="s">
        <v>37</v>
      </c>
      <c r="EJ23" s="39">
        <v>0</v>
      </c>
      <c r="EK23" s="39" t="str">
        <f>EO23</f>
        <v>数据缺失</v>
      </c>
      <c r="EO23" s="39" t="s">
        <v>37</v>
      </c>
      <c r="ER23" s="42">
        <v>0</v>
      </c>
      <c r="ES23" s="39" t="s">
        <v>37</v>
      </c>
      <c r="EW23" s="39" t="s">
        <v>37</v>
      </c>
      <c r="EZ23" s="39">
        <v>0</v>
      </c>
      <c r="FA23" s="39" t="s">
        <v>37</v>
      </c>
      <c r="FE23" s="39" t="s">
        <v>37</v>
      </c>
      <c r="FH23" s="39">
        <v>1</v>
      </c>
      <c r="FI23" s="14" t="s">
        <v>802</v>
      </c>
      <c r="FJ23" s="36" t="str">
        <f>CT23</f>
        <v>年报2015</v>
      </c>
      <c r="FM23" s="39" t="s">
        <v>37</v>
      </c>
      <c r="FQ23" s="42" t="s">
        <v>37</v>
      </c>
      <c r="FU23" s="39" t="s">
        <v>37</v>
      </c>
      <c r="FY23" s="39" t="s">
        <v>37</v>
      </c>
      <c r="GB23" s="39">
        <v>2</v>
      </c>
      <c r="GC23" s="39" t="str">
        <f>GG23</f>
        <v>房地产销售：6.43% 租金收入：93.57%</v>
      </c>
      <c r="GG23" s="39" t="s">
        <v>803</v>
      </c>
      <c r="GH23" s="39" t="s">
        <v>418</v>
      </c>
      <c r="GJ23" s="39">
        <f>IF(GK23="数据缺失",0,IF(GK23&lt;0%,0,IF(GK23&lt;=5%,4,IF(GK23&lt;10%,3,IF(GK23&lt;20%,2,1)))))</f>
        <v>1</v>
      </c>
      <c r="GK23" s="39">
        <f>GN23/GS23</f>
        <v>0.9363636363636364</v>
      </c>
      <c r="GN23" s="39">
        <v>3.09</v>
      </c>
      <c r="GO23" s="39" t="s">
        <v>804</v>
      </c>
      <c r="GP23" s="39" t="s">
        <v>418</v>
      </c>
      <c r="GS23" s="39">
        <v>3.3</v>
      </c>
      <c r="GT23" s="39" t="s">
        <v>146</v>
      </c>
      <c r="GV23" s="39">
        <f>IF(GW23="数据缺失",0,IF(GW23&lt;20%,1,IF(GW23&lt;40%,2,IF(GW23&lt;60%,3,IF(GW23&lt;80%,4,IF(GW23&lt;=100%,5,0))))))</f>
        <v>2</v>
      </c>
      <c r="GW23" s="39">
        <f>HA23/HE23*100%</f>
        <v>0.30697925920203928</v>
      </c>
      <c r="HA23" s="39">
        <v>79.48</v>
      </c>
      <c r="HB23" s="39" t="s">
        <v>146</v>
      </c>
      <c r="HE23" s="39">
        <v>258.91000000000003</v>
      </c>
      <c r="HF23" s="39" t="s">
        <v>146</v>
      </c>
      <c r="HH23" s="39">
        <f>IF(HI23="数据缺失",0,IF(HI23&lt;20%,1,IF(HI23&lt;40%,2,IF(HI23&lt;60%,3,IF(HI23&lt;80%,4,IF(HI23&lt;=100%,5,0))))))</f>
        <v>1</v>
      </c>
      <c r="HI23" s="42">
        <f>HM23/HQ23</f>
        <v>3.7752609371530092E-3</v>
      </c>
      <c r="HM23" s="42">
        <v>0.17</v>
      </c>
      <c r="HN23" s="39" t="s">
        <v>146</v>
      </c>
      <c r="HQ23" s="39">
        <v>45.03</v>
      </c>
      <c r="HR23" s="39" t="s">
        <v>146</v>
      </c>
      <c r="HT23" s="39">
        <f t="shared" si="14"/>
        <v>4</v>
      </c>
      <c r="HU23" s="42">
        <v>0</v>
      </c>
      <c r="HY23" s="42">
        <v>0</v>
      </c>
      <c r="HZ23" s="39" t="s">
        <v>146</v>
      </c>
      <c r="IC23" s="39">
        <v>21.5</v>
      </c>
      <c r="ID23" s="39" t="s">
        <v>146</v>
      </c>
      <c r="IR23" s="42">
        <v>4</v>
      </c>
      <c r="IS23" s="39">
        <f>IW23/JA23</f>
        <v>0.37878787878787878</v>
      </c>
      <c r="IW23" s="39">
        <v>30</v>
      </c>
      <c r="IX23" s="39" t="s">
        <v>146</v>
      </c>
      <c r="JA23" s="39">
        <v>79.2</v>
      </c>
      <c r="JB23" s="39" t="s">
        <v>146</v>
      </c>
      <c r="JD23" s="39">
        <v>1</v>
      </c>
      <c r="JE23" s="43">
        <f t="shared" si="15"/>
        <v>2.8150217903538589E-2</v>
      </c>
      <c r="JI23" s="39">
        <v>2.7</v>
      </c>
      <c r="JJ23" s="39" t="s">
        <v>418</v>
      </c>
      <c r="JM23" s="39">
        <v>8.84</v>
      </c>
      <c r="JN23" s="39" t="s">
        <v>418</v>
      </c>
      <c r="JQ23" s="39">
        <v>21.7</v>
      </c>
      <c r="JR23" s="39" t="s">
        <v>418</v>
      </c>
      <c r="JU23" s="39">
        <v>0</v>
      </c>
      <c r="JV23" s="39" t="s">
        <v>418</v>
      </c>
      <c r="JX23" s="39">
        <v>1</v>
      </c>
      <c r="JY23" s="39" t="s">
        <v>245</v>
      </c>
      <c r="KB23" s="39">
        <v>1</v>
      </c>
      <c r="KC23" s="39" t="s">
        <v>245</v>
      </c>
      <c r="KD23" s="39" t="s">
        <v>146</v>
      </c>
      <c r="KF23" s="39">
        <f t="shared" si="16"/>
        <v>2</v>
      </c>
      <c r="KG23" s="39">
        <f>KK23/KO23</f>
        <v>0.36363636363636365</v>
      </c>
      <c r="KK23" s="39">
        <v>28.8</v>
      </c>
      <c r="KL23" s="39" t="s">
        <v>146</v>
      </c>
      <c r="KO23" s="39">
        <f>JA23</f>
        <v>79.2</v>
      </c>
      <c r="KP23" s="39" t="str">
        <f>JB23</f>
        <v>年报2015</v>
      </c>
    </row>
    <row r="24" spans="2:302" s="39" customFormat="1" ht="16.5" customHeight="1" x14ac:dyDescent="0.35">
      <c r="B24" s="39" t="s">
        <v>805</v>
      </c>
      <c r="C24" s="39" t="s">
        <v>170</v>
      </c>
      <c r="D24" s="39" t="s">
        <v>792</v>
      </c>
      <c r="E24" s="39" t="s">
        <v>172</v>
      </c>
      <c r="F24" s="112" t="s">
        <v>806</v>
      </c>
      <c r="G24" s="36" t="s">
        <v>199</v>
      </c>
      <c r="H24" s="40">
        <v>1</v>
      </c>
      <c r="L24" s="42">
        <v>3</v>
      </c>
      <c r="M24" s="39" t="s">
        <v>794</v>
      </c>
      <c r="P24" s="60" t="s">
        <v>118</v>
      </c>
      <c r="Q24" s="39" t="s">
        <v>795</v>
      </c>
      <c r="R24" s="39" t="s">
        <v>418</v>
      </c>
      <c r="T24" s="60" t="s">
        <v>111</v>
      </c>
      <c r="U24" s="44">
        <v>0.63929999999999998</v>
      </c>
      <c r="X24" s="42" t="str">
        <f>IF(Y24&gt;=30%,"1",IF(Y24&gt;=10%,"2",IF(Y24&gt;=0%,"3",IF(Y24&gt;=-10%,"4",IF(Y24&gt;=-30%,"5",IF(Y24&lt;-30%,"6",IF(Y24=数据缺失,"0")))))))</f>
        <v>6</v>
      </c>
      <c r="Y24" s="43">
        <f t="shared" si="17"/>
        <v>-0.99488720263778141</v>
      </c>
      <c r="AC24" s="39">
        <v>-3.17</v>
      </c>
      <c r="AD24" s="39" t="s">
        <v>798</v>
      </c>
      <c r="AG24" s="78">
        <v>20.78</v>
      </c>
      <c r="AH24" s="39" t="s">
        <v>798</v>
      </c>
      <c r="AK24" s="39">
        <v>127.66</v>
      </c>
      <c r="AL24" s="39" t="s">
        <v>798</v>
      </c>
      <c r="AN24" s="39">
        <v>6</v>
      </c>
      <c r="AO24" s="43">
        <f>((AS24-AW24)/AW24+(AW24-BA24)/BA24)/2*100%</f>
        <v>-1.0319823505347436</v>
      </c>
      <c r="AS24" s="39">
        <v>-0.75</v>
      </c>
      <c r="AT24" s="39" t="s">
        <v>798</v>
      </c>
      <c r="AW24" s="78">
        <v>3.55</v>
      </c>
      <c r="AX24" s="39" t="s">
        <v>798</v>
      </c>
      <c r="BA24" s="39">
        <v>24.1</v>
      </c>
      <c r="BB24" s="39" t="s">
        <v>798</v>
      </c>
      <c r="BD24" s="39">
        <v>5</v>
      </c>
      <c r="BE24" s="8">
        <f t="shared" si="2"/>
        <v>-3.17</v>
      </c>
      <c r="BI24" s="39">
        <v>-3.17</v>
      </c>
      <c r="BJ24" s="39" t="s">
        <v>798</v>
      </c>
      <c r="BL24" s="39">
        <v>5</v>
      </c>
      <c r="BM24" s="39">
        <f>BQ24</f>
        <v>-0.75</v>
      </c>
      <c r="BQ24" s="39">
        <f>AS24</f>
        <v>-0.75</v>
      </c>
      <c r="BR24" s="39" t="str">
        <f>AT24</f>
        <v>募集20160120</v>
      </c>
      <c r="BT24" s="39">
        <v>3</v>
      </c>
      <c r="BU24" s="39">
        <v>187</v>
      </c>
      <c r="BY24" s="14">
        <v>187</v>
      </c>
      <c r="BZ24" s="80" t="s">
        <v>807</v>
      </c>
      <c r="CA24" s="39" t="s">
        <v>799</v>
      </c>
      <c r="CB24" s="39">
        <v>4</v>
      </c>
      <c r="CC24" s="39" t="s">
        <v>136</v>
      </c>
      <c r="CF24" s="39" t="s">
        <v>136</v>
      </c>
      <c r="CG24" s="39" t="s">
        <v>801</v>
      </c>
      <c r="CH24" s="39" t="s">
        <v>798</v>
      </c>
      <c r="CJ24" s="67">
        <f t="shared" si="3"/>
        <v>0</v>
      </c>
      <c r="CK24" s="39" t="s">
        <v>37</v>
      </c>
      <c r="CO24" s="39" t="s">
        <v>37</v>
      </c>
      <c r="CS24" s="39">
        <f t="shared" si="18"/>
        <v>-3.17</v>
      </c>
      <c r="CT24" s="39" t="str">
        <f t="shared" si="18"/>
        <v>募集20160120</v>
      </c>
      <c r="CV24" s="42">
        <f t="shared" si="8"/>
        <v>0</v>
      </c>
      <c r="CW24" s="39" t="str">
        <f>DA24</f>
        <v>数据缺失</v>
      </c>
      <c r="DA24" s="42" t="s">
        <v>37</v>
      </c>
      <c r="DD24" s="39">
        <v>0</v>
      </c>
      <c r="DE24" s="151" t="s">
        <v>37</v>
      </c>
      <c r="DI24" s="39">
        <f>AS24</f>
        <v>-0.75</v>
      </c>
      <c r="DJ24" s="39" t="str">
        <f>AT24</f>
        <v>募集20160120</v>
      </c>
      <c r="DM24" s="42" t="s">
        <v>37</v>
      </c>
      <c r="DP24" s="39">
        <v>1</v>
      </c>
      <c r="DQ24" s="14" t="s">
        <v>802</v>
      </c>
      <c r="DR24" s="36" t="str">
        <f>BB24</f>
        <v>募集20160120</v>
      </c>
      <c r="DU24" s="44" t="s">
        <v>37</v>
      </c>
      <c r="DY24" s="44" t="s">
        <v>37</v>
      </c>
      <c r="EC24" s="44" t="s">
        <v>37</v>
      </c>
      <c r="EG24" s="44" t="s">
        <v>37</v>
      </c>
      <c r="EJ24" s="39">
        <v>0</v>
      </c>
      <c r="EK24" s="39" t="s">
        <v>37</v>
      </c>
      <c r="EO24" s="39" t="s">
        <v>37</v>
      </c>
      <c r="ER24" s="42">
        <v>0</v>
      </c>
      <c r="ES24" s="39" t="s">
        <v>37</v>
      </c>
      <c r="EW24" s="39" t="s">
        <v>37</v>
      </c>
      <c r="EZ24" s="39">
        <v>0</v>
      </c>
      <c r="FA24" s="39" t="s">
        <v>37</v>
      </c>
      <c r="FE24" s="39" t="s">
        <v>37</v>
      </c>
      <c r="FH24" s="39">
        <v>1</v>
      </c>
      <c r="FI24" s="14" t="s">
        <v>802</v>
      </c>
      <c r="FJ24" s="36" t="str">
        <f>CT24</f>
        <v>募集20160120</v>
      </c>
      <c r="FM24" s="39" t="s">
        <v>37</v>
      </c>
      <c r="FQ24" s="42" t="s">
        <v>37</v>
      </c>
      <c r="FU24" s="39" t="s">
        <v>37</v>
      </c>
      <c r="FY24" s="39" t="s">
        <v>37</v>
      </c>
      <c r="GB24" s="39">
        <v>2</v>
      </c>
      <c r="GC24" s="39" t="str">
        <f>GG24</f>
        <v>房地产销售：98.90% 租金收入：1.10%</v>
      </c>
      <c r="GG24" s="39" t="s">
        <v>808</v>
      </c>
      <c r="GH24" s="39" t="s">
        <v>418</v>
      </c>
      <c r="GJ24" s="39">
        <f>IF(GK24="数据缺失",0,IF(GK24&lt;0%,0,IF(GK24&lt;=5%,4,IF(GK24&lt;10%,3,IF(GK24&lt;20%,2,1)))))</f>
        <v>4</v>
      </c>
      <c r="GK24" s="39">
        <f>GN24/GS24</f>
        <v>1.0951403148528405E-2</v>
      </c>
      <c r="GN24" s="39">
        <v>0.48</v>
      </c>
      <c r="GO24" s="39" t="s">
        <v>809</v>
      </c>
      <c r="GP24" s="39" t="s">
        <v>418</v>
      </c>
      <c r="GS24" s="39">
        <v>43.83</v>
      </c>
      <c r="GT24" s="39" t="s">
        <v>146</v>
      </c>
      <c r="GV24" s="39">
        <f>IF(GW24="数据缺失",0,IF(GW24&lt;20%,1,IF(GW24&lt;40%,2,IF(GW24&lt;60%,3,IF(GW24&lt;80%,4,IF(GW24&lt;=100%,5,0))))))</f>
        <v>0</v>
      </c>
      <c r="GW24" s="39" t="s">
        <v>37</v>
      </c>
      <c r="HA24" s="39" t="s">
        <v>37</v>
      </c>
      <c r="HE24" s="39">
        <v>157.63</v>
      </c>
      <c r="HF24" s="39" t="s">
        <v>146</v>
      </c>
      <c r="HH24" s="39">
        <v>1</v>
      </c>
      <c r="HI24" s="42">
        <f>HM24/HQ24</f>
        <v>0.19676549865229109</v>
      </c>
      <c r="HM24" s="42">
        <v>1.46</v>
      </c>
      <c r="HN24" s="39" t="s">
        <v>146</v>
      </c>
      <c r="HQ24" s="39">
        <v>7.42</v>
      </c>
      <c r="HR24" s="39" t="s">
        <v>146</v>
      </c>
      <c r="HT24" s="39">
        <f t="shared" si="14"/>
        <v>4</v>
      </c>
      <c r="HU24" s="42">
        <v>0</v>
      </c>
      <c r="HY24" s="42">
        <v>0</v>
      </c>
      <c r="HZ24" s="39" t="s">
        <v>146</v>
      </c>
      <c r="IC24" s="39">
        <v>0</v>
      </c>
      <c r="ID24" s="39" t="s">
        <v>146</v>
      </c>
      <c r="IR24" s="42">
        <v>0</v>
      </c>
      <c r="IS24" s="39" t="s">
        <v>37</v>
      </c>
      <c r="IW24" s="39" t="s">
        <v>37</v>
      </c>
      <c r="JA24" s="39">
        <v>77.1417</v>
      </c>
      <c r="JB24" s="39" t="s">
        <v>418</v>
      </c>
      <c r="JD24" s="39">
        <v>4</v>
      </c>
      <c r="JE24" s="43">
        <f t="shared" si="15"/>
        <v>0.11520070603384042</v>
      </c>
      <c r="JI24" s="39">
        <v>19.11</v>
      </c>
      <c r="JJ24" s="39" t="s">
        <v>418</v>
      </c>
      <c r="JM24" s="39">
        <v>7.08</v>
      </c>
      <c r="JN24" s="39" t="s">
        <v>418</v>
      </c>
      <c r="JQ24" s="39">
        <v>0</v>
      </c>
      <c r="JR24" s="39" t="s">
        <v>418</v>
      </c>
      <c r="JS24" s="39" t="s">
        <v>503</v>
      </c>
      <c r="JU24" s="39">
        <v>46.86</v>
      </c>
      <c r="JV24" s="39" t="s">
        <v>418</v>
      </c>
      <c r="JX24" s="39">
        <v>1</v>
      </c>
      <c r="JY24" s="39" t="s">
        <v>245</v>
      </c>
      <c r="KB24" s="39">
        <v>1</v>
      </c>
      <c r="KC24" s="39" t="s">
        <v>245</v>
      </c>
      <c r="KD24" s="39" t="s">
        <v>146</v>
      </c>
      <c r="KF24" s="39">
        <f t="shared" si="16"/>
        <v>2</v>
      </c>
      <c r="KG24" s="39">
        <f>KK24/KO24</f>
        <v>0.48922956066563222</v>
      </c>
      <c r="KK24" s="39">
        <v>37.74</v>
      </c>
      <c r="KL24" s="39" t="s">
        <v>146</v>
      </c>
      <c r="KO24" s="39">
        <f>JA24</f>
        <v>77.1417</v>
      </c>
      <c r="KP24" s="39" t="s">
        <v>810</v>
      </c>
    </row>
    <row r="25" spans="2:302" s="39" customFormat="1" ht="16.5" customHeight="1" x14ac:dyDescent="0.35">
      <c r="B25" s="39" t="s">
        <v>811</v>
      </c>
      <c r="C25" s="39" t="s">
        <v>170</v>
      </c>
      <c r="D25" s="39" t="s">
        <v>792</v>
      </c>
      <c r="E25" s="39" t="s">
        <v>172</v>
      </c>
      <c r="F25" s="112" t="s">
        <v>812</v>
      </c>
      <c r="G25" s="36" t="s">
        <v>174</v>
      </c>
      <c r="H25" s="40">
        <v>0.82569999999999999</v>
      </c>
      <c r="L25" s="42">
        <v>4</v>
      </c>
      <c r="M25" s="39" t="s">
        <v>813</v>
      </c>
      <c r="P25" s="60" t="s">
        <v>118</v>
      </c>
      <c r="Q25" s="39" t="s">
        <v>814</v>
      </c>
      <c r="R25" s="39" t="s">
        <v>491</v>
      </c>
      <c r="T25" s="60" t="s">
        <v>113</v>
      </c>
      <c r="U25" s="44">
        <v>0.42199999999999999</v>
      </c>
      <c r="X25" s="39">
        <v>6</v>
      </c>
      <c r="Y25" s="43">
        <f>(AC25-AG25)/AG25</f>
        <v>-1</v>
      </c>
      <c r="AC25" s="39">
        <v>0</v>
      </c>
      <c r="AD25" s="39" t="s">
        <v>491</v>
      </c>
      <c r="AG25" s="78">
        <v>0.12</v>
      </c>
      <c r="AH25" s="39" t="s">
        <v>491</v>
      </c>
      <c r="AK25" s="39">
        <v>0</v>
      </c>
      <c r="AL25" s="39" t="s">
        <v>816</v>
      </c>
      <c r="AN25" s="39">
        <v>1</v>
      </c>
      <c r="AO25" s="43">
        <f>((AS25-AW25)/AW25+(AW25-BA25)/BA25)/2*100%</f>
        <v>1</v>
      </c>
      <c r="AS25" s="39">
        <v>0</v>
      </c>
      <c r="AT25" s="39" t="s">
        <v>491</v>
      </c>
      <c r="AW25" s="78">
        <v>0.04</v>
      </c>
      <c r="AX25" s="39" t="s">
        <v>491</v>
      </c>
      <c r="BA25" s="39">
        <v>0.01</v>
      </c>
      <c r="BB25" s="39" t="s">
        <v>816</v>
      </c>
      <c r="BD25" s="39">
        <v>5</v>
      </c>
      <c r="BE25" s="8">
        <f t="shared" si="2"/>
        <v>0</v>
      </c>
      <c r="BI25" s="39">
        <v>0</v>
      </c>
      <c r="BJ25" s="39" t="s">
        <v>491</v>
      </c>
      <c r="BL25" s="39">
        <v>5</v>
      </c>
      <c r="BM25" s="39">
        <v>0</v>
      </c>
      <c r="BQ25" s="39">
        <v>0</v>
      </c>
      <c r="BR25" s="39" t="s">
        <v>491</v>
      </c>
      <c r="BT25" s="39">
        <v>5</v>
      </c>
      <c r="BU25" s="39" t="s">
        <v>179</v>
      </c>
      <c r="BY25" s="14" t="s">
        <v>179</v>
      </c>
      <c r="BZ25" s="80"/>
      <c r="CB25" s="39">
        <v>1</v>
      </c>
      <c r="CC25" s="39" t="str">
        <f>CF25</f>
        <v>一级</v>
      </c>
      <c r="CF25" s="39" t="s">
        <v>133</v>
      </c>
      <c r="CG25" s="39" t="s">
        <v>817</v>
      </c>
      <c r="CH25" s="39" t="s">
        <v>818</v>
      </c>
      <c r="CJ25" s="67">
        <f t="shared" si="3"/>
        <v>2</v>
      </c>
      <c r="CK25" s="39">
        <v>0</v>
      </c>
      <c r="CO25" s="39">
        <v>0</v>
      </c>
      <c r="CP25" s="39" t="s">
        <v>146</v>
      </c>
      <c r="CQ25" s="39" t="s">
        <v>819</v>
      </c>
      <c r="CS25" s="39">
        <f t="shared" si="18"/>
        <v>0</v>
      </c>
      <c r="CT25" s="39" t="str">
        <f t="shared" si="18"/>
        <v>评级20160620</v>
      </c>
      <c r="CV25" s="42">
        <f t="shared" si="8"/>
        <v>5</v>
      </c>
      <c r="CW25" s="39">
        <v>48.58</v>
      </c>
      <c r="DA25" s="42">
        <v>48.58</v>
      </c>
      <c r="DB25" s="39" t="s">
        <v>818</v>
      </c>
      <c r="DC25" s="39" t="s">
        <v>820</v>
      </c>
      <c r="DD25" s="39">
        <v>2</v>
      </c>
      <c r="DE25" s="151" t="s">
        <v>821</v>
      </c>
      <c r="DI25" s="39">
        <v>0</v>
      </c>
      <c r="DJ25" s="39" t="s">
        <v>491</v>
      </c>
      <c r="DM25" s="42">
        <v>48.58</v>
      </c>
      <c r="DN25" s="39" t="s">
        <v>818</v>
      </c>
      <c r="DO25" s="39" t="s">
        <v>820</v>
      </c>
      <c r="DP25" s="39">
        <v>1</v>
      </c>
      <c r="DQ25" s="14" t="s">
        <v>822</v>
      </c>
      <c r="DU25" s="44">
        <v>0.81020000000000003</v>
      </c>
      <c r="DV25" s="39" t="s">
        <v>491</v>
      </c>
      <c r="DY25" s="44">
        <v>0.1898</v>
      </c>
      <c r="DZ25" s="39" t="s">
        <v>491</v>
      </c>
      <c r="EC25" s="44">
        <v>0</v>
      </c>
      <c r="ED25" s="39" t="s">
        <v>491</v>
      </c>
      <c r="EG25" s="44">
        <v>0</v>
      </c>
      <c r="EH25" s="39" t="s">
        <v>491</v>
      </c>
      <c r="EJ25" s="39">
        <v>4</v>
      </c>
      <c r="EK25" s="39">
        <v>9.15</v>
      </c>
      <c r="EO25" s="39">
        <v>9.15</v>
      </c>
      <c r="EP25" s="39" t="s">
        <v>491</v>
      </c>
      <c r="ER25" s="42">
        <v>5</v>
      </c>
      <c r="ES25" s="39">
        <v>0</v>
      </c>
      <c r="EW25" s="39">
        <v>0</v>
      </c>
      <c r="EX25" s="39" t="s">
        <v>491</v>
      </c>
      <c r="EZ25" s="39">
        <v>4</v>
      </c>
      <c r="FA25" s="39">
        <v>38.979999999999997</v>
      </c>
      <c r="FE25" s="39">
        <v>38.979999999999997</v>
      </c>
      <c r="FF25" s="39" t="s">
        <v>491</v>
      </c>
      <c r="FH25" s="39">
        <v>1</v>
      </c>
      <c r="FI25" s="14" t="s">
        <v>823</v>
      </c>
      <c r="FM25" s="40">
        <v>0.76349999999999996</v>
      </c>
      <c r="FN25" s="39" t="s">
        <v>491</v>
      </c>
      <c r="FQ25" s="44">
        <v>0.23649999999999999</v>
      </c>
      <c r="FR25" s="39" t="s">
        <v>491</v>
      </c>
      <c r="FU25" s="39">
        <v>0</v>
      </c>
      <c r="FV25" s="39" t="s">
        <v>491</v>
      </c>
      <c r="FY25" s="39">
        <v>0</v>
      </c>
      <c r="FZ25" s="39" t="s">
        <v>491</v>
      </c>
      <c r="GB25" s="39">
        <v>3</v>
      </c>
      <c r="GC25" s="39" t="s">
        <v>824</v>
      </c>
      <c r="GG25" s="39" t="s">
        <v>824</v>
      </c>
      <c r="GH25" s="39" t="s">
        <v>491</v>
      </c>
      <c r="GJ25" s="39">
        <f>IF(GK25="数据缺失",0,IF(GK25&lt;0%,0,IF(GK25&lt;=5%,4,IF(GK25&lt;10%,3,IF(GK25&lt;20%,2,1)))))</f>
        <v>1</v>
      </c>
      <c r="GK25" s="39">
        <f>GN25/GS25</f>
        <v>0.82352941176470595</v>
      </c>
      <c r="GN25" s="39">
        <v>8.9600000000000009</v>
      </c>
      <c r="GO25" s="39" t="s">
        <v>825</v>
      </c>
      <c r="GP25" s="39" t="s">
        <v>491</v>
      </c>
      <c r="GS25" s="39">
        <v>10.88</v>
      </c>
      <c r="GT25" s="39" t="s">
        <v>491</v>
      </c>
      <c r="GV25" s="39">
        <f>IF(GW25="数据缺失",0,IF(GW25&lt;20%,1,IF(GW25&lt;40%,2,IF(GW25&lt;60%,3,IF(GW25&lt;80%,4,IF(GW25&lt;=100%,5,0))))))</f>
        <v>3</v>
      </c>
      <c r="GW25" s="39">
        <f>HA25/HE25*100%</f>
        <v>0.52441669159437632</v>
      </c>
      <c r="HA25" s="39">
        <v>140.25</v>
      </c>
      <c r="HB25" s="39" t="s">
        <v>146</v>
      </c>
      <c r="HE25" s="39">
        <v>267.44</v>
      </c>
      <c r="HF25" s="39" t="s">
        <v>146</v>
      </c>
      <c r="HH25" s="39">
        <f>IF(HI25="数据缺失",0,IF(HI25&lt;20%,1,IF(HI25&lt;40%,2,IF(HI25&lt;60%,3,IF(HI25&lt;80%,4,IF(HI25&lt;=100%,5,0))))))</f>
        <v>1</v>
      </c>
      <c r="HI25" s="42">
        <f>HM25/HQ25</f>
        <v>9.3341300655780363E-2</v>
      </c>
      <c r="HM25" s="42">
        <v>1.133281</v>
      </c>
      <c r="HN25" s="39" t="s">
        <v>146</v>
      </c>
      <c r="HQ25" s="39">
        <v>12.141260000000001</v>
      </c>
      <c r="HR25" s="39" t="s">
        <v>146</v>
      </c>
      <c r="HT25" s="39">
        <v>4</v>
      </c>
      <c r="HU25" s="42">
        <v>0</v>
      </c>
      <c r="HY25" s="42">
        <v>0</v>
      </c>
      <c r="HZ25" s="39" t="s">
        <v>146</v>
      </c>
      <c r="IC25" s="39">
        <v>88</v>
      </c>
      <c r="ID25" s="39" t="s">
        <v>146</v>
      </c>
      <c r="IR25" s="42">
        <v>3</v>
      </c>
      <c r="IS25" s="39">
        <f>IW25/JA25</f>
        <v>1.2731520815632966</v>
      </c>
      <c r="IW25" s="39">
        <v>119.88</v>
      </c>
      <c r="IX25" s="39" t="s">
        <v>146</v>
      </c>
      <c r="JA25" s="39">
        <v>94.16</v>
      </c>
      <c r="JB25" s="39" t="s">
        <v>146</v>
      </c>
      <c r="JD25" s="39">
        <v>2</v>
      </c>
      <c r="JE25" s="43">
        <f t="shared" si="15"/>
        <v>5.2790813759708205E-2</v>
      </c>
      <c r="JI25" s="39">
        <v>21.49</v>
      </c>
      <c r="JJ25" s="39" t="s">
        <v>146</v>
      </c>
      <c r="JM25" s="39">
        <v>3.84</v>
      </c>
      <c r="JN25" s="39" t="s">
        <v>146</v>
      </c>
      <c r="JQ25" s="39">
        <v>109.88</v>
      </c>
      <c r="JR25" s="39" t="s">
        <v>491</v>
      </c>
      <c r="JU25" s="39">
        <v>102.14</v>
      </c>
      <c r="JV25" s="39" t="s">
        <v>491</v>
      </c>
      <c r="JX25" s="39">
        <v>2</v>
      </c>
      <c r="JY25" s="39" t="s">
        <v>826</v>
      </c>
      <c r="KB25" s="39">
        <v>18</v>
      </c>
      <c r="KC25" s="39" t="s">
        <v>826</v>
      </c>
      <c r="KD25" s="39" t="s">
        <v>146</v>
      </c>
      <c r="KF25" s="39">
        <v>4</v>
      </c>
      <c r="KG25" s="39">
        <f>KK25/KO25</f>
        <v>1.0681447235211776</v>
      </c>
      <c r="KK25" s="39">
        <v>100.58</v>
      </c>
      <c r="KL25" s="39" t="s">
        <v>146</v>
      </c>
      <c r="KO25" s="39">
        <v>94.163269999999997</v>
      </c>
      <c r="KP25" s="39" t="s">
        <v>146</v>
      </c>
    </row>
    <row r="26" spans="2:302" s="39" customFormat="1" ht="16.5" customHeight="1" x14ac:dyDescent="0.35">
      <c r="B26" s="39" t="s">
        <v>811</v>
      </c>
      <c r="C26" s="39" t="s">
        <v>170</v>
      </c>
      <c r="D26" s="39" t="s">
        <v>792</v>
      </c>
      <c r="E26" s="39" t="s">
        <v>172</v>
      </c>
      <c r="F26" s="112" t="s">
        <v>812</v>
      </c>
      <c r="G26" s="36" t="s">
        <v>199</v>
      </c>
      <c r="H26" s="40">
        <v>0.81759999999999999</v>
      </c>
      <c r="L26" s="42">
        <v>4</v>
      </c>
      <c r="M26" s="39" t="s">
        <v>827</v>
      </c>
      <c r="P26" s="60" t="s">
        <v>118</v>
      </c>
      <c r="Q26" s="39" t="s">
        <v>828</v>
      </c>
      <c r="R26" s="39" t="s">
        <v>818</v>
      </c>
      <c r="T26" s="60" t="s">
        <v>113</v>
      </c>
      <c r="U26" s="44">
        <v>0.42199999999999999</v>
      </c>
      <c r="X26" s="39">
        <v>6</v>
      </c>
      <c r="Y26" s="43">
        <f>(AC26-AK26)/AK26</f>
        <v>-0.47826086956521741</v>
      </c>
      <c r="AC26" s="39">
        <v>0.12</v>
      </c>
      <c r="AD26" s="39" t="s">
        <v>816</v>
      </c>
      <c r="AG26" s="78">
        <v>0</v>
      </c>
      <c r="AH26" s="39" t="s">
        <v>816</v>
      </c>
      <c r="AK26" s="39">
        <v>0.23</v>
      </c>
      <c r="AL26" s="39" t="s">
        <v>816</v>
      </c>
      <c r="AN26" s="39">
        <v>1</v>
      </c>
      <c r="AO26" s="43">
        <f>((AS26-AW26)/AW26+(AW26-BA26)/BA26)/2*100%</f>
        <v>1.125</v>
      </c>
      <c r="AS26" s="39">
        <v>0.04</v>
      </c>
      <c r="AT26" s="39" t="s">
        <v>816</v>
      </c>
      <c r="AW26" s="78">
        <v>0.01</v>
      </c>
      <c r="AX26" s="39" t="s">
        <v>816</v>
      </c>
      <c r="BA26" s="39">
        <v>0.04</v>
      </c>
      <c r="BB26" s="39" t="s">
        <v>816</v>
      </c>
      <c r="BD26" s="39">
        <v>5</v>
      </c>
      <c r="BE26" s="8">
        <f t="shared" si="2"/>
        <v>0.12</v>
      </c>
      <c r="BI26" s="39">
        <v>0.12</v>
      </c>
      <c r="BJ26" s="39" t="s">
        <v>491</v>
      </c>
      <c r="BL26" s="39">
        <v>5</v>
      </c>
      <c r="BM26" s="39">
        <v>0.04</v>
      </c>
      <c r="BQ26" s="39">
        <v>0.04</v>
      </c>
      <c r="BR26" s="39" t="s">
        <v>491</v>
      </c>
      <c r="BT26" s="39">
        <v>5</v>
      </c>
      <c r="BU26" s="39" t="s">
        <v>179</v>
      </c>
      <c r="BY26" s="14" t="s">
        <v>179</v>
      </c>
      <c r="BZ26" s="80"/>
      <c r="CB26" s="39">
        <v>1</v>
      </c>
      <c r="CC26" s="39" t="str">
        <f>CF26</f>
        <v>一级</v>
      </c>
      <c r="CF26" s="39" t="s">
        <v>133</v>
      </c>
      <c r="CG26" s="39" t="s">
        <v>829</v>
      </c>
      <c r="CH26" s="39" t="s">
        <v>816</v>
      </c>
      <c r="CJ26" s="67">
        <f t="shared" si="3"/>
        <v>0</v>
      </c>
      <c r="CK26" s="39" t="s">
        <v>37</v>
      </c>
      <c r="CO26" s="39" t="s">
        <v>37</v>
      </c>
      <c r="CS26" s="39">
        <v>0.12</v>
      </c>
      <c r="CT26" s="39" t="s">
        <v>491</v>
      </c>
      <c r="CV26" s="42">
        <f t="shared" si="8"/>
        <v>0</v>
      </c>
      <c r="CW26" s="39" t="s">
        <v>37</v>
      </c>
      <c r="DA26" s="42" t="s">
        <v>37</v>
      </c>
      <c r="DD26" s="39">
        <v>0</v>
      </c>
      <c r="DE26" s="151" t="s">
        <v>37</v>
      </c>
      <c r="DI26" s="39">
        <v>0.04</v>
      </c>
      <c r="DJ26" s="39" t="s">
        <v>491</v>
      </c>
      <c r="DM26" s="42" t="s">
        <v>37</v>
      </c>
      <c r="DP26" s="39">
        <v>5</v>
      </c>
      <c r="DQ26" s="14" t="s">
        <v>37</v>
      </c>
      <c r="DU26" s="44" t="s">
        <v>37</v>
      </c>
      <c r="DY26" s="44" t="s">
        <v>37</v>
      </c>
      <c r="EC26" s="44" t="s">
        <v>37</v>
      </c>
      <c r="EG26" s="44" t="s">
        <v>37</v>
      </c>
      <c r="EJ26" s="39">
        <v>5</v>
      </c>
      <c r="EK26" s="39">
        <v>4.82</v>
      </c>
      <c r="EO26" s="39">
        <v>4.82</v>
      </c>
      <c r="EP26" s="39" t="s">
        <v>491</v>
      </c>
      <c r="ER26" s="42">
        <v>5</v>
      </c>
      <c r="ES26" s="39">
        <v>0</v>
      </c>
      <c r="EW26" s="39">
        <v>0</v>
      </c>
      <c r="EX26" s="39" t="s">
        <v>491</v>
      </c>
      <c r="EZ26" s="39">
        <v>0</v>
      </c>
      <c r="FA26" s="39" t="s">
        <v>37</v>
      </c>
      <c r="FE26" s="39" t="s">
        <v>37</v>
      </c>
      <c r="FH26" s="39">
        <v>5</v>
      </c>
      <c r="FI26" s="14" t="s">
        <v>37</v>
      </c>
      <c r="FM26" s="39" t="s">
        <v>37</v>
      </c>
      <c r="FQ26" s="42" t="s">
        <v>37</v>
      </c>
      <c r="FU26" s="39" t="s">
        <v>37</v>
      </c>
      <c r="FY26" s="39" t="s">
        <v>37</v>
      </c>
      <c r="GB26" s="39">
        <v>3</v>
      </c>
      <c r="GC26" s="39" t="s">
        <v>830</v>
      </c>
      <c r="GG26" s="39" t="s">
        <v>830</v>
      </c>
      <c r="GH26" s="39" t="s">
        <v>816</v>
      </c>
      <c r="GJ26" s="39">
        <f>IF(GK26="数据缺失",0,IF(GK26&lt;0%,0,IF(GK26&lt;=5%,4,IF(GK26&lt;10%,3,IF(GK26&lt;20%,2,1)))))</f>
        <v>1</v>
      </c>
      <c r="GK26" s="39">
        <f>GN26/GS26</f>
        <v>0.79743354720439952</v>
      </c>
      <c r="GN26" s="39">
        <v>8.6999999999999993</v>
      </c>
      <c r="GO26" s="39" t="s">
        <v>831</v>
      </c>
      <c r="GP26" s="39" t="s">
        <v>816</v>
      </c>
      <c r="GS26" s="39">
        <v>10.91</v>
      </c>
      <c r="GT26" s="39" t="s">
        <v>816</v>
      </c>
      <c r="GV26" s="39">
        <v>0</v>
      </c>
      <c r="GW26" s="39" t="s">
        <v>37</v>
      </c>
      <c r="HA26" s="39" t="s">
        <v>37</v>
      </c>
      <c r="HE26" s="39">
        <v>233.59203600000001</v>
      </c>
      <c r="HF26" s="39" t="s">
        <v>146</v>
      </c>
      <c r="HH26" s="39">
        <v>1</v>
      </c>
      <c r="HI26" s="42">
        <f>HM26/HQ26</f>
        <v>0.14364135407136322</v>
      </c>
      <c r="HM26" s="42">
        <v>1.57</v>
      </c>
      <c r="HN26" s="39" t="s">
        <v>816</v>
      </c>
      <c r="HQ26" s="39">
        <v>10.93</v>
      </c>
      <c r="HR26" s="39" t="s">
        <v>146</v>
      </c>
      <c r="HT26" s="39">
        <v>0</v>
      </c>
      <c r="HU26" s="42" t="s">
        <v>37</v>
      </c>
      <c r="HY26" s="42" t="s">
        <v>37</v>
      </c>
      <c r="IC26" s="39">
        <v>98.18</v>
      </c>
      <c r="ID26" s="39" t="s">
        <v>146</v>
      </c>
      <c r="IR26" s="42">
        <v>0</v>
      </c>
      <c r="IS26" s="39" t="s">
        <v>37</v>
      </c>
      <c r="IW26" s="39" t="s">
        <v>37</v>
      </c>
      <c r="JA26" s="39">
        <v>76.010000000000005</v>
      </c>
      <c r="JB26" s="39" t="s">
        <v>491</v>
      </c>
      <c r="JD26" s="39">
        <v>3</v>
      </c>
      <c r="JE26" s="43">
        <f t="shared" si="15"/>
        <v>7.5841844473657591E-2</v>
      </c>
      <c r="JI26" s="39">
        <v>21.15</v>
      </c>
      <c r="JJ26" s="39" t="s">
        <v>832</v>
      </c>
      <c r="JM26" s="39">
        <v>3.19</v>
      </c>
      <c r="JN26" s="39" t="s">
        <v>832</v>
      </c>
      <c r="JQ26" s="39">
        <v>102.14</v>
      </c>
      <c r="JR26" s="39" t="s">
        <v>832</v>
      </c>
      <c r="JU26" s="39">
        <v>72.7</v>
      </c>
      <c r="JV26" s="39" t="s">
        <v>832</v>
      </c>
      <c r="JX26" s="39">
        <v>2</v>
      </c>
      <c r="JY26" s="39" t="s">
        <v>833</v>
      </c>
      <c r="KB26" s="39">
        <v>10</v>
      </c>
      <c r="KC26" s="39" t="s">
        <v>833</v>
      </c>
      <c r="KD26" s="39" t="s">
        <v>816</v>
      </c>
      <c r="KF26" s="36">
        <f>IF(KG26="数据缺失",0,IF(KG26&lt;0%,0,IF(KG26&lt;20%,1,IF(KG26&lt;50%,2,IF(KG26&lt;100%,3,4)))))</f>
        <v>1</v>
      </c>
      <c r="KG26" s="39">
        <v>0</v>
      </c>
      <c r="KK26" s="39">
        <v>0</v>
      </c>
      <c r="KO26" s="39">
        <f>JA26</f>
        <v>76.010000000000005</v>
      </c>
      <c r="KP26" s="39" t="str">
        <f>JB26</f>
        <v>评级20160620</v>
      </c>
    </row>
    <row r="27" spans="2:302" s="39" customFormat="1" ht="16.5" hidden="1" customHeight="1" x14ac:dyDescent="0.35">
      <c r="B27" s="39" t="s">
        <v>834</v>
      </c>
      <c r="C27" s="39" t="s">
        <v>170</v>
      </c>
      <c r="D27" s="39" t="s">
        <v>792</v>
      </c>
      <c r="E27" s="39" t="s">
        <v>172</v>
      </c>
      <c r="F27" s="112" t="s">
        <v>857</v>
      </c>
      <c r="G27" s="36" t="s">
        <v>199</v>
      </c>
      <c r="H27" s="40">
        <f>53.37/204.63</f>
        <v>0.26081219762498165</v>
      </c>
      <c r="J27" s="39" t="s">
        <v>835</v>
      </c>
      <c r="L27" s="42"/>
      <c r="P27" s="60"/>
      <c r="T27" s="60"/>
      <c r="U27" s="44"/>
      <c r="Y27" s="43"/>
      <c r="AG27" s="78"/>
      <c r="AO27" s="43"/>
      <c r="AW27" s="78"/>
      <c r="BE27" s="8">
        <f t="shared" si="2"/>
        <v>0</v>
      </c>
      <c r="BY27" s="14"/>
      <c r="BZ27" s="80"/>
      <c r="CJ27" s="67"/>
      <c r="CV27" s="42"/>
      <c r="DA27" s="42"/>
      <c r="DE27" s="151"/>
      <c r="DM27" s="42"/>
      <c r="DQ27" s="14"/>
      <c r="DU27" s="44"/>
      <c r="DY27" s="44"/>
      <c r="EC27" s="44"/>
      <c r="EG27" s="44"/>
      <c r="ER27" s="42"/>
      <c r="FI27" s="14"/>
      <c r="FQ27" s="42"/>
      <c r="HI27" s="42"/>
      <c r="HM27" s="42"/>
      <c r="HU27" s="42"/>
      <c r="HY27" s="42"/>
      <c r="IR27" s="42"/>
      <c r="JE27" s="43"/>
    </row>
    <row r="28" spans="2:302" s="39" customFormat="1" ht="16.5" customHeight="1" x14ac:dyDescent="0.35">
      <c r="B28" s="39" t="s">
        <v>836</v>
      </c>
      <c r="C28" s="39" t="s">
        <v>170</v>
      </c>
      <c r="D28" s="39" t="s">
        <v>792</v>
      </c>
      <c r="E28" s="39" t="s">
        <v>172</v>
      </c>
      <c r="F28" s="112" t="s">
        <v>837</v>
      </c>
      <c r="G28" s="36" t="s">
        <v>174</v>
      </c>
      <c r="H28" s="40">
        <v>0.95899999999999996</v>
      </c>
      <c r="L28" s="42">
        <v>4</v>
      </c>
      <c r="M28" s="39" t="s">
        <v>838</v>
      </c>
      <c r="P28" s="60" t="s">
        <v>118</v>
      </c>
      <c r="Q28" s="39" t="s">
        <v>839</v>
      </c>
      <c r="R28" s="39" t="s">
        <v>840</v>
      </c>
      <c r="T28" s="60" t="s">
        <v>113</v>
      </c>
      <c r="U28" s="44">
        <v>0.33040000000000003</v>
      </c>
      <c r="X28" s="39">
        <v>3</v>
      </c>
      <c r="Y28" s="43">
        <f>((AC28-AG28)/AG28+(AG28-AK28)/AK28)/2*100%</f>
        <v>3.6024973529870295E-2</v>
      </c>
      <c r="AC28" s="39">
        <v>115.73</v>
      </c>
      <c r="AD28" s="39" t="s">
        <v>841</v>
      </c>
      <c r="AG28" s="78">
        <v>109.92</v>
      </c>
      <c r="AH28" s="39" t="s">
        <v>841</v>
      </c>
      <c r="AK28" s="39">
        <v>107.85</v>
      </c>
      <c r="AL28" s="39" t="s">
        <v>841</v>
      </c>
      <c r="AN28" s="39">
        <v>4</v>
      </c>
      <c r="AO28" s="43">
        <f>((AS28-AW28)/AW28+(AW28-BA28)/BA28)/2*100%</f>
        <v>-1.546275831249919E-2</v>
      </c>
      <c r="AS28" s="39">
        <v>72.87</v>
      </c>
      <c r="AT28" s="39" t="s">
        <v>841</v>
      </c>
      <c r="AW28" s="78">
        <v>71.5</v>
      </c>
      <c r="AX28" s="39" t="s">
        <v>841</v>
      </c>
      <c r="BA28" s="39">
        <v>75.27</v>
      </c>
      <c r="BB28" s="39" t="s">
        <v>841</v>
      </c>
      <c r="BD28" s="39">
        <v>3</v>
      </c>
      <c r="BE28" s="8">
        <f t="shared" si="2"/>
        <v>115.73</v>
      </c>
      <c r="BI28" s="39">
        <v>115.73</v>
      </c>
      <c r="BJ28" s="39" t="s">
        <v>841</v>
      </c>
      <c r="BL28" s="39">
        <v>4</v>
      </c>
      <c r="BM28" s="39">
        <v>72.87</v>
      </c>
      <c r="BQ28" s="39">
        <v>72.87</v>
      </c>
      <c r="BR28" s="39" t="s">
        <v>841</v>
      </c>
      <c r="BT28" s="39">
        <v>3</v>
      </c>
      <c r="BU28" s="39">
        <v>137</v>
      </c>
      <c r="BY28" s="14">
        <v>137</v>
      </c>
      <c r="BZ28" s="80" t="s">
        <v>842</v>
      </c>
      <c r="CB28" s="39">
        <v>1</v>
      </c>
      <c r="CC28" s="39" t="str">
        <f t="shared" ref="CC28:CC34" si="19">CF28</f>
        <v>一级</v>
      </c>
      <c r="CF28" s="39" t="s">
        <v>133</v>
      </c>
      <c r="CG28" s="39" t="s">
        <v>829</v>
      </c>
      <c r="CH28" s="39" t="s">
        <v>843</v>
      </c>
      <c r="CJ28" s="67">
        <f t="shared" si="3"/>
        <v>0</v>
      </c>
      <c r="CK28" s="39" t="s">
        <v>37</v>
      </c>
      <c r="CO28" s="39" t="s">
        <v>37</v>
      </c>
      <c r="CS28" s="39">
        <v>115.73</v>
      </c>
      <c r="CT28" s="39" t="s">
        <v>841</v>
      </c>
      <c r="CV28" s="42">
        <f t="shared" si="8"/>
        <v>3</v>
      </c>
      <c r="CW28" s="3">
        <v>617.21</v>
      </c>
      <c r="CX28" s="36"/>
      <c r="CY28" s="36"/>
      <c r="CZ28" s="36"/>
      <c r="DA28" s="3">
        <v>617.21</v>
      </c>
      <c r="DB28" s="36" t="s">
        <v>844</v>
      </c>
      <c r="DC28" s="36" t="s">
        <v>845</v>
      </c>
      <c r="DD28" s="39">
        <v>2</v>
      </c>
      <c r="DE28" s="151">
        <f>DM28/DI28</f>
        <v>8.4700150953753255</v>
      </c>
      <c r="DI28" s="39">
        <f>AS28</f>
        <v>72.87</v>
      </c>
      <c r="DJ28" s="39" t="str">
        <f>AT28</f>
        <v>评级20160930</v>
      </c>
      <c r="DM28" s="42">
        <v>617.21</v>
      </c>
      <c r="DN28" s="39" t="s">
        <v>844</v>
      </c>
      <c r="DO28" s="36" t="s">
        <v>845</v>
      </c>
      <c r="DP28" s="39">
        <v>2</v>
      </c>
      <c r="DQ28" s="14" t="s">
        <v>846</v>
      </c>
      <c r="DR28" s="39" t="str">
        <f>BB28</f>
        <v>评级20160930</v>
      </c>
      <c r="DS28" s="36" t="s">
        <v>847</v>
      </c>
      <c r="DU28" s="44">
        <v>0.33329999999999999</v>
      </c>
      <c r="DV28" s="39" t="s">
        <v>844</v>
      </c>
      <c r="DY28" s="44">
        <v>0.47710000000000002</v>
      </c>
      <c r="DZ28" s="39" t="s">
        <v>844</v>
      </c>
      <c r="EC28" s="44">
        <v>0.18959999999999999</v>
      </c>
      <c r="ED28" s="39" t="s">
        <v>844</v>
      </c>
      <c r="EG28" s="44">
        <v>0</v>
      </c>
      <c r="EH28" s="39" t="s">
        <v>844</v>
      </c>
      <c r="EJ28" s="39">
        <v>2</v>
      </c>
      <c r="EK28" s="39">
        <v>80.150000000000006</v>
      </c>
      <c r="EO28" s="39">
        <v>80.150000000000006</v>
      </c>
      <c r="EP28" s="39" t="s">
        <v>841</v>
      </c>
      <c r="ER28" s="42">
        <v>1</v>
      </c>
      <c r="ES28" s="39">
        <v>131.81</v>
      </c>
      <c r="EW28" s="39">
        <v>131.81</v>
      </c>
      <c r="EX28" s="39" t="s">
        <v>841</v>
      </c>
      <c r="EZ28" s="39">
        <v>0</v>
      </c>
      <c r="FA28" s="39" t="s">
        <v>37</v>
      </c>
      <c r="FE28" s="39" t="s">
        <v>37</v>
      </c>
      <c r="FH28" s="39">
        <v>2</v>
      </c>
      <c r="FI28" s="14" t="s">
        <v>848</v>
      </c>
      <c r="FJ28" s="39" t="s">
        <v>841</v>
      </c>
      <c r="FM28" s="39" t="s">
        <v>37</v>
      </c>
      <c r="FQ28" s="42" t="s">
        <v>37</v>
      </c>
      <c r="FU28" s="39" t="s">
        <v>37</v>
      </c>
      <c r="FY28" s="39" t="s">
        <v>37</v>
      </c>
      <c r="GB28" s="39">
        <v>2</v>
      </c>
      <c r="GC28" s="39" t="s">
        <v>849</v>
      </c>
      <c r="GG28" s="39" t="s">
        <v>849</v>
      </c>
      <c r="GH28" s="39" t="s">
        <v>841</v>
      </c>
      <c r="GJ28" s="39">
        <v>4</v>
      </c>
      <c r="GK28" s="43">
        <f>GN28/GS28</f>
        <v>3.5678585159554022E-2</v>
      </c>
      <c r="GN28" s="39">
        <f>2.12+2.52</f>
        <v>4.6400000000000006</v>
      </c>
      <c r="GO28" s="39" t="s">
        <v>850</v>
      </c>
      <c r="GP28" s="39" t="s">
        <v>841</v>
      </c>
      <c r="GS28" s="39">
        <v>130.05000000000001</v>
      </c>
      <c r="GT28" s="39" t="s">
        <v>841</v>
      </c>
      <c r="GV28" s="36">
        <v>1</v>
      </c>
      <c r="GW28" s="5">
        <f>HA28/HE28*100%</f>
        <v>0.13577880027266531</v>
      </c>
      <c r="GX28" s="36"/>
      <c r="GY28" s="36"/>
      <c r="GZ28" s="36"/>
      <c r="HA28" s="36">
        <f>46.17+17.57</f>
        <v>63.74</v>
      </c>
      <c r="HB28" s="36" t="s">
        <v>843</v>
      </c>
      <c r="HC28" s="36" t="s">
        <v>851</v>
      </c>
      <c r="HE28" s="39">
        <v>469.44</v>
      </c>
      <c r="HF28" s="39" t="s">
        <v>841</v>
      </c>
      <c r="HH28" s="39">
        <v>0</v>
      </c>
      <c r="HI28" s="42" t="s">
        <v>37</v>
      </c>
      <c r="HM28" s="42" t="s">
        <v>37</v>
      </c>
      <c r="HQ28" s="39">
        <v>35.24</v>
      </c>
      <c r="HR28" s="39" t="s">
        <v>840</v>
      </c>
      <c r="HT28" s="36">
        <v>2</v>
      </c>
      <c r="HU28" s="82">
        <f>HY28/IC28</f>
        <v>0.14712806026365349</v>
      </c>
      <c r="HV28" s="36"/>
      <c r="HW28" s="36"/>
      <c r="HX28" s="36"/>
      <c r="HY28" s="3">
        <v>12.5</v>
      </c>
      <c r="HZ28" s="36" t="s">
        <v>840</v>
      </c>
      <c r="IC28" s="39">
        <v>84.96</v>
      </c>
      <c r="ID28" s="39" t="s">
        <v>840</v>
      </c>
      <c r="IR28" s="42">
        <v>3</v>
      </c>
      <c r="IS28" s="39">
        <f>IW28/JA28</f>
        <v>1.2853569366942468</v>
      </c>
      <c r="IW28" s="39">
        <v>200.4</v>
      </c>
      <c r="IX28" s="39" t="s">
        <v>224</v>
      </c>
      <c r="IY28" s="39" t="s">
        <v>852</v>
      </c>
      <c r="JA28" s="39">
        <v>155.91</v>
      </c>
      <c r="JB28" s="39" t="s">
        <v>840</v>
      </c>
      <c r="JD28" s="39">
        <v>3</v>
      </c>
      <c r="JE28" s="43">
        <f>JI28/JM28/(JQ28+JU28)*2</f>
        <v>7.2704418843160784E-2</v>
      </c>
      <c r="JI28" s="39">
        <v>49.57</v>
      </c>
      <c r="JJ28" s="39" t="s">
        <v>841</v>
      </c>
      <c r="JM28" s="39">
        <v>5.93</v>
      </c>
      <c r="JN28" s="39" t="s">
        <v>841</v>
      </c>
      <c r="JQ28" s="39">
        <v>114.7</v>
      </c>
      <c r="JR28" s="39" t="s">
        <v>841</v>
      </c>
      <c r="JS28" s="39" t="s">
        <v>853</v>
      </c>
      <c r="JU28" s="39">
        <v>115.25</v>
      </c>
      <c r="JV28" s="39" t="s">
        <v>841</v>
      </c>
      <c r="JX28" s="39">
        <v>2</v>
      </c>
      <c r="JY28" s="39" t="s">
        <v>826</v>
      </c>
      <c r="KB28" s="39">
        <v>18</v>
      </c>
      <c r="KC28" s="39" t="s">
        <v>826</v>
      </c>
      <c r="KD28" s="39" t="s">
        <v>840</v>
      </c>
      <c r="KF28" s="39">
        <f>IF(KG28="数据缺失",0,IF(KG28&lt;0%,0,IF(KG28&lt;20%,1,IF(KG28&lt;50%,2,IF(KG28&lt;100%,3,4)))))</f>
        <v>1</v>
      </c>
      <c r="KG28" s="5">
        <f>KK28/KO28</f>
        <v>2.5655827079725485E-3</v>
      </c>
      <c r="KH28" s="36"/>
      <c r="KI28" s="36"/>
      <c r="KJ28" s="36"/>
      <c r="KK28" s="36">
        <v>0.4</v>
      </c>
      <c r="KL28" s="36" t="s">
        <v>844</v>
      </c>
      <c r="KM28" s="36" t="s">
        <v>845</v>
      </c>
      <c r="KO28" s="39">
        <f>JA28</f>
        <v>155.91</v>
      </c>
      <c r="KP28" s="39" t="str">
        <f>JB28</f>
        <v>募集20160930</v>
      </c>
    </row>
    <row r="29" spans="2:302" s="39" customFormat="1" ht="16.5" customHeight="1" x14ac:dyDescent="0.35">
      <c r="B29" s="39" t="s">
        <v>836</v>
      </c>
      <c r="C29" s="39" t="s">
        <v>170</v>
      </c>
      <c r="D29" s="39" t="s">
        <v>792</v>
      </c>
      <c r="E29" s="39" t="s">
        <v>172</v>
      </c>
      <c r="F29" s="112" t="s">
        <v>837</v>
      </c>
      <c r="G29" s="36" t="s">
        <v>199</v>
      </c>
      <c r="H29" s="40">
        <f>(90.57+3.6)/101.49</f>
        <v>0.92787466745492164</v>
      </c>
      <c r="L29" s="42">
        <v>4</v>
      </c>
      <c r="M29" s="39" t="s">
        <v>838</v>
      </c>
      <c r="P29" s="60" t="s">
        <v>118</v>
      </c>
      <c r="Q29" s="39" t="s">
        <v>839</v>
      </c>
      <c r="R29" s="39" t="s">
        <v>840</v>
      </c>
      <c r="T29" s="60" t="s">
        <v>129</v>
      </c>
      <c r="U29" s="44">
        <v>0.33040000000000003</v>
      </c>
      <c r="X29" s="39">
        <v>4</v>
      </c>
      <c r="Y29" s="43">
        <f>((AC29-AG29)/AG29+(AG29-AK29)/AK29)/2*100%</f>
        <v>-2.7050528208274582E-2</v>
      </c>
      <c r="AC29" s="39">
        <v>109.92</v>
      </c>
      <c r="AD29" s="39" t="s">
        <v>844</v>
      </c>
      <c r="AG29" s="78">
        <v>107.85</v>
      </c>
      <c r="AH29" s="39" t="s">
        <v>844</v>
      </c>
      <c r="AK29" s="39">
        <v>116.38</v>
      </c>
      <c r="AL29" s="39" t="s">
        <v>844</v>
      </c>
      <c r="AN29" s="39">
        <v>5</v>
      </c>
      <c r="AO29" s="43">
        <f>((AS29-AW29)/AW29+(AW29-BA29)/BA29)/2*100%</f>
        <v>-0.13358280759959659</v>
      </c>
      <c r="AS29" s="39">
        <v>71.5</v>
      </c>
      <c r="AT29" s="39" t="s">
        <v>844</v>
      </c>
      <c r="AW29" s="78">
        <v>75.27</v>
      </c>
      <c r="AX29" s="39" t="s">
        <v>844</v>
      </c>
      <c r="BA29" s="39">
        <v>96.14</v>
      </c>
      <c r="BB29" s="39" t="s">
        <v>844</v>
      </c>
      <c r="BD29" s="39">
        <v>3</v>
      </c>
      <c r="BE29" s="8">
        <f t="shared" si="2"/>
        <v>109.92</v>
      </c>
      <c r="BI29" s="39">
        <v>109.92</v>
      </c>
      <c r="BJ29" s="39" t="s">
        <v>844</v>
      </c>
      <c r="BL29" s="39">
        <v>4</v>
      </c>
      <c r="BM29" s="39">
        <v>71.5</v>
      </c>
      <c r="BQ29" s="39">
        <v>71.5</v>
      </c>
      <c r="BR29" s="39" t="s">
        <v>844</v>
      </c>
      <c r="BT29" s="39">
        <v>3</v>
      </c>
      <c r="BU29" s="39">
        <v>108</v>
      </c>
      <c r="BY29" s="14">
        <v>108</v>
      </c>
      <c r="BZ29" s="80" t="s">
        <v>331</v>
      </c>
      <c r="CB29" s="39">
        <v>1</v>
      </c>
      <c r="CC29" s="39" t="str">
        <f t="shared" si="19"/>
        <v>一级</v>
      </c>
      <c r="CF29" s="39" t="s">
        <v>133</v>
      </c>
      <c r="CG29" s="39" t="s">
        <v>829</v>
      </c>
      <c r="CH29" s="39" t="s">
        <v>843</v>
      </c>
      <c r="CJ29" s="67">
        <f t="shared" si="3"/>
        <v>0</v>
      </c>
      <c r="CK29" s="39" t="s">
        <v>37</v>
      </c>
      <c r="CO29" s="39" t="s">
        <v>37</v>
      </c>
      <c r="CS29" s="39">
        <v>109.92</v>
      </c>
      <c r="CT29" s="39" t="s">
        <v>841</v>
      </c>
      <c r="CV29" s="42">
        <f t="shared" si="8"/>
        <v>0</v>
      </c>
      <c r="CW29" s="39" t="s">
        <v>37</v>
      </c>
      <c r="DA29" s="42" t="s">
        <v>37</v>
      </c>
      <c r="DD29" s="39">
        <v>0</v>
      </c>
      <c r="DE29" s="151" t="s">
        <v>37</v>
      </c>
      <c r="DI29" s="39">
        <v>71.5</v>
      </c>
      <c r="DJ29" s="39" t="s">
        <v>844</v>
      </c>
      <c r="DM29" s="42" t="s">
        <v>37</v>
      </c>
      <c r="DP29" s="39">
        <v>4</v>
      </c>
      <c r="DQ29" s="14" t="s">
        <v>854</v>
      </c>
      <c r="DR29" s="39" t="s">
        <v>844</v>
      </c>
      <c r="DU29" s="44" t="s">
        <v>37</v>
      </c>
      <c r="DY29" s="44" t="s">
        <v>37</v>
      </c>
      <c r="EC29" s="44" t="s">
        <v>37</v>
      </c>
      <c r="EG29" s="44" t="s">
        <v>37</v>
      </c>
      <c r="EJ29" s="39">
        <v>1</v>
      </c>
      <c r="EK29" s="39">
        <v>105.31</v>
      </c>
      <c r="EO29" s="39">
        <v>105.31</v>
      </c>
      <c r="EP29" s="39" t="s">
        <v>844</v>
      </c>
      <c r="ER29" s="42" t="str">
        <f>IF(ES29&gt;100,"1",IF(ES29&gt;50,"2",IF(ES29&gt;20,"3",IF(ES29&gt;5,"4",IF(ES29&gt;=0,"5",IF(ES29=数据缺失,"0"))))))</f>
        <v>2</v>
      </c>
      <c r="ES29" s="39">
        <f>EW29</f>
        <v>51.65</v>
      </c>
      <c r="EW29" s="39">
        <v>51.65</v>
      </c>
      <c r="EX29" s="39" t="s">
        <v>844</v>
      </c>
      <c r="EZ29" s="39">
        <v>0</v>
      </c>
      <c r="FA29" s="39" t="s">
        <v>37</v>
      </c>
      <c r="FE29" s="39" t="s">
        <v>37</v>
      </c>
      <c r="FH29" s="39">
        <v>2</v>
      </c>
      <c r="FI29" s="14" t="s">
        <v>848</v>
      </c>
      <c r="FJ29" s="39" t="s">
        <v>844</v>
      </c>
      <c r="FM29" s="39" t="s">
        <v>37</v>
      </c>
      <c r="FQ29" s="42" t="s">
        <v>37</v>
      </c>
      <c r="FU29" s="39" t="s">
        <v>37</v>
      </c>
      <c r="FY29" s="39" t="s">
        <v>37</v>
      </c>
      <c r="GB29" s="39">
        <v>2</v>
      </c>
      <c r="GC29" s="39" t="s">
        <v>855</v>
      </c>
      <c r="GG29" s="39" t="s">
        <v>855</v>
      </c>
      <c r="GH29" s="39" t="s">
        <v>844</v>
      </c>
      <c r="GJ29" s="39">
        <v>4</v>
      </c>
      <c r="GK29" s="39">
        <f>GN29/GS29</f>
        <v>3.5274411272046509E-2</v>
      </c>
      <c r="GN29" s="39">
        <v>3.58</v>
      </c>
      <c r="GO29" s="39" t="s">
        <v>856</v>
      </c>
      <c r="GP29" s="39" t="s">
        <v>844</v>
      </c>
      <c r="GS29" s="39">
        <v>101.49</v>
      </c>
      <c r="GT29" s="39" t="s">
        <v>844</v>
      </c>
      <c r="GV29" s="39">
        <v>0</v>
      </c>
      <c r="GW29" s="39" t="s">
        <v>37</v>
      </c>
      <c r="HA29" s="39" t="s">
        <v>37</v>
      </c>
      <c r="HE29" s="39">
        <v>416.81</v>
      </c>
      <c r="HF29" s="39" t="s">
        <v>844</v>
      </c>
      <c r="HH29" s="39">
        <v>0</v>
      </c>
      <c r="HI29" s="42" t="s">
        <v>37</v>
      </c>
      <c r="HM29" s="42" t="s">
        <v>37</v>
      </c>
      <c r="HQ29" s="39">
        <v>39.049999999999997</v>
      </c>
      <c r="HR29" s="39" t="s">
        <v>844</v>
      </c>
      <c r="HT29" s="39">
        <v>0</v>
      </c>
      <c r="HU29" s="42" t="s">
        <v>37</v>
      </c>
      <c r="HY29" s="42" t="s">
        <v>37</v>
      </c>
      <c r="IC29" s="39">
        <v>87.39</v>
      </c>
      <c r="ID29" s="39" t="s">
        <v>844</v>
      </c>
      <c r="IR29" s="42">
        <v>0</v>
      </c>
      <c r="IS29" s="39" t="s">
        <v>37</v>
      </c>
      <c r="IW29" s="39" t="s">
        <v>37</v>
      </c>
      <c r="JA29" s="39">
        <v>133.51</v>
      </c>
      <c r="JB29" s="39" t="s">
        <v>843</v>
      </c>
      <c r="JD29" s="39">
        <v>4</v>
      </c>
      <c r="JE29" s="43">
        <f>JI29/JM29/(JQ29+JU29)*2</f>
        <v>9.5965517516701071E-2</v>
      </c>
      <c r="JI29" s="39">
        <v>31.25</v>
      </c>
      <c r="JJ29" s="39" t="s">
        <v>844</v>
      </c>
      <c r="JM29" s="39">
        <v>3.31</v>
      </c>
      <c r="JN29" s="39" t="s">
        <v>844</v>
      </c>
      <c r="JQ29" s="39">
        <v>115.25</v>
      </c>
      <c r="JR29" s="39" t="s">
        <v>844</v>
      </c>
      <c r="JU29" s="39">
        <v>81.510000000000005</v>
      </c>
      <c r="JV29" s="39" t="s">
        <v>844</v>
      </c>
      <c r="JX29" s="39">
        <v>2</v>
      </c>
      <c r="JY29" s="39" t="s">
        <v>826</v>
      </c>
      <c r="KB29" s="39">
        <v>20</v>
      </c>
      <c r="KC29" s="39" t="s">
        <v>826</v>
      </c>
      <c r="KD29" s="39" t="s">
        <v>843</v>
      </c>
      <c r="KF29" s="39">
        <v>0</v>
      </c>
      <c r="KG29" s="39" t="s">
        <v>37</v>
      </c>
      <c r="KK29" s="39" t="s">
        <v>37</v>
      </c>
      <c r="KO29" s="39">
        <v>133.51</v>
      </c>
      <c r="KP29" s="39" t="s">
        <v>843</v>
      </c>
    </row>
    <row r="30" spans="2:302" s="139" customFormat="1" ht="16.5" customHeight="1" x14ac:dyDescent="0.35">
      <c r="F30" s="144"/>
      <c r="G30" s="143"/>
      <c r="H30" s="145"/>
      <c r="L30" s="64"/>
      <c r="P30" s="146"/>
      <c r="T30" s="146"/>
      <c r="U30" s="147"/>
      <c r="Y30" s="99"/>
      <c r="AG30" s="148"/>
      <c r="AO30" s="99"/>
      <c r="AW30" s="148"/>
      <c r="BE30" s="62"/>
      <c r="BY30" s="62"/>
      <c r="BZ30" s="149"/>
      <c r="CV30" s="64"/>
      <c r="DA30" s="64"/>
      <c r="DE30" s="152"/>
      <c r="DM30" s="64"/>
      <c r="DQ30" s="62"/>
      <c r="DU30" s="147"/>
      <c r="DY30" s="147"/>
      <c r="EC30" s="147"/>
      <c r="EG30" s="147"/>
      <c r="ER30" s="64"/>
      <c r="FI30" s="62"/>
      <c r="FQ30" s="64"/>
      <c r="HI30" s="64"/>
      <c r="HM30" s="64"/>
      <c r="HU30" s="64"/>
      <c r="HY30" s="64"/>
      <c r="IR30" s="64"/>
      <c r="JE30" s="99"/>
    </row>
    <row r="31" spans="2:302" s="6" customFormat="1" ht="16.5" customHeight="1" x14ac:dyDescent="0.35">
      <c r="B31" s="6" t="s">
        <v>169</v>
      </c>
      <c r="C31" s="6" t="s">
        <v>170</v>
      </c>
      <c r="D31" s="6" t="s">
        <v>171</v>
      </c>
      <c r="E31" s="6" t="s">
        <v>172</v>
      </c>
      <c r="F31" s="6" t="s">
        <v>173</v>
      </c>
      <c r="G31" s="6" t="s">
        <v>174</v>
      </c>
      <c r="H31" s="16">
        <f>1232.79/1321.05</f>
        <v>0.93318950834563419</v>
      </c>
      <c r="L31" s="3">
        <v>3</v>
      </c>
      <c r="M31" s="6" t="s">
        <v>175</v>
      </c>
      <c r="P31" s="6" t="s">
        <v>126</v>
      </c>
      <c r="Q31" s="6" t="s">
        <v>176</v>
      </c>
      <c r="R31" s="6" t="s">
        <v>177</v>
      </c>
      <c r="T31" s="6" t="s">
        <v>111</v>
      </c>
      <c r="U31" s="16">
        <v>0.50819999999999999</v>
      </c>
      <c r="X31" s="8">
        <f t="shared" ref="X31:X71" si="20">IF(Y31="数据缺失",0,IF(Y31&lt;-30%,6,IF(Y31&lt;-10%,5,IF(Y31&lt;0%,4,IF(Y31&lt;10%,3,IF(Y31&lt;30%,2,1))))))</f>
        <v>2</v>
      </c>
      <c r="Y31" s="1">
        <f t="shared" ref="Y31:Y71" si="21">((AC31-AG31)/AG31+(AG31-AK31)/AK31)/2*100%</f>
        <v>0.14554403020526049</v>
      </c>
      <c r="AC31" s="6">
        <v>1640.8</v>
      </c>
      <c r="AD31" s="6" t="s">
        <v>177</v>
      </c>
      <c r="AG31" s="6">
        <v>1601.5</v>
      </c>
      <c r="AH31" s="6" t="s">
        <v>177</v>
      </c>
      <c r="AK31" s="6">
        <v>1264.46</v>
      </c>
      <c r="AL31" s="6" t="s">
        <v>177</v>
      </c>
      <c r="AN31" s="8">
        <f t="shared" ref="AN31:AN71" si="22">IF(AO31="数据缺失",0,IF(AO31&lt;-30%,6,IF(AO31&lt;-10%,5,IF(AO31&lt;0%,4,IF(AO31&lt;10%,3,IF(AO31&lt;30%,2,1))))))</f>
        <v>2</v>
      </c>
      <c r="AO31" s="1">
        <f t="shared" ref="AO31:AO71" si="23">((AS31-AW31)/AW31+(AW31-BA31)/BA31)/2*100%</f>
        <v>0.24511053804407346</v>
      </c>
      <c r="AS31" s="6">
        <v>1671.6</v>
      </c>
      <c r="AT31" s="6" t="s">
        <v>177</v>
      </c>
      <c r="AW31" s="6">
        <v>1478.18</v>
      </c>
      <c r="AX31" s="6" t="s">
        <v>177</v>
      </c>
      <c r="BA31" s="6">
        <v>1087.4000000000001</v>
      </c>
      <c r="BB31" s="6" t="s">
        <v>177</v>
      </c>
      <c r="BD31" s="2">
        <f t="shared" ref="BD31:BD71" si="24">IF(BE31="数据缺失",0,IF(BE31&lt;50,5,IF(BE31&lt;100,4,IF(BE31&lt;300,3,IF(BE31&lt;500,2,1)))))</f>
        <v>1</v>
      </c>
      <c r="BE31" s="8">
        <f t="shared" si="2"/>
        <v>1640.8</v>
      </c>
      <c r="BI31" s="8">
        <f t="shared" ref="BI31:BI50" si="25">AC31</f>
        <v>1640.8</v>
      </c>
      <c r="BJ31" s="6" t="s">
        <v>177</v>
      </c>
      <c r="BL31" s="2">
        <f t="shared" ref="BL31:BL71" si="26">IF(BM31="数据缺失",0,IF(BM31&lt;50,5,IF(BM31&lt;100,4,IF(BM31&lt;300,3,IF(BM31&lt;500,2,1)))))</f>
        <v>1</v>
      </c>
      <c r="BM31" s="8">
        <f t="shared" ref="BM31:BM71" si="27">BQ31</f>
        <v>1671.6</v>
      </c>
      <c r="BQ31" s="8">
        <f t="shared" ref="BQ31:BQ50" si="28">AS31</f>
        <v>1671.6</v>
      </c>
      <c r="BR31" s="6" t="s">
        <v>177</v>
      </c>
      <c r="BT31" s="8">
        <f t="shared" ref="BT31:BT71" si="29">IF(BU31="未上榜",5,IF(BU31&lt;21,1,IF(BU31&lt;101,2,IF(BU31&lt;301,3,IF(BU31&lt;=500,4,5)))))</f>
        <v>5</v>
      </c>
      <c r="BU31" s="6" t="s">
        <v>179</v>
      </c>
      <c r="BY31" s="6" t="s">
        <v>179</v>
      </c>
      <c r="BZ31" s="6" t="s">
        <v>180</v>
      </c>
      <c r="CA31" s="6" t="s">
        <v>181</v>
      </c>
      <c r="CB31" s="6">
        <v>1</v>
      </c>
      <c r="CC31" s="6" t="str">
        <f t="shared" si="19"/>
        <v>一级</v>
      </c>
      <c r="CF31" s="6" t="s">
        <v>132</v>
      </c>
      <c r="CG31" s="6" t="s">
        <v>182</v>
      </c>
      <c r="CH31" s="6" t="s">
        <v>177</v>
      </c>
      <c r="CJ31" s="8">
        <f t="shared" ref="CJ31:CJ71" si="30">IF(CK31="数据缺失",0,IF(CK31&lt;0,0,IF(CK31&lt;2,2,IF(CK31&lt;=5,1,3))))</f>
        <v>2</v>
      </c>
      <c r="CK31" s="12">
        <f t="shared" ref="CK31:CK66" si="31">CO31/CS31</f>
        <v>0.16716424914675768</v>
      </c>
      <c r="CO31" s="17">
        <v>274.28309999999999</v>
      </c>
      <c r="CP31" s="6" t="s">
        <v>177</v>
      </c>
      <c r="CS31" s="8">
        <f t="shared" ref="CS31:CS50" si="32">AC31</f>
        <v>1640.8</v>
      </c>
      <c r="CT31" s="6" t="s">
        <v>177</v>
      </c>
      <c r="CV31" s="8">
        <f t="shared" ref="CV31:CV71" si="33">IF(CW31="数据缺失",0,IF(CW31&lt;0,0,IF(CW31&lt;100,5,IF(CW31&lt;500,4,IF(CW31&lt;1000,3,IF(CW31&lt;2000,2,1))))))</f>
        <v>4</v>
      </c>
      <c r="CW31" s="8">
        <f t="shared" ref="CW31:CW71" si="34">DA31</f>
        <v>357.59</v>
      </c>
      <c r="DA31" s="6">
        <v>357.59</v>
      </c>
      <c r="DB31" s="6" t="s">
        <v>177</v>
      </c>
      <c r="DD31" s="8">
        <f t="shared" ref="DD31:DD50" si="35">IF(DE31="数据缺失",0,IF(DE31&lt;0,0,IF(DE31&lt;2,3,IF(DE31&lt;=5,1,2))))</f>
        <v>3</v>
      </c>
      <c r="DE31" s="15">
        <f t="shared" ref="DE31:DE64" si="36">DM31/DI31</f>
        <v>0.21392079444843265</v>
      </c>
      <c r="DI31" s="8">
        <f t="shared" ref="DI31:DI39" si="37">AS31</f>
        <v>1671.6</v>
      </c>
      <c r="DJ31" s="6" t="s">
        <v>177</v>
      </c>
      <c r="DM31" s="13">
        <f t="shared" ref="DM31:DM39" si="38">DA31</f>
        <v>357.59</v>
      </c>
      <c r="DN31" s="6" t="s">
        <v>177</v>
      </c>
      <c r="DP31" s="6">
        <v>4</v>
      </c>
      <c r="DQ31" s="6" t="s">
        <v>184</v>
      </c>
      <c r="DU31" s="16">
        <v>0</v>
      </c>
      <c r="DV31" s="6" t="s">
        <v>177</v>
      </c>
      <c r="DY31" s="16">
        <v>0.45660000000000001</v>
      </c>
      <c r="DZ31" s="6" t="s">
        <v>177</v>
      </c>
      <c r="EC31" s="16">
        <v>0.22009999999999999</v>
      </c>
      <c r="ED31" s="6" t="s">
        <v>177</v>
      </c>
      <c r="EG31" s="16">
        <v>0.32319999999999999</v>
      </c>
      <c r="EH31" s="6" t="s">
        <v>177</v>
      </c>
      <c r="EJ31" s="2">
        <f t="shared" ref="EJ31:EJ71" si="39">IF(EK31="数据缺失",0,IF(EK31&lt;0,0,IF(EK31&lt;=5,5,IF(EK31&lt;=20,4,IF(EK31&lt;=50,3,IF(EK31&lt;=100,2,1))))))</f>
        <v>1</v>
      </c>
      <c r="EK31" s="8">
        <f t="shared" ref="EK31:EK71" si="40">EO31</f>
        <v>2045</v>
      </c>
      <c r="EO31" s="6">
        <v>2045</v>
      </c>
      <c r="EP31" s="6" t="s">
        <v>177</v>
      </c>
      <c r="ER31" s="8">
        <f t="shared" ref="ER31:ER71" si="41">IF(ES31="数据缺失",0,IF(ES31&lt;0,0,IF(ES31&lt;=5,5,IF(ES31&lt;=20,4,IF(ES31&lt;=50,3,IF(ES31&lt;=100,2,1))))))</f>
        <v>1</v>
      </c>
      <c r="ES31" s="6">
        <v>2089</v>
      </c>
      <c r="EW31" s="6">
        <v>2089</v>
      </c>
      <c r="EX31" s="6" t="s">
        <v>177</v>
      </c>
      <c r="EZ31" s="8">
        <f t="shared" ref="EZ31:EZ71" si="42">IF(FA31="数据缺失",0,IF(FA31&lt;0%,0,IF(FA31&lt;=50,4,IF(FA31&lt;100,3,IF(FA31&lt;200,2,1)))))</f>
        <v>1</v>
      </c>
      <c r="FA31" s="8">
        <f t="shared" ref="FA31:FA71" si="43">FE31</f>
        <v>10079.89</v>
      </c>
      <c r="FE31" s="6">
        <v>10079.89</v>
      </c>
      <c r="FF31" s="6" t="s">
        <v>177</v>
      </c>
      <c r="FH31" s="6">
        <v>4</v>
      </c>
      <c r="FI31" s="6" t="s">
        <v>186</v>
      </c>
      <c r="FM31" s="16">
        <v>2.6700000000000002E-2</v>
      </c>
      <c r="FN31" s="6" t="s">
        <v>177</v>
      </c>
      <c r="FQ31" s="16">
        <v>0.45140000000000002</v>
      </c>
      <c r="FR31" s="6" t="s">
        <v>177</v>
      </c>
      <c r="FU31" s="16">
        <v>0.19320000000000001</v>
      </c>
      <c r="FV31" s="6" t="s">
        <v>177</v>
      </c>
      <c r="FY31" s="16">
        <v>0.32869999999999999</v>
      </c>
      <c r="FZ31" s="6" t="s">
        <v>177</v>
      </c>
      <c r="GB31" s="6">
        <v>2</v>
      </c>
      <c r="GC31" s="6" t="s">
        <v>187</v>
      </c>
      <c r="GG31" s="6" t="s">
        <v>187</v>
      </c>
      <c r="GH31" s="6" t="s">
        <v>188</v>
      </c>
      <c r="GJ31" s="8">
        <f t="shared" ref="GJ31:GJ71" si="44">IF(GK31="数据缺失",0,IF(GK31&lt;0%,0,IF(GK31&lt;=5%,4,IF(GK31&lt;10%,3,IF(GK31&lt;20%,2,1)))))</f>
        <v>2</v>
      </c>
      <c r="GK31" s="1">
        <f t="shared" ref="GK31:GK71" si="45">GN31/GS31</f>
        <v>0.10926997464138376</v>
      </c>
      <c r="GN31" s="6">
        <v>144.3511</v>
      </c>
      <c r="GO31" s="6" t="s">
        <v>189</v>
      </c>
      <c r="GP31" s="6" t="s">
        <v>190</v>
      </c>
      <c r="GS31" s="6">
        <v>1321.05</v>
      </c>
      <c r="GT31" s="6" t="s">
        <v>146</v>
      </c>
      <c r="GV31" s="8">
        <f t="shared" ref="GV31:GV71" si="46">IF(GW31="数据缺失",0,IF(GW31&lt;20%,1,IF(GW31&lt;40%,2,IF(GW31&lt;60%,3,IF(GW31&lt;80%,4,IF(GW31&lt;=100%,5,0))))))</f>
        <v>3</v>
      </c>
      <c r="GW31" s="1">
        <f t="shared" ref="GW31:GW71" si="47">HA31/HE31*100%</f>
        <v>0.47018887985490021</v>
      </c>
      <c r="HA31" s="6">
        <v>3007.14</v>
      </c>
      <c r="HB31" s="6" t="s">
        <v>177</v>
      </c>
      <c r="HE31" s="6">
        <v>6395.6</v>
      </c>
      <c r="HF31" s="6" t="s">
        <v>146</v>
      </c>
      <c r="HH31" s="8">
        <f t="shared" ref="HH31:HH50" si="48">IF(HI31="数据缺失",0,IF(HI31&lt;20%,1,IF(HI31&lt;40%,2,IF(HI31&lt;60%,3,IF(HI31&lt;80%,4,IF(HI31&lt;=100%,5,0))))))</f>
        <v>1</v>
      </c>
      <c r="HI31" s="1">
        <f t="shared" ref="HI31:HI71" si="49">HM31/HQ31</f>
        <v>8.9439283370700493E-2</v>
      </c>
      <c r="HM31" s="17">
        <v>65.423046999999997</v>
      </c>
      <c r="HN31" s="6" t="s">
        <v>146</v>
      </c>
      <c r="HQ31" s="6">
        <v>731.48</v>
      </c>
      <c r="HR31" s="6" t="s">
        <v>146</v>
      </c>
      <c r="HT31" s="8">
        <f t="shared" ref="HT31:HT69" si="50">IF(HU31="数据缺失",0,IF(HU31&lt;5%,4,IF(HU31&lt;=10%,3,IF(HU31&lt;30%,2,IF(HU31&lt;=100%,1,0)))))</f>
        <v>4</v>
      </c>
      <c r="HU31" s="10">
        <f t="shared" ref="HU31:HU71" si="51">HY31/IC31</f>
        <v>8.923369900648806E-3</v>
      </c>
      <c r="HY31" s="6">
        <v>10</v>
      </c>
      <c r="HZ31" s="6" t="s">
        <v>146</v>
      </c>
      <c r="IC31" s="17">
        <v>1120.6528599999999</v>
      </c>
      <c r="ID31" s="6" t="s">
        <v>146</v>
      </c>
      <c r="IR31" s="2">
        <f t="shared" ref="IR31:IR50" si="52">IF(IS31="数据缺失",0,IF(IS31&lt;0%,0,IF(IS31&lt;=100%,4,IF(IS31&lt;200%,3,IF(IS31&lt;300%,2,1)))))</f>
        <v>2</v>
      </c>
      <c r="IS31" s="1">
        <f t="shared" ref="IS31:IS71" si="53">IW31/JA31</f>
        <v>2.2394117741450104</v>
      </c>
      <c r="IW31" s="6">
        <v>4163</v>
      </c>
      <c r="IX31" s="6" t="s">
        <v>177</v>
      </c>
      <c r="JA31" s="17">
        <v>1858.9703099999999</v>
      </c>
      <c r="JB31" s="6" t="s">
        <v>144</v>
      </c>
      <c r="JD31" s="14">
        <f t="shared" ref="JD31:JD50" si="54">IF(JE31="数据缺失",0,IF(JE31&lt;0%,0,IF(JE31&lt;4%,1,IF(JE31&lt;6%,2,IF(JE31&lt;8%,3,4)))))</f>
        <v>3</v>
      </c>
      <c r="JE31" s="1">
        <f t="shared" ref="JE31:JE50" si="55">JI31/JM31/(JQ31+JU31)*2</f>
        <v>7.1831732011991861E-2</v>
      </c>
      <c r="JI31" s="6">
        <v>500.40170000000001</v>
      </c>
      <c r="JJ31" s="6" t="s">
        <v>192</v>
      </c>
      <c r="JM31" s="6">
        <v>3.79</v>
      </c>
      <c r="JN31" s="6" t="s">
        <v>192</v>
      </c>
      <c r="JQ31" s="6">
        <v>1866.47</v>
      </c>
      <c r="JR31" s="6" t="s">
        <v>190</v>
      </c>
      <c r="JU31" s="6">
        <v>1809.68</v>
      </c>
      <c r="JV31" s="6" t="s">
        <v>190</v>
      </c>
      <c r="JX31" s="6">
        <v>2</v>
      </c>
      <c r="JY31" s="6" t="s">
        <v>193</v>
      </c>
      <c r="KB31" s="6">
        <v>10</v>
      </c>
      <c r="KC31" s="6" t="s">
        <v>193</v>
      </c>
      <c r="KD31" s="6" t="s">
        <v>146</v>
      </c>
      <c r="KF31" s="8">
        <f t="shared" ref="KF31:KF71" si="56">IF(KG31="数据缺失",0,IF(KG31&lt;0%,0,IF(KG31&lt;20%,1,IF(KG31&lt;50%,2,IF(KG31&lt;100%,3,4)))))</f>
        <v>2</v>
      </c>
      <c r="KG31" s="1">
        <f t="shared" ref="KG31:KG71" si="57">KK31/KO31</f>
        <v>0.24613585838280547</v>
      </c>
      <c r="KK31" s="17">
        <v>457.55925295999998</v>
      </c>
      <c r="KL31" s="6" t="s">
        <v>146</v>
      </c>
      <c r="KO31" s="15">
        <f t="shared" ref="KO31:KO39" si="58">JA31</f>
        <v>1858.9703099999999</v>
      </c>
      <c r="KP31" s="6" t="s">
        <v>146</v>
      </c>
    </row>
    <row r="32" spans="2:302" s="6" customFormat="1" ht="16.5" customHeight="1" x14ac:dyDescent="0.35">
      <c r="B32" s="6" t="s">
        <v>169</v>
      </c>
      <c r="C32" s="6" t="s">
        <v>170</v>
      </c>
      <c r="D32" s="6" t="s">
        <v>196</v>
      </c>
      <c r="E32" s="6" t="s">
        <v>197</v>
      </c>
      <c r="F32" s="6" t="s">
        <v>198</v>
      </c>
      <c r="G32" s="6" t="s">
        <v>199</v>
      </c>
      <c r="H32" s="18">
        <v>0.94669999999999999</v>
      </c>
      <c r="L32" s="3">
        <v>3</v>
      </c>
      <c r="M32" s="6" t="s">
        <v>200</v>
      </c>
      <c r="P32" s="6" t="s">
        <v>126</v>
      </c>
      <c r="Q32" s="6" t="s">
        <v>176</v>
      </c>
      <c r="R32" s="6" t="s">
        <v>202</v>
      </c>
      <c r="T32" s="6" t="s">
        <v>203</v>
      </c>
      <c r="U32" s="16">
        <v>0.505</v>
      </c>
      <c r="X32" s="8">
        <f t="shared" si="20"/>
        <v>2</v>
      </c>
      <c r="Y32" s="1">
        <f t="shared" si="21"/>
        <v>0.25742766530192135</v>
      </c>
      <c r="Z32" s="14"/>
      <c r="AA32" s="14"/>
      <c r="AB32" s="14"/>
      <c r="AC32" s="14">
        <v>1601.5</v>
      </c>
      <c r="AD32" s="14" t="s">
        <v>177</v>
      </c>
      <c r="AE32" s="14"/>
      <c r="AF32" s="14"/>
      <c r="AG32" s="14">
        <v>1264.47</v>
      </c>
      <c r="AH32" s="14" t="s">
        <v>177</v>
      </c>
      <c r="AI32" s="14"/>
      <c r="AJ32" s="14"/>
      <c r="AK32" s="14">
        <v>1012.94</v>
      </c>
      <c r="AL32" s="14" t="s">
        <v>210</v>
      </c>
      <c r="AN32" s="8">
        <f t="shared" si="22"/>
        <v>1</v>
      </c>
      <c r="AO32" s="1">
        <f t="shared" si="23"/>
        <v>0.33944018452854119</v>
      </c>
      <c r="AS32" s="6">
        <v>1478</v>
      </c>
      <c r="AT32" s="6" t="s">
        <v>204</v>
      </c>
      <c r="AW32" s="6">
        <v>1087</v>
      </c>
      <c r="AX32" s="6" t="s">
        <v>204</v>
      </c>
      <c r="BA32" s="6">
        <v>824</v>
      </c>
      <c r="BB32" s="6" t="s">
        <v>202</v>
      </c>
      <c r="BD32" s="2">
        <f t="shared" si="24"/>
        <v>1</v>
      </c>
      <c r="BE32" s="8">
        <f t="shared" si="2"/>
        <v>1601.5</v>
      </c>
      <c r="BI32" s="8">
        <f t="shared" si="25"/>
        <v>1601.5</v>
      </c>
      <c r="BJ32" s="6" t="s">
        <v>202</v>
      </c>
      <c r="BL32" s="2">
        <f t="shared" si="26"/>
        <v>1</v>
      </c>
      <c r="BM32" s="8">
        <f t="shared" si="27"/>
        <v>1478</v>
      </c>
      <c r="BQ32" s="8">
        <f t="shared" si="28"/>
        <v>1478</v>
      </c>
      <c r="BR32" s="6" t="s">
        <v>202</v>
      </c>
      <c r="BT32" s="8">
        <f t="shared" si="29"/>
        <v>5</v>
      </c>
      <c r="BU32" s="6" t="s">
        <v>179</v>
      </c>
      <c r="BY32" s="6" t="s">
        <v>179</v>
      </c>
      <c r="BZ32" s="6" t="s">
        <v>180</v>
      </c>
      <c r="CA32" s="6" t="s">
        <v>181</v>
      </c>
      <c r="CB32" s="6">
        <v>1</v>
      </c>
      <c r="CC32" s="6" t="str">
        <f t="shared" si="19"/>
        <v>一级</v>
      </c>
      <c r="CF32" s="6" t="s">
        <v>132</v>
      </c>
      <c r="CG32" s="6" t="s">
        <v>209</v>
      </c>
      <c r="CH32" s="6" t="s">
        <v>202</v>
      </c>
      <c r="CJ32" s="8">
        <f t="shared" si="30"/>
        <v>2</v>
      </c>
      <c r="CK32" s="12">
        <f t="shared" si="31"/>
        <v>0.19922922260380893</v>
      </c>
      <c r="CO32" s="6">
        <v>319.06560000000002</v>
      </c>
      <c r="CP32" s="6" t="s">
        <v>210</v>
      </c>
      <c r="CS32" s="8">
        <f t="shared" si="32"/>
        <v>1601.5</v>
      </c>
      <c r="CT32" s="6" t="s">
        <v>210</v>
      </c>
      <c r="CV32" s="8">
        <f t="shared" si="33"/>
        <v>1</v>
      </c>
      <c r="CW32" s="8">
        <f t="shared" si="34"/>
        <v>8193.6200000000008</v>
      </c>
      <c r="DA32" s="6">
        <v>8193.6200000000008</v>
      </c>
      <c r="DB32" s="6" t="s">
        <v>210</v>
      </c>
      <c r="DC32" s="6" t="s">
        <v>211</v>
      </c>
      <c r="DD32" s="8">
        <f t="shared" si="35"/>
        <v>2</v>
      </c>
      <c r="DE32" s="15">
        <f t="shared" si="36"/>
        <v>5.5437212449255755</v>
      </c>
      <c r="DI32" s="8">
        <f t="shared" si="37"/>
        <v>1478</v>
      </c>
      <c r="DJ32" s="6" t="s">
        <v>210</v>
      </c>
      <c r="DM32" s="13">
        <f t="shared" si="38"/>
        <v>8193.6200000000008</v>
      </c>
      <c r="DN32" s="6" t="s">
        <v>210</v>
      </c>
      <c r="DP32" s="6">
        <v>4</v>
      </c>
      <c r="DQ32" s="6" t="s">
        <v>213</v>
      </c>
      <c r="DU32" s="16">
        <v>3.2899999999999999E-2</v>
      </c>
      <c r="DV32" s="6" t="s">
        <v>210</v>
      </c>
      <c r="DW32" s="6" t="s">
        <v>211</v>
      </c>
      <c r="DY32" s="16">
        <v>0.44390000000000002</v>
      </c>
      <c r="DZ32" s="6" t="s">
        <v>210</v>
      </c>
      <c r="EA32" s="6" t="s">
        <v>211</v>
      </c>
      <c r="EC32" s="16">
        <v>0.19700000000000001</v>
      </c>
      <c r="ED32" s="6" t="s">
        <v>210</v>
      </c>
      <c r="EE32" s="6" t="s">
        <v>211</v>
      </c>
      <c r="EG32" s="16">
        <v>0.32619999999999999</v>
      </c>
      <c r="EH32" s="6" t="s">
        <v>210</v>
      </c>
      <c r="EJ32" s="2">
        <f t="shared" si="39"/>
        <v>1</v>
      </c>
      <c r="EK32" s="8">
        <f t="shared" si="40"/>
        <v>2582.4899999999998</v>
      </c>
      <c r="EO32" s="19">
        <v>2582.4899999999998</v>
      </c>
      <c r="EP32" s="6" t="s">
        <v>210</v>
      </c>
      <c r="ER32" s="8">
        <f t="shared" si="41"/>
        <v>1</v>
      </c>
      <c r="ES32" s="6">
        <v>1523.89</v>
      </c>
      <c r="EW32" s="6">
        <v>1523.89</v>
      </c>
      <c r="EX32" s="6" t="s">
        <v>210</v>
      </c>
      <c r="EZ32" s="8">
        <f t="shared" si="42"/>
        <v>1</v>
      </c>
      <c r="FA32" s="8">
        <f t="shared" si="43"/>
        <v>8058.2411000000002</v>
      </c>
      <c r="FE32" s="6">
        <v>8058.2411000000002</v>
      </c>
      <c r="FF32" s="6" t="s">
        <v>202</v>
      </c>
      <c r="FG32" s="6" t="s">
        <v>214</v>
      </c>
      <c r="FH32" s="6">
        <v>4</v>
      </c>
      <c r="FI32" s="6" t="s">
        <v>215</v>
      </c>
      <c r="FM32" s="16">
        <v>2.6700000000000002E-2</v>
      </c>
      <c r="FN32" s="6" t="s">
        <v>202</v>
      </c>
      <c r="FO32" s="6" t="s">
        <v>214</v>
      </c>
      <c r="FQ32" s="16">
        <v>0.40839999999999999</v>
      </c>
      <c r="FR32" s="6" t="s">
        <v>202</v>
      </c>
      <c r="FS32" s="6" t="s">
        <v>214</v>
      </c>
      <c r="FU32" s="16">
        <v>0.21679999999999999</v>
      </c>
      <c r="FV32" s="6" t="s">
        <v>202</v>
      </c>
      <c r="FW32" s="6" t="s">
        <v>214</v>
      </c>
      <c r="FY32" s="16">
        <v>0.34820000000000001</v>
      </c>
      <c r="FZ32" s="6" t="s">
        <v>202</v>
      </c>
      <c r="GB32" s="6">
        <v>2</v>
      </c>
      <c r="GC32" s="6" t="s">
        <v>217</v>
      </c>
      <c r="GG32" s="6" t="s">
        <v>217</v>
      </c>
      <c r="GH32" s="6" t="s">
        <v>219</v>
      </c>
      <c r="GJ32" s="8">
        <f t="shared" si="44"/>
        <v>3</v>
      </c>
      <c r="GK32" s="1">
        <f t="shared" si="45"/>
        <v>9.6696990218734499E-2</v>
      </c>
      <c r="GN32" s="17">
        <v>110.80159999999999</v>
      </c>
      <c r="GO32" s="6" t="s">
        <v>220</v>
      </c>
      <c r="GP32" s="6" t="s">
        <v>219</v>
      </c>
      <c r="GS32" s="17">
        <v>1145.864</v>
      </c>
      <c r="GT32" s="6" t="s">
        <v>144</v>
      </c>
      <c r="GV32" s="8">
        <f t="shared" si="46"/>
        <v>0</v>
      </c>
      <c r="GW32" s="6" t="s">
        <v>37</v>
      </c>
      <c r="HA32" s="6" t="s">
        <v>37</v>
      </c>
      <c r="HE32" s="17">
        <v>5642.9294799999998</v>
      </c>
      <c r="HF32" s="6" t="s">
        <v>146</v>
      </c>
      <c r="HH32" s="8">
        <f t="shared" si="48"/>
        <v>1</v>
      </c>
      <c r="HI32" s="1">
        <f t="shared" si="49"/>
        <v>7.2361128701643906E-2</v>
      </c>
      <c r="HM32" s="6">
        <v>67.320869999999999</v>
      </c>
      <c r="HN32" s="6" t="s">
        <v>146</v>
      </c>
      <c r="HQ32" s="6">
        <v>930.34577000000002</v>
      </c>
      <c r="HR32" s="6" t="s">
        <v>146</v>
      </c>
      <c r="HT32" s="8">
        <f t="shared" si="50"/>
        <v>4</v>
      </c>
      <c r="HU32" s="10">
        <f t="shared" si="51"/>
        <v>0</v>
      </c>
      <c r="HY32" s="6">
        <v>0</v>
      </c>
      <c r="HZ32" s="6" t="s">
        <v>146</v>
      </c>
      <c r="IC32" s="6">
        <v>1372.8459</v>
      </c>
      <c r="ID32" s="6" t="s">
        <v>146</v>
      </c>
      <c r="IR32" s="2">
        <f t="shared" si="52"/>
        <v>4</v>
      </c>
      <c r="IS32" s="1">
        <f t="shared" si="53"/>
        <v>0.92940779402068341</v>
      </c>
      <c r="IW32" s="20">
        <v>1441.91</v>
      </c>
      <c r="IX32" s="6" t="s">
        <v>224</v>
      </c>
      <c r="JA32" s="17">
        <v>1551.42878</v>
      </c>
      <c r="JB32" s="6" t="s">
        <v>144</v>
      </c>
      <c r="JD32" s="14">
        <f t="shared" si="54"/>
        <v>3</v>
      </c>
      <c r="JE32" s="1">
        <f t="shared" si="55"/>
        <v>7.865957951523557E-2</v>
      </c>
      <c r="JI32" s="6">
        <v>433.56</v>
      </c>
      <c r="JJ32" s="6" t="s">
        <v>219</v>
      </c>
      <c r="JM32" s="6">
        <v>3.5</v>
      </c>
      <c r="JN32" s="6" t="s">
        <v>219</v>
      </c>
      <c r="JQ32" s="6">
        <v>1809.7</v>
      </c>
      <c r="JR32" s="6" t="s">
        <v>225</v>
      </c>
      <c r="JU32" s="6">
        <v>1339.93</v>
      </c>
      <c r="JV32" s="6" t="s">
        <v>225</v>
      </c>
      <c r="JX32" s="6">
        <v>2</v>
      </c>
      <c r="JY32" s="6" t="s">
        <v>226</v>
      </c>
      <c r="KB32" s="6">
        <v>11</v>
      </c>
      <c r="KC32" s="6" t="s">
        <v>226</v>
      </c>
      <c r="KD32" s="6" t="s">
        <v>219</v>
      </c>
      <c r="KF32" s="8">
        <f t="shared" si="56"/>
        <v>2</v>
      </c>
      <c r="KG32" s="1">
        <f t="shared" si="57"/>
        <v>0.28622648085721347</v>
      </c>
      <c r="KK32" s="6">
        <v>444.06</v>
      </c>
      <c r="KL32" s="6" t="s">
        <v>210</v>
      </c>
      <c r="KO32" s="15">
        <f t="shared" si="58"/>
        <v>1551.42878</v>
      </c>
      <c r="KP32" s="6" t="s">
        <v>146</v>
      </c>
    </row>
    <row r="33" spans="2:302" s="6" customFormat="1" ht="16.5" customHeight="1" x14ac:dyDescent="0.35">
      <c r="B33" s="6" t="s">
        <v>227</v>
      </c>
      <c r="C33" s="6" t="s">
        <v>170</v>
      </c>
      <c r="D33" s="6" t="s">
        <v>171</v>
      </c>
      <c r="E33" s="6" t="s">
        <v>172</v>
      </c>
      <c r="F33" s="6" t="s">
        <v>229</v>
      </c>
      <c r="G33" s="6" t="s">
        <v>174</v>
      </c>
      <c r="H33" s="16">
        <v>0.998</v>
      </c>
      <c r="L33" s="3">
        <v>3</v>
      </c>
      <c r="M33" s="6" t="s">
        <v>230</v>
      </c>
      <c r="P33" s="6" t="s">
        <v>126</v>
      </c>
      <c r="Q33" s="6" t="s">
        <v>231</v>
      </c>
      <c r="R33" s="6" t="s">
        <v>232</v>
      </c>
      <c r="T33" s="6" t="s">
        <v>111</v>
      </c>
      <c r="U33" s="16">
        <v>0.63749999999999996</v>
      </c>
      <c r="X33" s="8">
        <f t="shared" si="20"/>
        <v>2</v>
      </c>
      <c r="Y33" s="1">
        <f t="shared" si="21"/>
        <v>0.25106013697344964</v>
      </c>
      <c r="AC33" s="6">
        <v>44.5</v>
      </c>
      <c r="AD33" s="6" t="s">
        <v>232</v>
      </c>
      <c r="AG33" s="6">
        <v>37.4</v>
      </c>
      <c r="AH33" s="6" t="s">
        <v>232</v>
      </c>
      <c r="AK33" s="6">
        <v>28.5</v>
      </c>
      <c r="AL33" s="6" t="s">
        <v>232</v>
      </c>
      <c r="AN33" s="8">
        <f t="shared" si="22"/>
        <v>1</v>
      </c>
      <c r="AO33" s="1">
        <f t="shared" si="23"/>
        <v>0.490563725490196</v>
      </c>
      <c r="AS33" s="6">
        <v>33.9</v>
      </c>
      <c r="AT33" s="6" t="s">
        <v>232</v>
      </c>
      <c r="AW33" s="6">
        <v>24</v>
      </c>
      <c r="AX33" s="6" t="s">
        <v>232</v>
      </c>
      <c r="BA33" s="6">
        <v>15.3</v>
      </c>
      <c r="BB33" s="6" t="s">
        <v>233</v>
      </c>
      <c r="BD33" s="2">
        <f t="shared" si="24"/>
        <v>5</v>
      </c>
      <c r="BE33" s="8">
        <f t="shared" si="2"/>
        <v>44.5</v>
      </c>
      <c r="BI33" s="8">
        <f t="shared" si="25"/>
        <v>44.5</v>
      </c>
      <c r="BJ33" s="6" t="s">
        <v>232</v>
      </c>
      <c r="BL33" s="2">
        <f t="shared" si="26"/>
        <v>5</v>
      </c>
      <c r="BM33" s="8">
        <f t="shared" si="27"/>
        <v>33.9</v>
      </c>
      <c r="BQ33" s="8">
        <f t="shared" si="28"/>
        <v>33.9</v>
      </c>
      <c r="BR33" s="6" t="s">
        <v>233</v>
      </c>
      <c r="BT33" s="8">
        <f t="shared" si="29"/>
        <v>1</v>
      </c>
      <c r="BU33" s="6">
        <v>17</v>
      </c>
      <c r="BY33" s="6">
        <v>17</v>
      </c>
      <c r="BZ33" s="6" t="s">
        <v>234</v>
      </c>
      <c r="CA33" s="6" t="s">
        <v>235</v>
      </c>
      <c r="CB33" s="6">
        <v>1</v>
      </c>
      <c r="CC33" s="6" t="str">
        <f t="shared" si="19"/>
        <v>一级</v>
      </c>
      <c r="CF33" s="6" t="s">
        <v>132</v>
      </c>
      <c r="CG33" s="6" t="s">
        <v>236</v>
      </c>
      <c r="CH33" s="6" t="s">
        <v>237</v>
      </c>
      <c r="CJ33" s="8">
        <f t="shared" si="30"/>
        <v>2</v>
      </c>
      <c r="CK33" s="12">
        <f t="shared" si="31"/>
        <v>0.34539325842696628</v>
      </c>
      <c r="CO33" s="6">
        <v>15.37</v>
      </c>
      <c r="CP33" s="6" t="s">
        <v>232</v>
      </c>
      <c r="CS33" s="8">
        <f t="shared" si="32"/>
        <v>44.5</v>
      </c>
      <c r="CT33" s="6" t="s">
        <v>232</v>
      </c>
      <c r="CV33" s="8">
        <f t="shared" si="33"/>
        <v>5</v>
      </c>
      <c r="CW33" s="8">
        <f t="shared" si="34"/>
        <v>20.87</v>
      </c>
      <c r="DA33" s="6">
        <v>20.87</v>
      </c>
      <c r="DB33" s="6" t="s">
        <v>232</v>
      </c>
      <c r="DD33" s="8">
        <f t="shared" si="35"/>
        <v>3</v>
      </c>
      <c r="DE33" s="15">
        <f t="shared" si="36"/>
        <v>0.6156342182890856</v>
      </c>
      <c r="DI33" s="8">
        <f t="shared" si="37"/>
        <v>33.9</v>
      </c>
      <c r="DJ33" s="6" t="s">
        <v>232</v>
      </c>
      <c r="DM33" s="13">
        <f t="shared" si="38"/>
        <v>20.87</v>
      </c>
      <c r="DN33" s="6" t="s">
        <v>232</v>
      </c>
      <c r="DP33" s="6">
        <v>6</v>
      </c>
      <c r="DQ33" s="6" t="s">
        <v>238</v>
      </c>
      <c r="DU33" s="16">
        <v>0.30380000000000001</v>
      </c>
      <c r="DV33" s="6" t="s">
        <v>232</v>
      </c>
      <c r="DY33" s="16">
        <v>0</v>
      </c>
      <c r="DZ33" s="6" t="s">
        <v>233</v>
      </c>
      <c r="EC33" s="16">
        <v>0</v>
      </c>
      <c r="ED33" s="6" t="s">
        <v>232</v>
      </c>
      <c r="EG33" s="16">
        <v>0.69620000000000004</v>
      </c>
      <c r="EH33" s="6" t="s">
        <v>232</v>
      </c>
      <c r="EJ33" s="2">
        <f t="shared" si="39"/>
        <v>4</v>
      </c>
      <c r="EK33" s="8">
        <f t="shared" si="40"/>
        <v>17.8</v>
      </c>
      <c r="EO33" s="6">
        <v>17.8</v>
      </c>
      <c r="EP33" s="6" t="s">
        <v>233</v>
      </c>
      <c r="ER33" s="8">
        <f t="shared" si="41"/>
        <v>3</v>
      </c>
      <c r="ES33" s="6">
        <v>33.5</v>
      </c>
      <c r="EW33" s="6">
        <v>33.5</v>
      </c>
      <c r="EX33" s="6" t="s">
        <v>232</v>
      </c>
      <c r="EZ33" s="8">
        <f t="shared" si="42"/>
        <v>3</v>
      </c>
      <c r="FA33" s="8">
        <f t="shared" si="43"/>
        <v>78.400000000000006</v>
      </c>
      <c r="FE33" s="6">
        <v>78.400000000000006</v>
      </c>
      <c r="FF33" s="6" t="s">
        <v>232</v>
      </c>
      <c r="FH33" s="6">
        <v>2</v>
      </c>
      <c r="FI33" s="6" t="s">
        <v>241</v>
      </c>
      <c r="FJ33" s="6" t="s">
        <v>232</v>
      </c>
      <c r="FM33" s="6" t="s">
        <v>37</v>
      </c>
      <c r="FQ33" s="6" t="s">
        <v>37</v>
      </c>
      <c r="FU33" s="6" t="s">
        <v>37</v>
      </c>
      <c r="FY33" s="6" t="s">
        <v>37</v>
      </c>
      <c r="GB33" s="6">
        <v>2</v>
      </c>
      <c r="GC33" s="6" t="s">
        <v>242</v>
      </c>
      <c r="GG33" s="6" t="s">
        <v>242</v>
      </c>
      <c r="GH33" s="6" t="s">
        <v>146</v>
      </c>
      <c r="GJ33" s="8">
        <f t="shared" si="44"/>
        <v>4</v>
      </c>
      <c r="GK33" s="1">
        <f t="shared" si="45"/>
        <v>1.9678405783071697E-3</v>
      </c>
      <c r="GN33" s="6">
        <v>0.10688369</v>
      </c>
      <c r="GO33" s="6" t="s">
        <v>243</v>
      </c>
      <c r="GP33" s="6" t="s">
        <v>146</v>
      </c>
      <c r="GS33" s="17">
        <v>54.315218000000002</v>
      </c>
      <c r="GT33" s="6" t="s">
        <v>146</v>
      </c>
      <c r="GV33" s="8">
        <f t="shared" si="46"/>
        <v>1</v>
      </c>
      <c r="GW33" s="1">
        <f t="shared" si="47"/>
        <v>0.13060041640617906</v>
      </c>
      <c r="HA33" s="17">
        <v>22.816469999999999</v>
      </c>
      <c r="HB33" s="6" t="s">
        <v>146</v>
      </c>
      <c r="HE33" s="17">
        <v>174.70442</v>
      </c>
      <c r="HF33" s="6" t="s">
        <v>146</v>
      </c>
      <c r="HH33" s="8">
        <f t="shared" si="48"/>
        <v>4</v>
      </c>
      <c r="HI33" s="1">
        <f t="shared" si="49"/>
        <v>0.65650055570467492</v>
      </c>
      <c r="HM33" s="17">
        <v>11.042986000000001</v>
      </c>
      <c r="HN33" s="6" t="s">
        <v>146</v>
      </c>
      <c r="HQ33" s="17">
        <v>16.820985</v>
      </c>
      <c r="HR33" s="6" t="s">
        <v>146</v>
      </c>
      <c r="HT33" s="8">
        <f t="shared" si="50"/>
        <v>4</v>
      </c>
      <c r="HU33" s="10">
        <f t="shared" si="51"/>
        <v>0</v>
      </c>
      <c r="HY33" s="6">
        <v>0</v>
      </c>
      <c r="HZ33" s="6" t="s">
        <v>146</v>
      </c>
      <c r="IC33" s="6">
        <v>1.5</v>
      </c>
      <c r="ID33" s="6" t="s">
        <v>146</v>
      </c>
      <c r="IR33" s="2">
        <f t="shared" si="52"/>
        <v>4</v>
      </c>
      <c r="IS33" s="1">
        <f t="shared" si="53"/>
        <v>0.75929904144107829</v>
      </c>
      <c r="IW33" s="6">
        <v>32.5</v>
      </c>
      <c r="IX33" s="6" t="s">
        <v>146</v>
      </c>
      <c r="JA33" s="17">
        <v>42.802635359999996</v>
      </c>
      <c r="JB33" s="6" t="s">
        <v>144</v>
      </c>
      <c r="JD33" s="14">
        <f t="shared" si="54"/>
        <v>4</v>
      </c>
      <c r="JE33" s="1">
        <f t="shared" si="55"/>
        <v>8.4291832277647152E-2</v>
      </c>
      <c r="JI33" s="6">
        <v>19.321487999999999</v>
      </c>
      <c r="JJ33" s="6" t="s">
        <v>146</v>
      </c>
      <c r="JM33" s="6">
        <v>8.9600000000000009</v>
      </c>
      <c r="JN33" s="6" t="s">
        <v>146</v>
      </c>
      <c r="JQ33" s="6">
        <v>20.995000000000001</v>
      </c>
      <c r="JR33" s="6" t="s">
        <v>146</v>
      </c>
      <c r="JU33" s="6">
        <v>30.170480999999999</v>
      </c>
      <c r="JV33" s="6" t="s">
        <v>146</v>
      </c>
      <c r="JX33" s="6">
        <v>1</v>
      </c>
      <c r="JY33" s="6" t="s">
        <v>245</v>
      </c>
      <c r="KB33" s="6">
        <v>1</v>
      </c>
      <c r="KC33" s="6" t="s">
        <v>246</v>
      </c>
      <c r="KD33" s="6" t="s">
        <v>146</v>
      </c>
      <c r="KF33" s="8">
        <f t="shared" si="56"/>
        <v>3</v>
      </c>
      <c r="KG33" s="1">
        <f t="shared" si="57"/>
        <v>0.73681598655658109</v>
      </c>
      <c r="KK33" s="17">
        <v>31.537666000000002</v>
      </c>
      <c r="KL33" s="6" t="s">
        <v>146</v>
      </c>
      <c r="KO33" s="15">
        <f t="shared" si="58"/>
        <v>42.802635359999996</v>
      </c>
      <c r="KP33" s="6" t="str">
        <f>JB33</f>
        <v>wind</v>
      </c>
    </row>
    <row r="34" spans="2:302" s="6" customFormat="1" ht="16.5" customHeight="1" x14ac:dyDescent="0.35">
      <c r="B34" s="6" t="s">
        <v>247</v>
      </c>
      <c r="C34" s="6" t="s">
        <v>170</v>
      </c>
      <c r="D34" s="6" t="s">
        <v>171</v>
      </c>
      <c r="E34" s="6" t="s">
        <v>172</v>
      </c>
      <c r="F34" s="6" t="s">
        <v>248</v>
      </c>
      <c r="G34" s="6" t="s">
        <v>249</v>
      </c>
      <c r="H34" s="16">
        <v>0.92779999999999996</v>
      </c>
      <c r="L34" s="3">
        <v>3</v>
      </c>
      <c r="M34" s="6" t="s">
        <v>250</v>
      </c>
      <c r="P34" s="6" t="s">
        <v>126</v>
      </c>
      <c r="Q34" s="6" t="s">
        <v>251</v>
      </c>
      <c r="R34" s="6" t="s">
        <v>252</v>
      </c>
      <c r="T34" s="6" t="s">
        <v>111</v>
      </c>
      <c r="U34" s="16">
        <v>0.64759999999999995</v>
      </c>
      <c r="W34" s="6" t="s">
        <v>254</v>
      </c>
      <c r="X34" s="8">
        <f t="shared" si="20"/>
        <v>2</v>
      </c>
      <c r="Y34" s="1">
        <f t="shared" si="21"/>
        <v>0.21959776458473479</v>
      </c>
      <c r="AC34" s="6">
        <v>422</v>
      </c>
      <c r="AD34" s="6" t="s">
        <v>255</v>
      </c>
      <c r="AG34" s="6">
        <v>322</v>
      </c>
      <c r="AH34" s="6" t="s">
        <v>255</v>
      </c>
      <c r="AK34" s="6">
        <v>285.3</v>
      </c>
      <c r="AL34" s="6" t="s">
        <v>256</v>
      </c>
      <c r="AN34" s="8">
        <f t="shared" si="22"/>
        <v>2</v>
      </c>
      <c r="AO34" s="1">
        <f t="shared" si="23"/>
        <v>0.24697788065843623</v>
      </c>
      <c r="AS34" s="6">
        <v>339</v>
      </c>
      <c r="AT34" s="6" t="s">
        <v>255</v>
      </c>
      <c r="AW34" s="6">
        <v>288</v>
      </c>
      <c r="AX34" s="6" t="s">
        <v>255</v>
      </c>
      <c r="BA34" s="6">
        <v>218.7</v>
      </c>
      <c r="BB34" s="6" t="s">
        <v>256</v>
      </c>
      <c r="BD34" s="2">
        <f t="shared" si="24"/>
        <v>2</v>
      </c>
      <c r="BE34" s="8">
        <f t="shared" si="2"/>
        <v>422</v>
      </c>
      <c r="BI34" s="8">
        <f t="shared" si="25"/>
        <v>422</v>
      </c>
      <c r="BJ34" s="6" t="s">
        <v>255</v>
      </c>
      <c r="BL34" s="2">
        <f t="shared" si="26"/>
        <v>2</v>
      </c>
      <c r="BM34" s="8">
        <f t="shared" si="27"/>
        <v>339</v>
      </c>
      <c r="BQ34" s="8">
        <f t="shared" si="28"/>
        <v>339</v>
      </c>
      <c r="BR34" s="6" t="s">
        <v>255</v>
      </c>
      <c r="BT34" s="8">
        <f t="shared" si="29"/>
        <v>1</v>
      </c>
      <c r="BU34" s="6">
        <v>11</v>
      </c>
      <c r="BY34" s="6">
        <v>11</v>
      </c>
      <c r="BZ34" s="6" t="s">
        <v>258</v>
      </c>
      <c r="CB34" s="6">
        <v>1</v>
      </c>
      <c r="CC34" s="6" t="str">
        <f t="shared" si="19"/>
        <v>一级</v>
      </c>
      <c r="CF34" s="6" t="s">
        <v>132</v>
      </c>
      <c r="CG34" s="6" t="s">
        <v>259</v>
      </c>
      <c r="CH34" s="6" t="s">
        <v>255</v>
      </c>
      <c r="CJ34" s="8">
        <f t="shared" si="30"/>
        <v>2</v>
      </c>
      <c r="CK34" s="12">
        <f t="shared" si="31"/>
        <v>0.98599526066350707</v>
      </c>
      <c r="CO34" s="6">
        <v>416.09</v>
      </c>
      <c r="CP34" s="6" t="s">
        <v>260</v>
      </c>
      <c r="CS34" s="8">
        <f t="shared" si="32"/>
        <v>422</v>
      </c>
      <c r="CT34" s="6" t="s">
        <v>255</v>
      </c>
      <c r="CV34" s="8">
        <f t="shared" si="33"/>
        <v>2</v>
      </c>
      <c r="CW34" s="8">
        <f t="shared" si="34"/>
        <v>1586.07133</v>
      </c>
      <c r="DA34" s="17">
        <v>1586.07133</v>
      </c>
      <c r="DB34" s="6" t="s">
        <v>261</v>
      </c>
      <c r="DD34" s="8">
        <f t="shared" si="35"/>
        <v>1</v>
      </c>
      <c r="DE34" s="15">
        <f t="shared" si="36"/>
        <v>4.6786764896755164</v>
      </c>
      <c r="DI34" s="8">
        <f t="shared" si="37"/>
        <v>339</v>
      </c>
      <c r="DJ34" s="6" t="s">
        <v>252</v>
      </c>
      <c r="DM34" s="13">
        <f t="shared" si="38"/>
        <v>1586.07133</v>
      </c>
      <c r="DN34" s="6" t="s">
        <v>261</v>
      </c>
      <c r="DP34" s="6">
        <v>2</v>
      </c>
      <c r="DQ34" s="6" t="s">
        <v>262</v>
      </c>
      <c r="DU34" s="16">
        <v>0.2278</v>
      </c>
      <c r="DV34" s="6" t="s">
        <v>261</v>
      </c>
      <c r="DY34" s="16">
        <v>0.28889999999999999</v>
      </c>
      <c r="DZ34" s="6" t="s">
        <v>261</v>
      </c>
      <c r="EC34" s="16">
        <v>0.27529999999999999</v>
      </c>
      <c r="ED34" s="6" t="s">
        <v>261</v>
      </c>
      <c r="EG34" s="16">
        <v>20.8</v>
      </c>
      <c r="EH34" s="6" t="s">
        <v>261</v>
      </c>
      <c r="EJ34" s="2">
        <f t="shared" si="39"/>
        <v>1</v>
      </c>
      <c r="EK34" s="8">
        <f t="shared" si="40"/>
        <v>604</v>
      </c>
      <c r="EO34" s="6">
        <v>604</v>
      </c>
      <c r="EP34" s="6" t="s">
        <v>255</v>
      </c>
      <c r="ER34" s="8">
        <f t="shared" si="41"/>
        <v>1</v>
      </c>
      <c r="ES34" s="6">
        <v>336</v>
      </c>
      <c r="EW34" s="6">
        <v>336</v>
      </c>
      <c r="EX34" s="6" t="s">
        <v>255</v>
      </c>
      <c r="EZ34" s="8">
        <f t="shared" si="42"/>
        <v>0</v>
      </c>
      <c r="FA34" s="8" t="str">
        <f t="shared" si="43"/>
        <v>数据缺失</v>
      </c>
      <c r="FE34" s="6" t="s">
        <v>37</v>
      </c>
      <c r="FH34" s="6">
        <v>2</v>
      </c>
      <c r="FI34" s="6" t="s">
        <v>265</v>
      </c>
      <c r="FJ34" s="6" t="s">
        <v>260</v>
      </c>
      <c r="FM34" s="6" t="s">
        <v>37</v>
      </c>
      <c r="FQ34" s="6" t="s">
        <v>37</v>
      </c>
      <c r="FU34" s="6" t="s">
        <v>37</v>
      </c>
      <c r="FY34" s="6" t="s">
        <v>37</v>
      </c>
      <c r="GB34" s="6">
        <v>2</v>
      </c>
      <c r="GC34" s="6" t="s">
        <v>266</v>
      </c>
      <c r="GG34" s="6" t="s">
        <v>266</v>
      </c>
      <c r="GH34" s="6" t="s">
        <v>260</v>
      </c>
      <c r="GJ34" s="8">
        <f t="shared" si="44"/>
        <v>4</v>
      </c>
      <c r="GK34" s="1">
        <f t="shared" si="45"/>
        <v>4.1555439359330711E-2</v>
      </c>
      <c r="GN34" s="6">
        <v>15.1</v>
      </c>
      <c r="GO34" s="6" t="s">
        <v>267</v>
      </c>
      <c r="GP34" s="6" t="s">
        <v>260</v>
      </c>
      <c r="GS34" s="6">
        <v>363.37</v>
      </c>
      <c r="GT34" s="6" t="s">
        <v>144</v>
      </c>
      <c r="GV34" s="8">
        <f t="shared" si="46"/>
        <v>0</v>
      </c>
      <c r="GW34" s="6" t="s">
        <v>37</v>
      </c>
      <c r="HA34" s="6" t="s">
        <v>37</v>
      </c>
      <c r="HE34" s="6">
        <v>1394.04</v>
      </c>
      <c r="HF34" s="6" t="s">
        <v>144</v>
      </c>
      <c r="HH34" s="8">
        <f t="shared" si="48"/>
        <v>2</v>
      </c>
      <c r="HI34" s="1">
        <f t="shared" si="49"/>
        <v>0.27201774564574432</v>
      </c>
      <c r="HM34" s="6">
        <v>66.22</v>
      </c>
      <c r="HN34" s="6" t="s">
        <v>268</v>
      </c>
      <c r="HQ34" s="6">
        <v>243.44</v>
      </c>
      <c r="HR34" s="6" t="s">
        <v>144</v>
      </c>
      <c r="HT34" s="8">
        <f t="shared" si="50"/>
        <v>4</v>
      </c>
      <c r="HU34" s="10">
        <f t="shared" si="51"/>
        <v>2.2393057080866793E-2</v>
      </c>
      <c r="HY34" s="6">
        <v>8.36</v>
      </c>
      <c r="HZ34" s="6" t="s">
        <v>269</v>
      </c>
      <c r="IC34" s="6">
        <v>373.33</v>
      </c>
      <c r="ID34" s="6" t="s">
        <v>144</v>
      </c>
      <c r="IR34" s="2">
        <f t="shared" si="52"/>
        <v>0</v>
      </c>
      <c r="IS34" s="6" t="s">
        <v>37</v>
      </c>
      <c r="IW34" s="6" t="s">
        <v>37</v>
      </c>
      <c r="JA34" s="6">
        <v>334.18</v>
      </c>
      <c r="JB34" s="6" t="s">
        <v>270</v>
      </c>
      <c r="JD34" s="14">
        <f t="shared" si="54"/>
        <v>3</v>
      </c>
      <c r="JE34" s="1">
        <f t="shared" si="55"/>
        <v>7.9572774257570297E-2</v>
      </c>
      <c r="JI34" s="6">
        <v>128.62</v>
      </c>
      <c r="JJ34" s="6" t="s">
        <v>260</v>
      </c>
      <c r="JM34" s="6">
        <v>3.33</v>
      </c>
      <c r="JN34" s="6" t="s">
        <v>260</v>
      </c>
      <c r="JQ34" s="6">
        <v>614.48</v>
      </c>
      <c r="JR34" s="6" t="s">
        <v>260</v>
      </c>
      <c r="JU34" s="6">
        <v>356.32</v>
      </c>
      <c r="JV34" s="6" t="s">
        <v>260</v>
      </c>
      <c r="JX34" s="6">
        <v>2</v>
      </c>
      <c r="JY34" s="6" t="s">
        <v>271</v>
      </c>
      <c r="KB34" s="6">
        <v>4</v>
      </c>
      <c r="KC34" s="6" t="s">
        <v>271</v>
      </c>
      <c r="KD34" s="6" t="s">
        <v>272</v>
      </c>
      <c r="KF34" s="8">
        <f t="shared" si="56"/>
        <v>0</v>
      </c>
      <c r="KG34" s="6" t="s">
        <v>37</v>
      </c>
      <c r="KK34" s="6" t="s">
        <v>37</v>
      </c>
      <c r="KO34" s="15">
        <f t="shared" si="58"/>
        <v>334.18</v>
      </c>
      <c r="KP34" s="6" t="s">
        <v>270</v>
      </c>
    </row>
    <row r="35" spans="2:302" s="6" customFormat="1" ht="16.5" customHeight="1" x14ac:dyDescent="0.35">
      <c r="B35" s="6" t="s">
        <v>273</v>
      </c>
      <c r="C35" s="6" t="s">
        <v>170</v>
      </c>
      <c r="D35" s="6" t="s">
        <v>196</v>
      </c>
      <c r="E35" s="6" t="s">
        <v>172</v>
      </c>
      <c r="F35" s="6" t="s">
        <v>274</v>
      </c>
      <c r="G35" s="6" t="s">
        <v>199</v>
      </c>
      <c r="H35" s="16">
        <v>0.99780000000000002</v>
      </c>
      <c r="L35" s="3">
        <v>4</v>
      </c>
      <c r="M35" s="6" t="s">
        <v>275</v>
      </c>
      <c r="P35" s="6" t="s">
        <v>126</v>
      </c>
      <c r="Q35" s="6" t="s">
        <v>276</v>
      </c>
      <c r="R35" s="6" t="s">
        <v>277</v>
      </c>
      <c r="T35" s="6" t="s">
        <v>111</v>
      </c>
      <c r="U35" s="16">
        <v>0.89900000000000002</v>
      </c>
      <c r="W35" s="6" t="s">
        <v>279</v>
      </c>
      <c r="X35" s="8">
        <f t="shared" si="20"/>
        <v>0</v>
      </c>
      <c r="Y35" s="6" t="s">
        <v>37</v>
      </c>
      <c r="AC35" s="6" t="s">
        <v>37</v>
      </c>
      <c r="AG35" s="6" t="s">
        <v>37</v>
      </c>
      <c r="AK35" s="6" t="s">
        <v>37</v>
      </c>
      <c r="AN35" s="8">
        <f t="shared" si="22"/>
        <v>0</v>
      </c>
      <c r="AO35" s="6" t="s">
        <v>37</v>
      </c>
      <c r="AS35" s="6" t="s">
        <v>37</v>
      </c>
      <c r="AW35" s="6" t="s">
        <v>37</v>
      </c>
      <c r="BA35" s="6" t="s">
        <v>37</v>
      </c>
      <c r="BD35" s="2">
        <f t="shared" si="24"/>
        <v>0</v>
      </c>
      <c r="BE35" s="8" t="str">
        <f t="shared" si="2"/>
        <v>数据缺失</v>
      </c>
      <c r="BI35" s="8" t="str">
        <f t="shared" si="25"/>
        <v>数据缺失</v>
      </c>
      <c r="BL35" s="2">
        <f t="shared" si="26"/>
        <v>0</v>
      </c>
      <c r="BM35" s="8" t="str">
        <f t="shared" si="27"/>
        <v>数据缺失</v>
      </c>
      <c r="BQ35" s="8" t="str">
        <f t="shared" si="28"/>
        <v>数据缺失</v>
      </c>
      <c r="BT35" s="8">
        <f t="shared" si="29"/>
        <v>5</v>
      </c>
      <c r="BU35" s="6" t="s">
        <v>179</v>
      </c>
      <c r="BY35" s="6" t="s">
        <v>179</v>
      </c>
      <c r="BZ35" s="6" t="s">
        <v>180</v>
      </c>
      <c r="CB35" s="6">
        <v>0</v>
      </c>
      <c r="CC35" s="6" t="s">
        <v>37</v>
      </c>
      <c r="CF35" s="6" t="s">
        <v>37</v>
      </c>
      <c r="CJ35" s="8">
        <f t="shared" si="30"/>
        <v>0</v>
      </c>
      <c r="CK35" s="6" t="s">
        <v>37</v>
      </c>
      <c r="CO35" s="6" t="s">
        <v>37</v>
      </c>
      <c r="CS35" s="8" t="str">
        <f t="shared" si="32"/>
        <v>数据缺失</v>
      </c>
      <c r="CV35" s="8">
        <f t="shared" si="33"/>
        <v>0</v>
      </c>
      <c r="CW35" s="8" t="str">
        <f t="shared" si="34"/>
        <v>数据缺失</v>
      </c>
      <c r="DA35" s="6" t="s">
        <v>37</v>
      </c>
      <c r="DD35" s="8">
        <f t="shared" si="35"/>
        <v>0</v>
      </c>
      <c r="DE35" s="15" t="s">
        <v>37</v>
      </c>
      <c r="DI35" s="8" t="str">
        <f t="shared" si="37"/>
        <v>数据缺失</v>
      </c>
      <c r="DM35" s="13" t="str">
        <f t="shared" si="38"/>
        <v>数据缺失</v>
      </c>
      <c r="DP35" s="6">
        <v>5</v>
      </c>
      <c r="DQ35" s="6" t="s">
        <v>37</v>
      </c>
      <c r="DU35" s="16" t="s">
        <v>37</v>
      </c>
      <c r="DY35" s="16" t="s">
        <v>37</v>
      </c>
      <c r="EC35" s="16" t="s">
        <v>37</v>
      </c>
      <c r="EG35" s="16" t="s">
        <v>37</v>
      </c>
      <c r="EJ35" s="2">
        <f t="shared" si="39"/>
        <v>0</v>
      </c>
      <c r="EK35" s="8" t="str">
        <f t="shared" si="40"/>
        <v>数据缺失</v>
      </c>
      <c r="EO35" s="6" t="s">
        <v>37</v>
      </c>
      <c r="ER35" s="8">
        <f t="shared" si="41"/>
        <v>0</v>
      </c>
      <c r="ES35" s="6" t="str">
        <f>EW35</f>
        <v>数据缺失</v>
      </c>
      <c r="EW35" s="6" t="s">
        <v>37</v>
      </c>
      <c r="EZ35" s="8">
        <f t="shared" si="42"/>
        <v>0</v>
      </c>
      <c r="FA35" s="8" t="str">
        <f t="shared" si="43"/>
        <v>数据缺失</v>
      </c>
      <c r="FE35" s="6" t="s">
        <v>37</v>
      </c>
      <c r="FH35" s="6">
        <v>5</v>
      </c>
      <c r="FI35" s="6" t="s">
        <v>37</v>
      </c>
      <c r="FM35" s="6" t="s">
        <v>37</v>
      </c>
      <c r="FQ35" s="6" t="s">
        <v>37</v>
      </c>
      <c r="FU35" s="6" t="s">
        <v>37</v>
      </c>
      <c r="FY35" s="6" t="s">
        <v>37</v>
      </c>
      <c r="GB35" s="6">
        <v>2</v>
      </c>
      <c r="GC35" s="6" t="s">
        <v>282</v>
      </c>
      <c r="GG35" s="6" t="s">
        <v>282</v>
      </c>
      <c r="GH35" s="6" t="s">
        <v>283</v>
      </c>
      <c r="GJ35" s="8">
        <f t="shared" si="44"/>
        <v>1</v>
      </c>
      <c r="GK35" s="1">
        <f t="shared" si="45"/>
        <v>0.99837398373983732</v>
      </c>
      <c r="GN35" s="6">
        <v>6.14</v>
      </c>
      <c r="GO35" s="6" t="s">
        <v>284</v>
      </c>
      <c r="GP35" s="6" t="s">
        <v>283</v>
      </c>
      <c r="GS35" s="6">
        <v>6.15</v>
      </c>
      <c r="GT35" s="6" t="s">
        <v>144</v>
      </c>
      <c r="GV35" s="8">
        <f t="shared" si="46"/>
        <v>0</v>
      </c>
      <c r="GW35" s="6" t="s">
        <v>37</v>
      </c>
      <c r="HA35" s="6" t="s">
        <v>37</v>
      </c>
      <c r="HE35" s="6">
        <v>191.64</v>
      </c>
      <c r="HF35" s="6" t="s">
        <v>144</v>
      </c>
      <c r="HH35" s="8">
        <f t="shared" si="48"/>
        <v>0</v>
      </c>
      <c r="HI35" s="6" t="s">
        <v>37</v>
      </c>
      <c r="HM35" s="6" t="s">
        <v>37</v>
      </c>
      <c r="HQ35" s="6">
        <v>4.51</v>
      </c>
      <c r="HR35" s="6" t="s">
        <v>144</v>
      </c>
      <c r="HT35" s="8">
        <f t="shared" si="50"/>
        <v>0</v>
      </c>
      <c r="HU35" s="3" t="s">
        <v>37</v>
      </c>
      <c r="HY35" s="6" t="s">
        <v>37</v>
      </c>
      <c r="IC35" s="6">
        <v>26.2</v>
      </c>
      <c r="ID35" s="6" t="s">
        <v>144</v>
      </c>
      <c r="IR35" s="2">
        <f t="shared" si="52"/>
        <v>0</v>
      </c>
      <c r="IS35" s="6" t="s">
        <v>37</v>
      </c>
      <c r="IW35" s="6" t="s">
        <v>37</v>
      </c>
      <c r="JA35" s="6">
        <v>97.6</v>
      </c>
      <c r="JB35" s="6" t="s">
        <v>144</v>
      </c>
      <c r="JD35" s="14">
        <f t="shared" si="54"/>
        <v>4</v>
      </c>
      <c r="JE35" s="1">
        <f t="shared" si="55"/>
        <v>8.7844462305973342E-2</v>
      </c>
      <c r="JI35" s="6">
        <v>10.94</v>
      </c>
      <c r="JJ35" s="6" t="s">
        <v>283</v>
      </c>
      <c r="JM35" s="6">
        <v>6.94</v>
      </c>
      <c r="JN35" s="6" t="s">
        <v>283</v>
      </c>
      <c r="JQ35" s="6">
        <v>31.08</v>
      </c>
      <c r="JR35" s="6" t="s">
        <v>283</v>
      </c>
      <c r="JU35" s="6">
        <v>4.8099999999999996</v>
      </c>
      <c r="JV35" s="6" t="s">
        <v>283</v>
      </c>
      <c r="JX35" s="6">
        <v>1</v>
      </c>
      <c r="JY35" s="6" t="s">
        <v>245</v>
      </c>
      <c r="KB35" s="6">
        <v>1</v>
      </c>
      <c r="KC35" s="6" t="s">
        <v>246</v>
      </c>
      <c r="KD35" s="6" t="s">
        <v>283</v>
      </c>
      <c r="KF35" s="8">
        <f t="shared" si="56"/>
        <v>0</v>
      </c>
      <c r="KG35" s="6" t="s">
        <v>37</v>
      </c>
      <c r="KK35" s="6" t="s">
        <v>37</v>
      </c>
      <c r="KO35" s="15">
        <f t="shared" si="58"/>
        <v>97.6</v>
      </c>
      <c r="KP35" s="6" t="s">
        <v>144</v>
      </c>
    </row>
    <row r="36" spans="2:302" s="6" customFormat="1" ht="16.5" customHeight="1" x14ac:dyDescent="0.35">
      <c r="B36" s="6" t="s">
        <v>288</v>
      </c>
      <c r="C36" s="6" t="s">
        <v>170</v>
      </c>
      <c r="D36" s="6" t="s">
        <v>171</v>
      </c>
      <c r="E36" s="6" t="s">
        <v>289</v>
      </c>
      <c r="F36" s="6" t="s">
        <v>290</v>
      </c>
      <c r="G36" s="6" t="s">
        <v>174</v>
      </c>
      <c r="H36" s="18">
        <v>1</v>
      </c>
      <c r="L36" s="3">
        <v>3</v>
      </c>
      <c r="M36" s="6" t="s">
        <v>291</v>
      </c>
      <c r="P36" s="6" t="s">
        <v>126</v>
      </c>
      <c r="Q36" s="6" t="s">
        <v>292</v>
      </c>
      <c r="R36" s="6" t="s">
        <v>146</v>
      </c>
      <c r="T36" s="6" t="s">
        <v>111</v>
      </c>
      <c r="U36" s="16">
        <v>0.69359999999999999</v>
      </c>
      <c r="X36" s="8">
        <f t="shared" si="20"/>
        <v>1</v>
      </c>
      <c r="Y36" s="1">
        <f t="shared" si="21"/>
        <v>0.32922550280268431</v>
      </c>
      <c r="AC36" s="6">
        <v>195.08</v>
      </c>
      <c r="AD36" s="6" t="s">
        <v>294</v>
      </c>
      <c r="AG36" s="6">
        <v>152.34</v>
      </c>
      <c r="AH36" s="6" t="s">
        <v>294</v>
      </c>
      <c r="AK36" s="6">
        <v>110.56</v>
      </c>
      <c r="AL36" s="6" t="s">
        <v>295</v>
      </c>
      <c r="AN36" s="8">
        <f t="shared" si="22"/>
        <v>1</v>
      </c>
      <c r="AO36" s="1">
        <f t="shared" si="23"/>
        <v>0.46629556221211571</v>
      </c>
      <c r="AS36" s="6">
        <v>216.5</v>
      </c>
      <c r="AT36" s="6" t="s">
        <v>294</v>
      </c>
      <c r="AW36" s="6">
        <v>139.63</v>
      </c>
      <c r="AX36" s="6" t="s">
        <v>294</v>
      </c>
      <c r="BA36" s="6">
        <v>101.03</v>
      </c>
      <c r="BB36" s="6" t="s">
        <v>295</v>
      </c>
      <c r="BD36" s="2">
        <f t="shared" si="24"/>
        <v>3</v>
      </c>
      <c r="BE36" s="8">
        <f t="shared" si="2"/>
        <v>195.08</v>
      </c>
      <c r="BI36" s="8">
        <f t="shared" si="25"/>
        <v>195.08</v>
      </c>
      <c r="BJ36" s="6" t="s">
        <v>294</v>
      </c>
      <c r="BL36" s="2">
        <f t="shared" si="26"/>
        <v>3</v>
      </c>
      <c r="BM36" s="8">
        <f t="shared" si="27"/>
        <v>216.5</v>
      </c>
      <c r="BQ36" s="8">
        <f t="shared" si="28"/>
        <v>216.5</v>
      </c>
      <c r="BR36" s="6" t="s">
        <v>294</v>
      </c>
      <c r="BT36" s="8">
        <f t="shared" si="29"/>
        <v>2</v>
      </c>
      <c r="BU36" s="6">
        <v>43</v>
      </c>
      <c r="BY36" s="6">
        <v>43</v>
      </c>
      <c r="BZ36" s="6" t="s">
        <v>234</v>
      </c>
      <c r="CB36" s="6">
        <v>2</v>
      </c>
      <c r="CC36" s="6" t="s">
        <v>134</v>
      </c>
      <c r="CF36" s="6" t="s">
        <v>134</v>
      </c>
      <c r="CG36" s="6" t="s">
        <v>423</v>
      </c>
      <c r="CH36" s="6" t="s">
        <v>1244</v>
      </c>
      <c r="CJ36" s="8">
        <f t="shared" si="30"/>
        <v>2</v>
      </c>
      <c r="CK36" s="12">
        <f t="shared" si="31"/>
        <v>0.70181464014763173</v>
      </c>
      <c r="CO36" s="6">
        <v>136.91</v>
      </c>
      <c r="CP36" s="6" t="s">
        <v>294</v>
      </c>
      <c r="CS36" s="8">
        <f t="shared" si="32"/>
        <v>195.08</v>
      </c>
      <c r="CT36" s="6" t="s">
        <v>294</v>
      </c>
      <c r="CV36" s="8">
        <f t="shared" si="33"/>
        <v>3</v>
      </c>
      <c r="CW36" s="8">
        <f t="shared" si="34"/>
        <v>650.55999999999995</v>
      </c>
      <c r="DA36" s="6">
        <v>650.55999999999995</v>
      </c>
      <c r="DB36" s="6" t="s">
        <v>294</v>
      </c>
      <c r="DD36" s="8">
        <f t="shared" si="35"/>
        <v>1</v>
      </c>
      <c r="DE36" s="15">
        <f t="shared" si="36"/>
        <v>3.004896073903002</v>
      </c>
      <c r="DI36" s="8">
        <f t="shared" si="37"/>
        <v>216.5</v>
      </c>
      <c r="DJ36" s="6" t="s">
        <v>294</v>
      </c>
      <c r="DM36" s="13">
        <f t="shared" si="38"/>
        <v>650.55999999999995</v>
      </c>
      <c r="DN36" s="6" t="s">
        <v>294</v>
      </c>
      <c r="DP36" s="6">
        <v>2</v>
      </c>
      <c r="DQ36" s="6" t="s">
        <v>539</v>
      </c>
      <c r="DU36" s="16" t="s">
        <v>37</v>
      </c>
      <c r="DY36" s="16" t="s">
        <v>37</v>
      </c>
      <c r="EC36" s="16" t="s">
        <v>37</v>
      </c>
      <c r="EG36" s="16" t="s">
        <v>37</v>
      </c>
      <c r="EJ36" s="2">
        <f t="shared" si="39"/>
        <v>1</v>
      </c>
      <c r="EK36" s="8">
        <f t="shared" si="40"/>
        <v>260</v>
      </c>
      <c r="EO36" s="6">
        <v>260</v>
      </c>
      <c r="EP36" s="6" t="s">
        <v>294</v>
      </c>
      <c r="ER36" s="8">
        <f t="shared" si="41"/>
        <v>1</v>
      </c>
      <c r="ES36" s="6">
        <f t="shared" ref="ES36:ES71" si="59">EW36</f>
        <v>187.4</v>
      </c>
      <c r="EW36" s="6">
        <v>187.4</v>
      </c>
      <c r="EX36" s="6" t="s">
        <v>294</v>
      </c>
      <c r="EZ36" s="8">
        <f t="shared" si="42"/>
        <v>1</v>
      </c>
      <c r="FA36" s="8">
        <f t="shared" si="43"/>
        <v>452.04</v>
      </c>
      <c r="FE36" s="6">
        <v>452.04</v>
      </c>
      <c r="FF36" s="6" t="s">
        <v>294</v>
      </c>
      <c r="FH36" s="6">
        <v>2</v>
      </c>
      <c r="FI36" s="6" t="s">
        <v>299</v>
      </c>
      <c r="FM36" s="16">
        <v>0.32119999999999999</v>
      </c>
      <c r="FN36" s="6" t="s">
        <v>294</v>
      </c>
      <c r="FQ36" s="16">
        <v>0.40600000000000003</v>
      </c>
      <c r="FR36" s="6" t="s">
        <v>294</v>
      </c>
      <c r="FU36" s="16">
        <v>0.18870000000000001</v>
      </c>
      <c r="FV36" s="6" t="s">
        <v>294</v>
      </c>
      <c r="FY36" s="16">
        <v>8.4000000000000005E-2</v>
      </c>
      <c r="FZ36" s="6" t="s">
        <v>294</v>
      </c>
      <c r="GB36" s="6">
        <v>2</v>
      </c>
      <c r="GC36" s="6" t="s">
        <v>300</v>
      </c>
      <c r="GG36" s="6" t="s">
        <v>300</v>
      </c>
      <c r="GH36" s="6" t="s">
        <v>146</v>
      </c>
      <c r="GJ36" s="8">
        <f t="shared" si="44"/>
        <v>4</v>
      </c>
      <c r="GK36" s="1">
        <f t="shared" si="45"/>
        <v>3.0953396579184264E-2</v>
      </c>
      <c r="GN36" s="17">
        <v>4.4699799999999996</v>
      </c>
      <c r="GO36" s="6" t="s">
        <v>302</v>
      </c>
      <c r="GP36" s="6" t="s">
        <v>146</v>
      </c>
      <c r="GS36" s="6">
        <v>144.41</v>
      </c>
      <c r="GT36" s="6" t="s">
        <v>144</v>
      </c>
      <c r="GV36" s="8">
        <f t="shared" si="46"/>
        <v>2</v>
      </c>
      <c r="GW36" s="1">
        <f t="shared" si="47"/>
        <v>0.22686304599234944</v>
      </c>
      <c r="HA36" s="17">
        <v>102.0067</v>
      </c>
      <c r="HB36" s="6" t="s">
        <v>146</v>
      </c>
      <c r="HE36" s="6">
        <v>449.64</v>
      </c>
      <c r="HF36" s="6" t="s">
        <v>144</v>
      </c>
      <c r="HH36" s="8">
        <f t="shared" si="48"/>
        <v>3</v>
      </c>
      <c r="HI36" s="1">
        <f t="shared" si="49"/>
        <v>0.45493490159543498</v>
      </c>
      <c r="HM36" s="17">
        <v>39.065260000000002</v>
      </c>
      <c r="HN36" s="6" t="s">
        <v>146</v>
      </c>
      <c r="HQ36" s="6">
        <v>85.87</v>
      </c>
      <c r="HR36" s="6" t="s">
        <v>144</v>
      </c>
      <c r="HT36" s="8">
        <f t="shared" si="50"/>
        <v>2</v>
      </c>
      <c r="HU36" s="10">
        <f t="shared" si="51"/>
        <v>0.25727478260869563</v>
      </c>
      <c r="HY36" s="17">
        <v>13.313969999999999</v>
      </c>
      <c r="HZ36" s="6" t="s">
        <v>146</v>
      </c>
      <c r="IC36" s="6">
        <v>51.75</v>
      </c>
      <c r="ID36" s="6" t="s">
        <v>144</v>
      </c>
      <c r="IR36" s="2">
        <f t="shared" si="52"/>
        <v>3</v>
      </c>
      <c r="IS36" s="1">
        <f t="shared" si="53"/>
        <v>1.8624168276454174</v>
      </c>
      <c r="IW36" s="6">
        <v>260.31</v>
      </c>
      <c r="IX36" s="6" t="s">
        <v>146</v>
      </c>
      <c r="JA36" s="6">
        <v>139.77000000000001</v>
      </c>
      <c r="JB36" s="6" t="s">
        <v>144</v>
      </c>
      <c r="JD36" s="14">
        <f t="shared" si="54"/>
        <v>3</v>
      </c>
      <c r="JE36" s="1">
        <f t="shared" si="55"/>
        <v>7.8419693947301319E-2</v>
      </c>
      <c r="JF36" s="14"/>
      <c r="JG36" s="14"/>
      <c r="JH36" s="14"/>
      <c r="JI36" s="14">
        <v>24.7</v>
      </c>
      <c r="JJ36" s="14" t="s">
        <v>294</v>
      </c>
      <c r="JK36" s="14"/>
      <c r="JL36" s="14"/>
      <c r="JM36" s="14">
        <v>3.47</v>
      </c>
      <c r="JN36" s="14" t="s">
        <v>146</v>
      </c>
      <c r="JO36" s="14"/>
      <c r="JP36" s="14"/>
      <c r="JQ36" s="14">
        <v>106.37</v>
      </c>
      <c r="JR36" s="14" t="s">
        <v>294</v>
      </c>
      <c r="JS36" s="14"/>
      <c r="JT36" s="14"/>
      <c r="JU36" s="14">
        <v>75.17</v>
      </c>
      <c r="JV36" s="14" t="s">
        <v>294</v>
      </c>
      <c r="JW36" s="14"/>
      <c r="JX36" s="6">
        <v>1</v>
      </c>
      <c r="JY36" s="6" t="s">
        <v>305</v>
      </c>
      <c r="KB36" s="6">
        <v>5</v>
      </c>
      <c r="KC36" s="6" t="s">
        <v>306</v>
      </c>
      <c r="KD36" s="6" t="s">
        <v>146</v>
      </c>
      <c r="KF36" s="14">
        <f t="shared" si="56"/>
        <v>3</v>
      </c>
      <c r="KG36" s="1">
        <f t="shared" si="57"/>
        <v>0.84560363454246257</v>
      </c>
      <c r="KK36" s="17">
        <v>118.19002</v>
      </c>
      <c r="KL36" s="6" t="s">
        <v>146</v>
      </c>
      <c r="KO36" s="15">
        <f t="shared" si="58"/>
        <v>139.77000000000001</v>
      </c>
    </row>
    <row r="37" spans="2:302" s="6" customFormat="1" ht="16.5" customHeight="1" x14ac:dyDescent="0.35">
      <c r="B37" s="6" t="s">
        <v>288</v>
      </c>
      <c r="C37" s="6" t="s">
        <v>170</v>
      </c>
      <c r="D37" s="6" t="s">
        <v>171</v>
      </c>
      <c r="E37" s="6" t="s">
        <v>172</v>
      </c>
      <c r="F37" s="6" t="s">
        <v>307</v>
      </c>
      <c r="G37" s="6" t="s">
        <v>249</v>
      </c>
      <c r="H37" s="18">
        <v>1</v>
      </c>
      <c r="L37" s="3">
        <v>3</v>
      </c>
      <c r="M37" s="6" t="s">
        <v>308</v>
      </c>
      <c r="P37" s="6" t="s">
        <v>126</v>
      </c>
      <c r="Q37" s="6" t="s">
        <v>292</v>
      </c>
      <c r="R37" s="6" t="s">
        <v>295</v>
      </c>
      <c r="T37" s="6" t="s">
        <v>111</v>
      </c>
      <c r="U37" s="18">
        <v>0.75</v>
      </c>
      <c r="X37" s="6">
        <f t="shared" si="20"/>
        <v>1</v>
      </c>
      <c r="Y37" s="5">
        <f>(AC36-AK36)/AK36</f>
        <v>0.76447178002894367</v>
      </c>
      <c r="AC37" s="6">
        <v>110.56</v>
      </c>
      <c r="AD37" s="6" t="s">
        <v>310</v>
      </c>
      <c r="AG37" s="6">
        <v>69.89</v>
      </c>
      <c r="AH37" s="6" t="s">
        <v>310</v>
      </c>
      <c r="AK37" s="6" t="s">
        <v>37</v>
      </c>
      <c r="AN37" s="6">
        <f t="shared" si="22"/>
        <v>1</v>
      </c>
      <c r="AO37" s="16">
        <f>(AS37-AW37)/AW37</f>
        <v>0.34976619906479639</v>
      </c>
      <c r="AS37" s="6">
        <v>101.03</v>
      </c>
      <c r="AT37" s="6" t="s">
        <v>311</v>
      </c>
      <c r="AW37" s="6">
        <v>74.849999999999994</v>
      </c>
      <c r="AX37" s="6" t="s">
        <v>310</v>
      </c>
      <c r="BA37" s="6" t="s">
        <v>37</v>
      </c>
      <c r="BD37" s="2">
        <f t="shared" si="24"/>
        <v>3</v>
      </c>
      <c r="BE37" s="8">
        <f t="shared" si="2"/>
        <v>110.56</v>
      </c>
      <c r="BI37" s="8">
        <f t="shared" si="25"/>
        <v>110.56</v>
      </c>
      <c r="BJ37" s="6" t="s">
        <v>311</v>
      </c>
      <c r="BL37" s="2">
        <f t="shared" si="26"/>
        <v>3</v>
      </c>
      <c r="BM37" s="8">
        <f t="shared" si="27"/>
        <v>101.03</v>
      </c>
      <c r="BQ37" s="8">
        <f t="shared" si="28"/>
        <v>101.03</v>
      </c>
      <c r="BR37" s="6" t="s">
        <v>311</v>
      </c>
      <c r="BT37" s="8">
        <f t="shared" si="29"/>
        <v>2</v>
      </c>
      <c r="BU37" s="6">
        <v>45</v>
      </c>
      <c r="BY37" s="6">
        <v>45</v>
      </c>
      <c r="BZ37" s="6" t="s">
        <v>258</v>
      </c>
      <c r="CB37" s="6">
        <v>2</v>
      </c>
      <c r="CC37" s="6" t="s">
        <v>134</v>
      </c>
      <c r="CF37" s="6" t="s">
        <v>134</v>
      </c>
      <c r="CG37" s="6" t="s">
        <v>423</v>
      </c>
      <c r="CH37" s="6" t="s">
        <v>1244</v>
      </c>
      <c r="CJ37" s="8">
        <f t="shared" si="30"/>
        <v>0</v>
      </c>
      <c r="CK37" s="6" t="s">
        <v>37</v>
      </c>
      <c r="CO37" s="14">
        <v>21.43</v>
      </c>
      <c r="CP37" s="14" t="s">
        <v>294</v>
      </c>
      <c r="CS37" s="8">
        <f t="shared" si="32"/>
        <v>110.56</v>
      </c>
      <c r="CT37" s="14" t="s">
        <v>295</v>
      </c>
      <c r="CV37" s="8">
        <f t="shared" si="33"/>
        <v>0</v>
      </c>
      <c r="CW37" s="8" t="str">
        <f t="shared" si="34"/>
        <v>数据缺失</v>
      </c>
      <c r="DA37" s="6" t="s">
        <v>37</v>
      </c>
      <c r="DD37" s="8">
        <f t="shared" si="35"/>
        <v>0</v>
      </c>
      <c r="DE37" s="15" t="s">
        <v>37</v>
      </c>
      <c r="DI37" s="8">
        <f t="shared" si="37"/>
        <v>101.03</v>
      </c>
      <c r="DJ37" s="14" t="s">
        <v>295</v>
      </c>
      <c r="DM37" s="13" t="str">
        <f t="shared" si="38"/>
        <v>数据缺失</v>
      </c>
      <c r="DP37" s="6">
        <v>5</v>
      </c>
      <c r="DQ37" s="6" t="s">
        <v>37</v>
      </c>
      <c r="DU37" s="16" t="s">
        <v>37</v>
      </c>
      <c r="DY37" s="16" t="s">
        <v>37</v>
      </c>
      <c r="EC37" s="16" t="s">
        <v>37</v>
      </c>
      <c r="EG37" s="16" t="s">
        <v>37</v>
      </c>
      <c r="EJ37" s="2">
        <f t="shared" si="39"/>
        <v>1</v>
      </c>
      <c r="EK37" s="8">
        <f t="shared" si="40"/>
        <v>143</v>
      </c>
      <c r="EO37" s="6">
        <v>143</v>
      </c>
      <c r="EP37" s="6" t="s">
        <v>294</v>
      </c>
      <c r="ER37" s="8">
        <f t="shared" si="41"/>
        <v>1</v>
      </c>
      <c r="ES37" s="6">
        <f t="shared" si="59"/>
        <v>144</v>
      </c>
      <c r="EW37" s="6">
        <v>144</v>
      </c>
      <c r="EX37" s="6" t="s">
        <v>294</v>
      </c>
      <c r="EZ37" s="8">
        <f t="shared" si="42"/>
        <v>0</v>
      </c>
      <c r="FA37" s="8" t="str">
        <f t="shared" si="43"/>
        <v>数据缺失</v>
      </c>
      <c r="FE37" s="6" t="s">
        <v>37</v>
      </c>
      <c r="FH37" s="6">
        <v>5</v>
      </c>
      <c r="FI37" s="6" t="s">
        <v>37</v>
      </c>
      <c r="FM37" s="6" t="s">
        <v>37</v>
      </c>
      <c r="FQ37" s="6" t="s">
        <v>37</v>
      </c>
      <c r="FU37" s="6" t="s">
        <v>37</v>
      </c>
      <c r="FY37" s="6" t="s">
        <v>37</v>
      </c>
      <c r="GB37" s="6">
        <v>2</v>
      </c>
      <c r="GC37" s="6" t="s">
        <v>313</v>
      </c>
      <c r="GG37" s="6" t="s">
        <v>313</v>
      </c>
      <c r="GH37" s="6" t="s">
        <v>315</v>
      </c>
      <c r="GJ37" s="8">
        <f t="shared" si="44"/>
        <v>4</v>
      </c>
      <c r="GK37" s="1">
        <f t="shared" si="45"/>
        <v>2.6182596846408411E-2</v>
      </c>
      <c r="GN37" s="6">
        <v>2.69</v>
      </c>
      <c r="GO37" s="6" t="s">
        <v>316</v>
      </c>
      <c r="GP37" s="6" t="s">
        <v>295</v>
      </c>
      <c r="GS37" s="6">
        <v>102.74</v>
      </c>
      <c r="GT37" s="6" t="s">
        <v>144</v>
      </c>
      <c r="GV37" s="8">
        <f t="shared" si="46"/>
        <v>2</v>
      </c>
      <c r="GW37" s="1">
        <f t="shared" si="47"/>
        <v>0.22903806827784351</v>
      </c>
      <c r="HA37" s="6">
        <v>54.208730000000003</v>
      </c>
      <c r="HB37" s="6" t="s">
        <v>295</v>
      </c>
      <c r="HE37" s="6">
        <v>236.68</v>
      </c>
      <c r="HF37" s="6" t="s">
        <v>144</v>
      </c>
      <c r="HH37" s="8">
        <f t="shared" si="48"/>
        <v>0</v>
      </c>
      <c r="HI37" s="6" t="s">
        <v>37</v>
      </c>
      <c r="HM37" s="6" t="s">
        <v>37</v>
      </c>
      <c r="HQ37" s="6">
        <v>28.33</v>
      </c>
      <c r="HR37" s="6" t="s">
        <v>144</v>
      </c>
      <c r="HT37" s="8">
        <f t="shared" si="50"/>
        <v>4</v>
      </c>
      <c r="HU37" s="10">
        <f t="shared" si="51"/>
        <v>4.6820276497695851E-2</v>
      </c>
      <c r="HY37" s="6">
        <v>2.54</v>
      </c>
      <c r="HZ37" s="6" t="s">
        <v>295</v>
      </c>
      <c r="IC37" s="6">
        <v>54.25</v>
      </c>
      <c r="ID37" s="6" t="s">
        <v>144</v>
      </c>
      <c r="IR37" s="2">
        <f t="shared" si="52"/>
        <v>0</v>
      </c>
      <c r="IS37" s="6" t="s">
        <v>37</v>
      </c>
      <c r="IW37" s="6" t="s">
        <v>37</v>
      </c>
      <c r="JA37" s="6">
        <v>34.15</v>
      </c>
      <c r="JB37" s="6" t="s">
        <v>144</v>
      </c>
      <c r="JD37" s="14">
        <f t="shared" si="54"/>
        <v>4</v>
      </c>
      <c r="JE37" s="1">
        <f t="shared" si="55"/>
        <v>9.3761467889908245E-2</v>
      </c>
      <c r="JI37" s="6">
        <v>15.33</v>
      </c>
      <c r="JJ37" s="6" t="s">
        <v>311</v>
      </c>
      <c r="JM37" s="6">
        <v>2.5</v>
      </c>
      <c r="JN37" s="6" t="s">
        <v>311</v>
      </c>
      <c r="JQ37" s="6">
        <v>74.03</v>
      </c>
      <c r="JR37" s="6" t="s">
        <v>311</v>
      </c>
      <c r="JU37" s="6">
        <v>56.77</v>
      </c>
      <c r="JV37" s="6" t="s">
        <v>311</v>
      </c>
      <c r="JX37" s="6">
        <v>1</v>
      </c>
      <c r="JY37" s="6" t="s">
        <v>305</v>
      </c>
      <c r="KB37" s="6">
        <v>5</v>
      </c>
      <c r="KC37" s="6" t="s">
        <v>306</v>
      </c>
      <c r="KD37" s="6" t="s">
        <v>311</v>
      </c>
      <c r="KF37" s="8">
        <f t="shared" si="56"/>
        <v>0</v>
      </c>
      <c r="KG37" s="6" t="s">
        <v>37</v>
      </c>
      <c r="KK37" s="6" t="s">
        <v>37</v>
      </c>
      <c r="KO37" s="15">
        <f t="shared" si="58"/>
        <v>34.15</v>
      </c>
      <c r="KP37" s="6" t="s">
        <v>144</v>
      </c>
    </row>
    <row r="38" spans="2:302" s="6" customFormat="1" ht="16.5" customHeight="1" x14ac:dyDescent="0.35">
      <c r="B38" s="6" t="s">
        <v>519</v>
      </c>
      <c r="C38" s="6" t="s">
        <v>520</v>
      </c>
      <c r="D38" s="6" t="s">
        <v>325</v>
      </c>
      <c r="E38" s="6" t="s">
        <v>172</v>
      </c>
      <c r="F38" s="114" t="s">
        <v>318</v>
      </c>
      <c r="G38" s="6" t="s">
        <v>163</v>
      </c>
      <c r="H38" s="16">
        <v>0.86250000000000004</v>
      </c>
      <c r="I38" s="16"/>
      <c r="L38" s="3">
        <v>4</v>
      </c>
      <c r="M38" s="6" t="s">
        <v>327</v>
      </c>
      <c r="P38" s="6" t="s">
        <v>118</v>
      </c>
      <c r="Q38" s="6" t="s">
        <v>525</v>
      </c>
      <c r="R38" s="6" t="s">
        <v>320</v>
      </c>
      <c r="T38" s="6" t="s">
        <v>129</v>
      </c>
      <c r="U38" s="16">
        <v>0.47010000000000002</v>
      </c>
      <c r="W38" s="6" t="s">
        <v>321</v>
      </c>
      <c r="X38" s="8">
        <f t="shared" si="20"/>
        <v>5</v>
      </c>
      <c r="Y38" s="1">
        <f t="shared" si="21"/>
        <v>-0.22478160347259785</v>
      </c>
      <c r="AC38" s="21">
        <v>21.02</v>
      </c>
      <c r="AD38" s="6" t="s">
        <v>339</v>
      </c>
      <c r="AG38" s="4">
        <v>37.08</v>
      </c>
      <c r="AH38" s="6" t="s">
        <v>339</v>
      </c>
      <c r="AK38" s="6">
        <v>37.700000000000003</v>
      </c>
      <c r="AL38" s="6" t="s">
        <v>339</v>
      </c>
      <c r="AN38" s="8">
        <f t="shared" si="22"/>
        <v>5</v>
      </c>
      <c r="AO38" s="1">
        <f t="shared" si="23"/>
        <v>-0.1733984282622415</v>
      </c>
      <c r="AS38" s="4">
        <v>23</v>
      </c>
      <c r="AT38" s="6" t="s">
        <v>339</v>
      </c>
      <c r="AW38" s="4">
        <v>28.27</v>
      </c>
      <c r="AX38" s="6" t="s">
        <v>339</v>
      </c>
      <c r="BA38" s="4">
        <v>33.67</v>
      </c>
      <c r="BB38" s="6" t="s">
        <v>339</v>
      </c>
      <c r="BD38" s="2">
        <f t="shared" si="24"/>
        <v>5</v>
      </c>
      <c r="BE38" s="8">
        <f t="shared" si="2"/>
        <v>21.02</v>
      </c>
      <c r="BI38" s="8">
        <f t="shared" si="25"/>
        <v>21.02</v>
      </c>
      <c r="BJ38" s="6" t="s">
        <v>322</v>
      </c>
      <c r="BL38" s="2">
        <f t="shared" si="26"/>
        <v>5</v>
      </c>
      <c r="BM38" s="8">
        <f t="shared" si="27"/>
        <v>23</v>
      </c>
      <c r="BQ38" s="8">
        <f t="shared" si="28"/>
        <v>23</v>
      </c>
      <c r="BR38" s="6" t="s">
        <v>339</v>
      </c>
      <c r="BT38" s="6">
        <f t="shared" si="29"/>
        <v>5</v>
      </c>
      <c r="BU38" s="3" t="s">
        <v>179</v>
      </c>
      <c r="BY38" s="3" t="s">
        <v>179</v>
      </c>
      <c r="BZ38" s="22" t="s">
        <v>529</v>
      </c>
      <c r="CB38" s="6">
        <v>0</v>
      </c>
      <c r="CC38" s="6" t="s">
        <v>37</v>
      </c>
      <c r="CF38" s="6" t="s">
        <v>37</v>
      </c>
      <c r="CJ38" s="8">
        <f t="shared" si="30"/>
        <v>2</v>
      </c>
      <c r="CK38" s="12">
        <f t="shared" si="31"/>
        <v>0</v>
      </c>
      <c r="CO38" s="6">
        <v>0</v>
      </c>
      <c r="CP38" s="6" t="s">
        <v>339</v>
      </c>
      <c r="CS38" s="8">
        <f t="shared" si="32"/>
        <v>21.02</v>
      </c>
      <c r="CT38" s="6" t="s">
        <v>339</v>
      </c>
      <c r="CV38" s="8">
        <f t="shared" si="33"/>
        <v>4</v>
      </c>
      <c r="CW38" s="8">
        <f t="shared" si="34"/>
        <v>254.17</v>
      </c>
      <c r="DA38" s="6">
        <v>254.17</v>
      </c>
      <c r="DB38" s="6" t="s">
        <v>339</v>
      </c>
      <c r="DD38" s="8">
        <f t="shared" si="35"/>
        <v>2</v>
      </c>
      <c r="DE38" s="15">
        <f t="shared" si="36"/>
        <v>11.050869565217392</v>
      </c>
      <c r="DI38" s="8">
        <f t="shared" si="37"/>
        <v>23</v>
      </c>
      <c r="DJ38" s="6" t="s">
        <v>339</v>
      </c>
      <c r="DM38" s="13">
        <f t="shared" si="38"/>
        <v>254.17</v>
      </c>
      <c r="DN38" s="6" t="s">
        <v>339</v>
      </c>
      <c r="DP38" s="6">
        <v>1</v>
      </c>
      <c r="DQ38" s="6" t="s">
        <v>531</v>
      </c>
      <c r="DR38" s="6" t="s">
        <v>339</v>
      </c>
      <c r="DU38" s="16">
        <v>0.7964</v>
      </c>
      <c r="DV38" s="6" t="s">
        <v>339</v>
      </c>
      <c r="DY38" s="16">
        <v>19.36</v>
      </c>
      <c r="DZ38" s="6" t="s">
        <v>339</v>
      </c>
      <c r="EC38" s="16">
        <v>0</v>
      </c>
      <c r="ED38" s="6" t="s">
        <v>339</v>
      </c>
      <c r="EG38" s="16">
        <v>0</v>
      </c>
      <c r="EH38" s="6" t="s">
        <v>339</v>
      </c>
      <c r="EJ38" s="2">
        <f t="shared" si="39"/>
        <v>3</v>
      </c>
      <c r="EK38" s="8">
        <f t="shared" si="40"/>
        <v>25</v>
      </c>
      <c r="EO38" s="4">
        <v>25</v>
      </c>
      <c r="EP38" s="6" t="s">
        <v>339</v>
      </c>
      <c r="ER38" s="8">
        <f t="shared" si="41"/>
        <v>4</v>
      </c>
      <c r="ES38" s="6">
        <f t="shared" si="59"/>
        <v>18</v>
      </c>
      <c r="EW38" s="6">
        <v>18</v>
      </c>
      <c r="EX38" s="6" t="s">
        <v>339</v>
      </c>
      <c r="EZ38" s="8">
        <f t="shared" si="42"/>
        <v>0</v>
      </c>
      <c r="FA38" s="8" t="str">
        <f t="shared" si="43"/>
        <v>数据缺失</v>
      </c>
      <c r="FE38" s="6" t="s">
        <v>37</v>
      </c>
      <c r="FH38" s="6">
        <v>1</v>
      </c>
      <c r="FI38" s="6" t="s">
        <v>532</v>
      </c>
      <c r="FJ38" s="6" t="s">
        <v>339</v>
      </c>
      <c r="FM38" s="3" t="s">
        <v>37</v>
      </c>
      <c r="FQ38" s="6" t="s">
        <v>37</v>
      </c>
      <c r="FU38" s="6" t="s">
        <v>37</v>
      </c>
      <c r="FY38" s="6" t="s">
        <v>37</v>
      </c>
      <c r="GB38" s="6" t="s">
        <v>37</v>
      </c>
      <c r="GC38" s="6" t="s">
        <v>37</v>
      </c>
      <c r="GG38" s="6" t="s">
        <v>37</v>
      </c>
      <c r="GJ38" s="8">
        <f t="shared" si="44"/>
        <v>0</v>
      </c>
      <c r="GK38" s="6" t="s">
        <v>37</v>
      </c>
      <c r="GN38" s="6" t="s">
        <v>37</v>
      </c>
      <c r="GO38" s="6" t="s">
        <v>37</v>
      </c>
      <c r="GS38" s="6">
        <v>35.130000000000003</v>
      </c>
      <c r="GT38" s="6" t="s">
        <v>144</v>
      </c>
      <c r="GV38" s="8">
        <f t="shared" si="46"/>
        <v>0</v>
      </c>
      <c r="GW38" s="6" t="s">
        <v>37</v>
      </c>
      <c r="HA38" s="6" t="s">
        <v>37</v>
      </c>
      <c r="HE38" s="6">
        <v>238.63</v>
      </c>
      <c r="HF38" s="6" t="s">
        <v>144</v>
      </c>
      <c r="HH38" s="6">
        <f t="shared" si="48"/>
        <v>2</v>
      </c>
      <c r="HI38" s="5">
        <f t="shared" si="49"/>
        <v>0.38896586856851756</v>
      </c>
      <c r="HM38" s="6">
        <v>7.6353999999999997</v>
      </c>
      <c r="HN38" s="6" t="s">
        <v>146</v>
      </c>
      <c r="HQ38" s="6">
        <v>19.63</v>
      </c>
      <c r="HR38" s="6" t="s">
        <v>144</v>
      </c>
      <c r="HT38" s="6">
        <f t="shared" si="50"/>
        <v>4</v>
      </c>
      <c r="HU38" s="16">
        <f t="shared" si="51"/>
        <v>0</v>
      </c>
      <c r="HY38" s="3">
        <v>0</v>
      </c>
      <c r="HZ38" s="6" t="s">
        <v>1250</v>
      </c>
      <c r="IC38" s="6">
        <v>31.77</v>
      </c>
      <c r="ID38" s="6" t="s">
        <v>144</v>
      </c>
      <c r="IR38" s="2">
        <f t="shared" si="52"/>
        <v>2</v>
      </c>
      <c r="IS38" s="1">
        <f t="shared" si="53"/>
        <v>2.9156735555890778</v>
      </c>
      <c r="IW38" s="6">
        <v>193.28</v>
      </c>
      <c r="IX38" s="6" t="s">
        <v>322</v>
      </c>
      <c r="JA38" s="6">
        <v>66.290000000000006</v>
      </c>
      <c r="JB38" s="6" t="s">
        <v>144</v>
      </c>
      <c r="JD38" s="14">
        <f t="shared" si="54"/>
        <v>3</v>
      </c>
      <c r="JE38" s="1">
        <f t="shared" si="55"/>
        <v>7.2566028213891659E-2</v>
      </c>
      <c r="JI38" s="4">
        <v>19.8</v>
      </c>
      <c r="JJ38" s="6" t="s">
        <v>339</v>
      </c>
      <c r="JM38" s="6">
        <v>4.33</v>
      </c>
      <c r="JN38" s="6" t="s">
        <v>322</v>
      </c>
      <c r="JQ38" s="6">
        <v>53.53</v>
      </c>
      <c r="JR38" s="6" t="s">
        <v>339</v>
      </c>
      <c r="JU38" s="6">
        <v>72.5</v>
      </c>
      <c r="JV38" s="6" t="s">
        <v>339</v>
      </c>
      <c r="JX38" s="6">
        <v>1</v>
      </c>
      <c r="JY38" s="14" t="s">
        <v>305</v>
      </c>
      <c r="KB38" s="6">
        <v>5</v>
      </c>
      <c r="KC38" s="14" t="s">
        <v>305</v>
      </c>
      <c r="KF38" s="6">
        <f t="shared" si="56"/>
        <v>2</v>
      </c>
      <c r="KG38" s="5">
        <f t="shared" si="57"/>
        <v>0.28435661487403829</v>
      </c>
      <c r="KK38" s="6">
        <v>18.850000000000001</v>
      </c>
      <c r="KL38" s="6" t="s">
        <v>232</v>
      </c>
      <c r="KO38" s="15">
        <f t="shared" si="58"/>
        <v>66.290000000000006</v>
      </c>
      <c r="KP38" s="6" t="s">
        <v>144</v>
      </c>
    </row>
    <row r="39" spans="2:302" s="6" customFormat="1" ht="16.5" customHeight="1" x14ac:dyDescent="0.35">
      <c r="B39" s="6" t="s">
        <v>323</v>
      </c>
      <c r="C39" s="6" t="s">
        <v>324</v>
      </c>
      <c r="D39" s="6" t="s">
        <v>325</v>
      </c>
      <c r="E39" s="6" t="s">
        <v>289</v>
      </c>
      <c r="F39" s="114" t="s">
        <v>318</v>
      </c>
      <c r="G39" s="6" t="s">
        <v>326</v>
      </c>
      <c r="H39" s="16">
        <v>0.88600000000000001</v>
      </c>
      <c r="I39" s="17"/>
      <c r="L39" s="3">
        <v>4</v>
      </c>
      <c r="M39" s="6" t="s">
        <v>327</v>
      </c>
      <c r="P39" s="6" t="s">
        <v>118</v>
      </c>
      <c r="Q39" s="6" t="s">
        <v>328</v>
      </c>
      <c r="R39" s="6" t="s">
        <v>320</v>
      </c>
      <c r="T39" s="6" t="s">
        <v>129</v>
      </c>
      <c r="U39" s="16">
        <v>0.47010000000000002</v>
      </c>
      <c r="W39" s="6" t="s">
        <v>321</v>
      </c>
      <c r="X39" s="8">
        <f t="shared" si="20"/>
        <v>1</v>
      </c>
      <c r="Y39" s="1">
        <f t="shared" si="21"/>
        <v>0.38009010067575516</v>
      </c>
      <c r="AC39" s="21">
        <v>37.08</v>
      </c>
      <c r="AD39" s="6" t="s">
        <v>320</v>
      </c>
      <c r="AG39" s="4">
        <v>37.700000000000003</v>
      </c>
      <c r="AH39" s="6" t="s">
        <v>329</v>
      </c>
      <c r="AK39" s="6">
        <v>21.22</v>
      </c>
      <c r="AL39" s="6" t="s">
        <v>320</v>
      </c>
      <c r="AN39" s="8">
        <f t="shared" si="22"/>
        <v>2</v>
      </c>
      <c r="AO39" s="1">
        <f t="shared" si="23"/>
        <v>0.2561238790746988</v>
      </c>
      <c r="AS39" s="4">
        <v>28.27</v>
      </c>
      <c r="AT39" s="6" t="s">
        <v>320</v>
      </c>
      <c r="AW39" s="4">
        <v>33.67</v>
      </c>
      <c r="AX39" s="6" t="s">
        <v>320</v>
      </c>
      <c r="BA39" s="4">
        <v>20.13</v>
      </c>
      <c r="BB39" s="6" t="s">
        <v>320</v>
      </c>
      <c r="BD39" s="2">
        <f t="shared" si="24"/>
        <v>5</v>
      </c>
      <c r="BE39" s="8">
        <f t="shared" si="2"/>
        <v>37.08</v>
      </c>
      <c r="BI39" s="8">
        <f t="shared" si="25"/>
        <v>37.08</v>
      </c>
      <c r="BJ39" s="6" t="s">
        <v>320</v>
      </c>
      <c r="BL39" s="2">
        <f t="shared" si="26"/>
        <v>5</v>
      </c>
      <c r="BM39" s="8">
        <f t="shared" si="27"/>
        <v>28.27</v>
      </c>
      <c r="BQ39" s="8">
        <f t="shared" si="28"/>
        <v>28.27</v>
      </c>
      <c r="BR39" s="6" t="s">
        <v>320</v>
      </c>
      <c r="BT39" s="8">
        <f t="shared" si="29"/>
        <v>5</v>
      </c>
      <c r="BU39" s="3" t="s">
        <v>179</v>
      </c>
      <c r="BY39" s="3" t="s">
        <v>179</v>
      </c>
      <c r="BZ39" s="22" t="s">
        <v>331</v>
      </c>
      <c r="CB39" s="6">
        <v>0</v>
      </c>
      <c r="CC39" s="6" t="s">
        <v>37</v>
      </c>
      <c r="CF39" s="6" t="s">
        <v>37</v>
      </c>
      <c r="CJ39" s="8">
        <f t="shared" si="30"/>
        <v>2</v>
      </c>
      <c r="CK39" s="12">
        <f t="shared" si="31"/>
        <v>0.52184466019417486</v>
      </c>
      <c r="CO39" s="6">
        <v>19.350000000000001</v>
      </c>
      <c r="CP39" s="6" t="s">
        <v>320</v>
      </c>
      <c r="CS39" s="8">
        <f t="shared" si="32"/>
        <v>37.08</v>
      </c>
      <c r="CT39" s="6" t="s">
        <v>320</v>
      </c>
      <c r="CV39" s="8">
        <f t="shared" si="33"/>
        <v>4</v>
      </c>
      <c r="CW39" s="8">
        <f t="shared" si="34"/>
        <v>241.02</v>
      </c>
      <c r="DA39" s="23">
        <v>241.02</v>
      </c>
      <c r="DB39" s="6" t="s">
        <v>320</v>
      </c>
      <c r="DD39" s="8">
        <f t="shared" si="35"/>
        <v>2</v>
      </c>
      <c r="DE39" s="15">
        <f t="shared" si="36"/>
        <v>8.5256455606650157</v>
      </c>
      <c r="DI39" s="8">
        <f t="shared" si="37"/>
        <v>28.27</v>
      </c>
      <c r="DJ39" s="6" t="s">
        <v>320</v>
      </c>
      <c r="DM39" s="13">
        <f t="shared" si="38"/>
        <v>241.02</v>
      </c>
      <c r="DN39" s="6" t="s">
        <v>320</v>
      </c>
      <c r="DP39" s="6">
        <v>2</v>
      </c>
      <c r="DQ39" s="6" t="s">
        <v>332</v>
      </c>
      <c r="DU39" s="117" t="s">
        <v>37</v>
      </c>
      <c r="DY39" s="16" t="s">
        <v>37</v>
      </c>
      <c r="EC39" s="16" t="s">
        <v>37</v>
      </c>
      <c r="EG39" s="16" t="s">
        <v>37</v>
      </c>
      <c r="EJ39" s="2">
        <f t="shared" si="39"/>
        <v>4</v>
      </c>
      <c r="EK39" s="8">
        <f t="shared" si="40"/>
        <v>11</v>
      </c>
      <c r="EO39" s="6">
        <v>11</v>
      </c>
      <c r="EP39" s="6" t="s">
        <v>322</v>
      </c>
      <c r="ER39" s="8">
        <f t="shared" si="41"/>
        <v>3</v>
      </c>
      <c r="ES39" s="6">
        <f t="shared" si="59"/>
        <v>39</v>
      </c>
      <c r="EW39" s="6">
        <v>39</v>
      </c>
      <c r="EX39" s="6" t="s">
        <v>322</v>
      </c>
      <c r="EZ39" s="8">
        <f t="shared" si="42"/>
        <v>0</v>
      </c>
      <c r="FA39" s="8" t="str">
        <f t="shared" si="43"/>
        <v>数据缺失</v>
      </c>
      <c r="FE39" s="3" t="s">
        <v>37</v>
      </c>
      <c r="FH39" s="6">
        <v>1</v>
      </c>
      <c r="FI39" s="6" t="s">
        <v>333</v>
      </c>
      <c r="FM39" s="3" t="s">
        <v>37</v>
      </c>
      <c r="FQ39" s="6" t="s">
        <v>37</v>
      </c>
      <c r="FU39" s="6" t="s">
        <v>37</v>
      </c>
      <c r="FY39" s="6" t="s">
        <v>297</v>
      </c>
      <c r="GB39" s="6">
        <v>3</v>
      </c>
      <c r="GC39" s="6" t="s">
        <v>334</v>
      </c>
      <c r="GG39" s="6" t="s">
        <v>334</v>
      </c>
      <c r="GH39" s="6" t="s">
        <v>320</v>
      </c>
      <c r="GJ39" s="8">
        <f t="shared" si="44"/>
        <v>4</v>
      </c>
      <c r="GK39" s="1">
        <f t="shared" si="45"/>
        <v>2.9702970297029703E-3</v>
      </c>
      <c r="GN39" s="6">
        <v>0.06</v>
      </c>
      <c r="GO39" s="6" t="s">
        <v>335</v>
      </c>
      <c r="GP39" s="6" t="s">
        <v>320</v>
      </c>
      <c r="GS39" s="3">
        <v>20.2</v>
      </c>
      <c r="GT39" s="6" t="s">
        <v>336</v>
      </c>
      <c r="GV39" s="8">
        <f t="shared" si="46"/>
        <v>2</v>
      </c>
      <c r="GW39" s="1">
        <f t="shared" si="47"/>
        <v>0.22538614267978227</v>
      </c>
      <c r="HA39" s="24">
        <v>47.200366000000002</v>
      </c>
      <c r="HB39" s="6" t="s">
        <v>320</v>
      </c>
      <c r="HE39" s="6">
        <v>209.42</v>
      </c>
      <c r="HF39" s="6" t="s">
        <v>336</v>
      </c>
      <c r="HH39" s="8">
        <f t="shared" si="48"/>
        <v>2</v>
      </c>
      <c r="HI39" s="1">
        <f t="shared" si="49"/>
        <v>0.24095357142857143</v>
      </c>
      <c r="HM39" s="24">
        <v>2.69868</v>
      </c>
      <c r="HN39" s="6" t="s">
        <v>320</v>
      </c>
      <c r="HQ39" s="4">
        <v>11.2</v>
      </c>
      <c r="HR39" s="6" t="s">
        <v>336</v>
      </c>
      <c r="HT39" s="8">
        <f t="shared" si="50"/>
        <v>2</v>
      </c>
      <c r="HU39" s="10">
        <f t="shared" si="51"/>
        <v>0.10070493454179255</v>
      </c>
      <c r="HY39" s="6">
        <v>5</v>
      </c>
      <c r="HZ39" s="6" t="s">
        <v>320</v>
      </c>
      <c r="IC39" s="6">
        <v>49.65</v>
      </c>
      <c r="ID39" s="6" t="s">
        <v>336</v>
      </c>
      <c r="IR39" s="2">
        <f t="shared" si="52"/>
        <v>0</v>
      </c>
      <c r="IS39" s="6" t="s">
        <v>37</v>
      </c>
      <c r="IW39" s="6" t="s">
        <v>37</v>
      </c>
      <c r="JA39" s="6">
        <v>50.37</v>
      </c>
      <c r="JB39" s="6" t="s">
        <v>336</v>
      </c>
      <c r="JD39" s="14">
        <f t="shared" si="54"/>
        <v>4</v>
      </c>
      <c r="JE39" s="1">
        <f t="shared" si="55"/>
        <v>8.3590479290263198E-2</v>
      </c>
      <c r="JI39" s="4">
        <v>14.96</v>
      </c>
      <c r="JJ39" s="6" t="s">
        <v>339</v>
      </c>
      <c r="JM39" s="6">
        <v>2.65</v>
      </c>
      <c r="JN39" s="6" t="s">
        <v>329</v>
      </c>
      <c r="JQ39" s="6">
        <v>72.5</v>
      </c>
      <c r="JR39" s="6" t="s">
        <v>339</v>
      </c>
      <c r="JU39" s="6">
        <v>62.57</v>
      </c>
      <c r="JV39" s="6" t="s">
        <v>329</v>
      </c>
      <c r="JX39" s="6">
        <v>3</v>
      </c>
      <c r="JY39" s="6" t="s">
        <v>340</v>
      </c>
      <c r="KB39" s="6">
        <v>41</v>
      </c>
      <c r="KC39" s="6" t="s">
        <v>340</v>
      </c>
      <c r="KD39" s="6" t="s">
        <v>322</v>
      </c>
      <c r="KF39" s="6">
        <f t="shared" si="56"/>
        <v>1</v>
      </c>
      <c r="KG39" s="5">
        <f t="shared" si="57"/>
        <v>0.13559658526900933</v>
      </c>
      <c r="KK39" s="115">
        <v>6.83</v>
      </c>
      <c r="KL39" s="6" t="s">
        <v>1248</v>
      </c>
      <c r="KM39" s="36" t="s">
        <v>879</v>
      </c>
      <c r="KO39" s="15">
        <f t="shared" si="58"/>
        <v>50.37</v>
      </c>
      <c r="KP39" s="6" t="s">
        <v>336</v>
      </c>
    </row>
    <row r="40" spans="2:302" s="6" customFormat="1" ht="16.5" hidden="1" customHeight="1" x14ac:dyDescent="0.35">
      <c r="B40" s="6" t="s">
        <v>342</v>
      </c>
      <c r="C40" s="6" t="s">
        <v>324</v>
      </c>
      <c r="D40" s="6" t="s">
        <v>325</v>
      </c>
      <c r="E40" s="6" t="s">
        <v>172</v>
      </c>
      <c r="F40" s="6" t="s">
        <v>343</v>
      </c>
      <c r="G40" s="6" t="s">
        <v>174</v>
      </c>
      <c r="H40" s="16">
        <v>1.21E-2</v>
      </c>
      <c r="I40" s="6" t="s">
        <v>344</v>
      </c>
      <c r="J40" s="6" t="s">
        <v>517</v>
      </c>
      <c r="L40" s="3"/>
      <c r="X40" s="8"/>
      <c r="Y40" s="1"/>
      <c r="AN40" s="8"/>
      <c r="AO40" s="1"/>
      <c r="BD40" s="2"/>
      <c r="BE40" s="8">
        <f t="shared" si="2"/>
        <v>0</v>
      </c>
      <c r="BI40" s="8"/>
      <c r="BL40" s="2"/>
      <c r="BM40" s="8"/>
      <c r="BQ40" s="8"/>
      <c r="BT40" s="8"/>
      <c r="CJ40" s="8"/>
      <c r="CK40" s="12"/>
      <c r="CS40" s="8"/>
      <c r="CV40" s="8"/>
      <c r="CW40" s="8"/>
      <c r="DD40" s="8">
        <f t="shared" si="35"/>
        <v>3</v>
      </c>
      <c r="DE40" s="15"/>
      <c r="DI40" s="8"/>
      <c r="DM40" s="13"/>
      <c r="DU40" s="16"/>
      <c r="DY40" s="16"/>
      <c r="EC40" s="16"/>
      <c r="EG40" s="16"/>
      <c r="EJ40" s="2"/>
      <c r="EK40" s="8"/>
      <c r="ER40" s="8"/>
      <c r="EZ40" s="8"/>
      <c r="FA40" s="8"/>
      <c r="GJ40" s="8"/>
      <c r="GK40" s="1"/>
      <c r="GV40" s="8"/>
      <c r="GW40" s="1"/>
      <c r="HH40" s="8"/>
      <c r="HI40" s="1"/>
      <c r="HT40" s="8"/>
      <c r="HU40" s="10"/>
      <c r="IR40" s="2"/>
      <c r="IS40" s="1"/>
      <c r="JD40" s="14"/>
      <c r="JE40" s="1" t="e">
        <f t="shared" si="55"/>
        <v>#DIV/0!</v>
      </c>
      <c r="KF40" s="8"/>
      <c r="KG40" s="1"/>
      <c r="KO40" s="15"/>
    </row>
    <row r="41" spans="2:302" s="6" customFormat="1" ht="16.5" customHeight="1" x14ac:dyDescent="0.35">
      <c r="B41" s="6" t="s">
        <v>345</v>
      </c>
      <c r="C41" s="6" t="s">
        <v>324</v>
      </c>
      <c r="D41" s="6" t="s">
        <v>325</v>
      </c>
      <c r="E41" s="6" t="s">
        <v>172</v>
      </c>
      <c r="F41" s="6" t="s">
        <v>347</v>
      </c>
      <c r="G41" s="6" t="s">
        <v>249</v>
      </c>
      <c r="H41" s="16">
        <v>0.96530000000000005</v>
      </c>
      <c r="L41" s="3">
        <v>4</v>
      </c>
      <c r="M41" s="6" t="s">
        <v>348</v>
      </c>
      <c r="P41" s="25" t="s">
        <v>112</v>
      </c>
      <c r="Q41" s="6" t="s">
        <v>349</v>
      </c>
      <c r="R41" s="6" t="s">
        <v>350</v>
      </c>
      <c r="T41" s="6" t="s">
        <v>113</v>
      </c>
      <c r="U41" s="18">
        <v>0.46</v>
      </c>
      <c r="X41" s="8">
        <f t="shared" si="20"/>
        <v>3</v>
      </c>
      <c r="Y41" s="1">
        <f t="shared" si="21"/>
        <v>5.4020151975755493E-2</v>
      </c>
      <c r="AC41" s="6">
        <v>17.100000000000001</v>
      </c>
      <c r="AD41" s="6" t="s">
        <v>352</v>
      </c>
      <c r="AG41" s="6">
        <v>12.83</v>
      </c>
      <c r="AH41" s="6" t="s">
        <v>352</v>
      </c>
      <c r="AK41" s="6">
        <v>16.55</v>
      </c>
      <c r="AL41" s="6" t="s">
        <v>354</v>
      </c>
      <c r="AN41" s="8">
        <f t="shared" si="22"/>
        <v>2</v>
      </c>
      <c r="AO41" s="1">
        <f t="shared" si="23"/>
        <v>0.17091237297056994</v>
      </c>
      <c r="AS41" s="6">
        <v>22.08</v>
      </c>
      <c r="AT41" s="6" t="s">
        <v>352</v>
      </c>
      <c r="AW41" s="6">
        <v>17.13</v>
      </c>
      <c r="AX41" s="6" t="s">
        <v>352</v>
      </c>
      <c r="BA41" s="6">
        <v>16.27</v>
      </c>
      <c r="BB41" s="6" t="s">
        <v>354</v>
      </c>
      <c r="BD41" s="2">
        <f t="shared" si="24"/>
        <v>5</v>
      </c>
      <c r="BE41" s="8">
        <f t="shared" si="2"/>
        <v>17.100000000000001</v>
      </c>
      <c r="BI41" s="8">
        <f t="shared" si="25"/>
        <v>17.100000000000001</v>
      </c>
      <c r="BJ41" s="6" t="s">
        <v>356</v>
      </c>
      <c r="BL41" s="2">
        <f t="shared" si="26"/>
        <v>5</v>
      </c>
      <c r="BM41" s="8">
        <f t="shared" si="27"/>
        <v>22.08</v>
      </c>
      <c r="BQ41" s="8">
        <f t="shared" si="28"/>
        <v>22.08</v>
      </c>
      <c r="BR41" s="6" t="s">
        <v>357</v>
      </c>
      <c r="BT41" s="8">
        <f t="shared" si="29"/>
        <v>5</v>
      </c>
      <c r="BU41" s="6" t="s">
        <v>179</v>
      </c>
      <c r="BY41" s="3" t="s">
        <v>179</v>
      </c>
      <c r="BZ41" s="6" t="s">
        <v>358</v>
      </c>
      <c r="CB41" s="6">
        <v>1</v>
      </c>
      <c r="CC41" s="6" t="str">
        <f>CF41</f>
        <v>一级</v>
      </c>
      <c r="CF41" s="6" t="s">
        <v>132</v>
      </c>
      <c r="CG41" s="6" t="s">
        <v>359</v>
      </c>
      <c r="CH41" s="6" t="s">
        <v>360</v>
      </c>
      <c r="CJ41" s="8">
        <f t="shared" si="30"/>
        <v>2</v>
      </c>
      <c r="CK41" s="12">
        <f t="shared" si="31"/>
        <v>0</v>
      </c>
      <c r="CO41" s="6">
        <v>0</v>
      </c>
      <c r="CP41" s="6" t="s">
        <v>356</v>
      </c>
      <c r="CS41" s="8">
        <f t="shared" si="32"/>
        <v>17.100000000000001</v>
      </c>
      <c r="CT41" s="6" t="s">
        <v>356</v>
      </c>
      <c r="CV41" s="8">
        <f t="shared" si="33"/>
        <v>0</v>
      </c>
      <c r="CW41" s="8" t="str">
        <f t="shared" si="34"/>
        <v>数据缺失</v>
      </c>
      <c r="DA41" s="6" t="s">
        <v>37</v>
      </c>
      <c r="DD41" s="8">
        <f t="shared" si="35"/>
        <v>0</v>
      </c>
      <c r="DE41" s="15" t="s">
        <v>37</v>
      </c>
      <c r="DI41" s="8">
        <f>AS41</f>
        <v>22.08</v>
      </c>
      <c r="DJ41" s="6" t="s">
        <v>357</v>
      </c>
      <c r="DM41" s="13" t="str">
        <f>DA41</f>
        <v>数据缺失</v>
      </c>
      <c r="DP41" s="6">
        <v>2</v>
      </c>
      <c r="DQ41" s="6" t="s">
        <v>362</v>
      </c>
      <c r="DU41" s="16" t="s">
        <v>37</v>
      </c>
      <c r="DY41" s="16" t="s">
        <v>37</v>
      </c>
      <c r="EC41" s="16" t="s">
        <v>37</v>
      </c>
      <c r="EG41" s="16" t="s">
        <v>37</v>
      </c>
      <c r="EJ41" s="2">
        <f t="shared" si="39"/>
        <v>4</v>
      </c>
      <c r="EK41" s="8">
        <f t="shared" si="40"/>
        <v>13.44</v>
      </c>
      <c r="EO41" s="4">
        <v>13.44</v>
      </c>
      <c r="EP41" s="6" t="s">
        <v>357</v>
      </c>
      <c r="ER41" s="8">
        <f t="shared" si="41"/>
        <v>4</v>
      </c>
      <c r="ES41" s="6">
        <f t="shared" si="59"/>
        <v>19.93</v>
      </c>
      <c r="EW41" s="6">
        <v>19.93</v>
      </c>
      <c r="EX41" s="6" t="s">
        <v>356</v>
      </c>
      <c r="EZ41" s="8">
        <f t="shared" si="42"/>
        <v>0</v>
      </c>
      <c r="FA41" s="8" t="str">
        <f t="shared" si="43"/>
        <v>数据缺失</v>
      </c>
      <c r="FE41" s="6" t="s">
        <v>37</v>
      </c>
      <c r="FH41" s="6">
        <v>2</v>
      </c>
      <c r="FI41" s="6" t="s">
        <v>362</v>
      </c>
      <c r="FM41" s="6" t="s">
        <v>37</v>
      </c>
      <c r="FQ41" s="6" t="s">
        <v>37</v>
      </c>
      <c r="FU41" s="6" t="s">
        <v>37</v>
      </c>
      <c r="FY41" s="6" t="s">
        <v>37</v>
      </c>
      <c r="GB41" s="6">
        <v>2</v>
      </c>
      <c r="GC41" s="6" t="s">
        <v>363</v>
      </c>
      <c r="GG41" s="6" t="s">
        <v>364</v>
      </c>
      <c r="GH41" s="6" t="s">
        <v>356</v>
      </c>
      <c r="GJ41" s="8">
        <f t="shared" si="44"/>
        <v>4</v>
      </c>
      <c r="GK41" s="1">
        <f t="shared" si="45"/>
        <v>2.9702970297029705E-2</v>
      </c>
      <c r="GN41" s="6">
        <v>0.36</v>
      </c>
      <c r="GO41" s="6" t="s">
        <v>365</v>
      </c>
      <c r="GP41" s="6" t="s">
        <v>356</v>
      </c>
      <c r="GS41" s="6">
        <v>12.12</v>
      </c>
      <c r="GT41" s="6" t="s">
        <v>144</v>
      </c>
      <c r="GV41" s="8">
        <f t="shared" si="46"/>
        <v>0</v>
      </c>
      <c r="GW41" s="6" t="s">
        <v>37</v>
      </c>
      <c r="HA41" s="6" t="s">
        <v>37</v>
      </c>
      <c r="HE41" s="6">
        <v>90.17</v>
      </c>
      <c r="HF41" s="6" t="s">
        <v>144</v>
      </c>
      <c r="HH41" s="8">
        <f t="shared" si="48"/>
        <v>1</v>
      </c>
      <c r="HI41" s="1">
        <f t="shared" si="49"/>
        <v>0</v>
      </c>
      <c r="HM41" s="6">
        <v>0</v>
      </c>
      <c r="HN41" s="6" t="s">
        <v>366</v>
      </c>
      <c r="HQ41" s="6">
        <v>15.16</v>
      </c>
      <c r="HR41" s="6" t="s">
        <v>144</v>
      </c>
      <c r="HT41" s="8">
        <f t="shared" si="50"/>
        <v>4</v>
      </c>
      <c r="HU41" s="10">
        <f t="shared" si="51"/>
        <v>0</v>
      </c>
      <c r="HY41" s="6">
        <v>0</v>
      </c>
      <c r="HZ41" s="6" t="s">
        <v>366</v>
      </c>
      <c r="IC41" s="6">
        <v>20.87</v>
      </c>
      <c r="ID41" s="6" t="s">
        <v>144</v>
      </c>
      <c r="IR41" s="2">
        <f t="shared" si="52"/>
        <v>0</v>
      </c>
      <c r="IS41" s="6" t="s">
        <v>37</v>
      </c>
      <c r="IW41" s="3" t="s">
        <v>37</v>
      </c>
      <c r="JA41" s="6">
        <v>16.309999999999999</v>
      </c>
      <c r="JB41" s="6" t="s">
        <v>144</v>
      </c>
      <c r="JD41" s="14">
        <f t="shared" si="54"/>
        <v>1</v>
      </c>
      <c r="JE41" s="1">
        <f t="shared" si="55"/>
        <v>3.6395733388356805E-2</v>
      </c>
      <c r="JI41" s="4">
        <v>1.27</v>
      </c>
      <c r="JJ41" s="6" t="s">
        <v>356</v>
      </c>
      <c r="JM41" s="6">
        <v>0.51</v>
      </c>
      <c r="JN41" s="6" t="s">
        <v>356</v>
      </c>
      <c r="JQ41" s="6">
        <v>73.86</v>
      </c>
      <c r="JR41" s="6" t="s">
        <v>366</v>
      </c>
      <c r="JU41" s="6">
        <v>62.98</v>
      </c>
      <c r="JV41" s="6" t="s">
        <v>356</v>
      </c>
      <c r="JX41" s="6">
        <v>2</v>
      </c>
      <c r="JY41" s="6" t="s">
        <v>367</v>
      </c>
      <c r="KB41" s="6">
        <v>8</v>
      </c>
      <c r="KC41" s="6" t="s">
        <v>367</v>
      </c>
      <c r="KD41" s="6" t="s">
        <v>356</v>
      </c>
      <c r="KF41" s="8">
        <f t="shared" si="56"/>
        <v>1</v>
      </c>
      <c r="KG41" s="1">
        <f t="shared" si="57"/>
        <v>0</v>
      </c>
      <c r="KK41" s="6">
        <v>0</v>
      </c>
      <c r="KL41" s="6" t="s">
        <v>366</v>
      </c>
      <c r="KO41" s="15">
        <f>JA41</f>
        <v>16.309999999999999</v>
      </c>
      <c r="KP41" s="6" t="s">
        <v>336</v>
      </c>
    </row>
    <row r="42" spans="2:302" s="6" customFormat="1" ht="16.5" customHeight="1" x14ac:dyDescent="0.35">
      <c r="B42" s="6" t="s">
        <v>368</v>
      </c>
      <c r="C42" s="6" t="s">
        <v>324</v>
      </c>
      <c r="D42" s="6" t="s">
        <v>325</v>
      </c>
      <c r="E42" s="6" t="s">
        <v>172</v>
      </c>
      <c r="F42" s="114" t="s">
        <v>370</v>
      </c>
      <c r="G42" s="6" t="s">
        <v>371</v>
      </c>
      <c r="H42" s="16">
        <v>0.99609999999999999</v>
      </c>
      <c r="I42" s="16"/>
      <c r="L42" s="3">
        <v>4</v>
      </c>
      <c r="M42" s="6" t="s">
        <v>372</v>
      </c>
      <c r="P42" s="6" t="s">
        <v>117</v>
      </c>
      <c r="Q42" s="6" t="s">
        <v>373</v>
      </c>
      <c r="R42" s="6" t="s">
        <v>374</v>
      </c>
      <c r="T42" s="6" t="s">
        <v>1235</v>
      </c>
      <c r="U42" s="5">
        <v>0.19980000000000001</v>
      </c>
      <c r="X42" s="8">
        <f t="shared" si="20"/>
        <v>2</v>
      </c>
      <c r="Y42" s="1">
        <f t="shared" si="21"/>
        <v>0.2365717997342133</v>
      </c>
      <c r="AC42" s="6">
        <v>23.43</v>
      </c>
      <c r="AD42" s="6" t="s">
        <v>375</v>
      </c>
      <c r="AG42" s="6">
        <v>34.700000000000003</v>
      </c>
      <c r="AH42" s="6" t="s">
        <v>375</v>
      </c>
      <c r="AK42" s="6">
        <v>19.3</v>
      </c>
      <c r="AL42" s="6" t="s">
        <v>376</v>
      </c>
      <c r="AN42" s="8">
        <f t="shared" si="22"/>
        <v>2</v>
      </c>
      <c r="AO42" s="1">
        <f t="shared" si="23"/>
        <v>0.292607415534477</v>
      </c>
      <c r="AS42" s="6">
        <v>13.09</v>
      </c>
      <c r="AT42" s="6" t="s">
        <v>374</v>
      </c>
      <c r="AW42" s="6">
        <v>16.57</v>
      </c>
      <c r="AX42" s="6" t="s">
        <v>374</v>
      </c>
      <c r="BA42" s="6">
        <v>9.23</v>
      </c>
      <c r="BB42" s="6" t="s">
        <v>378</v>
      </c>
      <c r="BD42" s="2">
        <f t="shared" si="24"/>
        <v>5</v>
      </c>
      <c r="BE42" s="8">
        <f t="shared" si="2"/>
        <v>23.43</v>
      </c>
      <c r="BI42" s="8">
        <f t="shared" si="25"/>
        <v>23.43</v>
      </c>
      <c r="BJ42" s="6" t="s">
        <v>375</v>
      </c>
      <c r="BL42" s="2">
        <f t="shared" si="26"/>
        <v>5</v>
      </c>
      <c r="BM42" s="8">
        <f t="shared" si="27"/>
        <v>13.09</v>
      </c>
      <c r="BQ42" s="8">
        <f t="shared" si="28"/>
        <v>13.09</v>
      </c>
      <c r="BR42" s="6" t="s">
        <v>374</v>
      </c>
      <c r="BT42" s="8">
        <f t="shared" si="29"/>
        <v>5</v>
      </c>
      <c r="BU42" s="6" t="s">
        <v>179</v>
      </c>
      <c r="BY42" s="3" t="s">
        <v>179</v>
      </c>
      <c r="BZ42" s="6" t="s">
        <v>358</v>
      </c>
      <c r="CB42" s="6">
        <v>0</v>
      </c>
      <c r="CC42" s="6" t="s">
        <v>37</v>
      </c>
      <c r="CF42" s="6" t="s">
        <v>37</v>
      </c>
      <c r="CH42" s="22"/>
      <c r="CJ42" s="8">
        <f t="shared" si="30"/>
        <v>0</v>
      </c>
      <c r="CK42" s="6" t="s">
        <v>37</v>
      </c>
      <c r="CO42" s="23" t="s">
        <v>37</v>
      </c>
      <c r="CS42" s="8">
        <f t="shared" si="32"/>
        <v>23.43</v>
      </c>
      <c r="CT42" s="6" t="s">
        <v>374</v>
      </c>
      <c r="CV42" s="8">
        <f t="shared" si="33"/>
        <v>5</v>
      </c>
      <c r="CW42" s="8">
        <f t="shared" si="34"/>
        <v>16.52</v>
      </c>
      <c r="DA42" s="6">
        <v>16.52</v>
      </c>
      <c r="DB42" s="6" t="s">
        <v>381</v>
      </c>
      <c r="DD42" s="8">
        <f t="shared" si="35"/>
        <v>3</v>
      </c>
      <c r="DE42" s="15">
        <f t="shared" si="36"/>
        <v>1.2620320855614973</v>
      </c>
      <c r="DI42" s="8">
        <f>AS42</f>
        <v>13.09</v>
      </c>
      <c r="DJ42" s="6" t="s">
        <v>374</v>
      </c>
      <c r="DM42" s="13">
        <f>DA42</f>
        <v>16.52</v>
      </c>
      <c r="DN42" s="6" t="s">
        <v>381</v>
      </c>
      <c r="DP42" s="6">
        <v>6</v>
      </c>
      <c r="DQ42" s="6" t="s">
        <v>382</v>
      </c>
      <c r="DR42" s="6" t="s">
        <v>375</v>
      </c>
      <c r="DU42" s="16" t="s">
        <v>37</v>
      </c>
      <c r="DY42" s="16" t="s">
        <v>37</v>
      </c>
      <c r="EC42" s="16" t="s">
        <v>37</v>
      </c>
      <c r="EG42" s="16" t="s">
        <v>37</v>
      </c>
      <c r="EJ42" s="2">
        <f t="shared" si="39"/>
        <v>5</v>
      </c>
      <c r="EK42" s="8">
        <f t="shared" si="40"/>
        <v>3.03</v>
      </c>
      <c r="EO42" s="6">
        <v>3.03</v>
      </c>
      <c r="EP42" s="6" t="s">
        <v>374</v>
      </c>
      <c r="ER42" s="8">
        <f t="shared" si="41"/>
        <v>3</v>
      </c>
      <c r="ES42" s="6">
        <f t="shared" si="59"/>
        <v>27.38</v>
      </c>
      <c r="EW42" s="6">
        <v>27.38</v>
      </c>
      <c r="EX42" s="6" t="s">
        <v>374</v>
      </c>
      <c r="EZ42" s="8">
        <f t="shared" si="42"/>
        <v>3</v>
      </c>
      <c r="FA42" s="8">
        <f t="shared" si="43"/>
        <v>80</v>
      </c>
      <c r="FE42" s="6">
        <v>80</v>
      </c>
      <c r="FF42" s="6" t="s">
        <v>366</v>
      </c>
      <c r="FG42" s="6" t="s">
        <v>383</v>
      </c>
      <c r="FH42" s="6">
        <v>2</v>
      </c>
      <c r="FI42" s="6" t="s">
        <v>384</v>
      </c>
      <c r="FM42" s="16" t="s">
        <v>37</v>
      </c>
      <c r="FQ42" s="16" t="s">
        <v>37</v>
      </c>
      <c r="FU42" s="16" t="s">
        <v>37</v>
      </c>
      <c r="FY42" s="16" t="s">
        <v>37</v>
      </c>
      <c r="GB42" s="6">
        <v>2</v>
      </c>
      <c r="GC42" s="6" t="s">
        <v>385</v>
      </c>
      <c r="GG42" s="6" t="s">
        <v>385</v>
      </c>
      <c r="GH42" s="6" t="s">
        <v>375</v>
      </c>
      <c r="GJ42" s="8">
        <f t="shared" si="44"/>
        <v>4</v>
      </c>
      <c r="GK42" s="1">
        <f t="shared" si="45"/>
        <v>2.8935185185185182E-2</v>
      </c>
      <c r="GN42" s="6">
        <v>0.75</v>
      </c>
      <c r="GO42" s="6" t="s">
        <v>386</v>
      </c>
      <c r="GP42" s="6" t="s">
        <v>366</v>
      </c>
      <c r="GS42" s="6">
        <v>25.92</v>
      </c>
      <c r="GT42" s="6" t="s">
        <v>144</v>
      </c>
      <c r="GV42" s="8">
        <f t="shared" si="46"/>
        <v>0</v>
      </c>
      <c r="GW42" s="6" t="s">
        <v>37</v>
      </c>
      <c r="HA42" s="24" t="s">
        <v>37</v>
      </c>
      <c r="HE42" s="6">
        <v>117.48</v>
      </c>
      <c r="HF42" s="6" t="s">
        <v>144</v>
      </c>
      <c r="HH42" s="8">
        <f t="shared" si="48"/>
        <v>2</v>
      </c>
      <c r="HI42" s="1">
        <f t="shared" si="49"/>
        <v>0.24422277821939586</v>
      </c>
      <c r="HM42" s="24">
        <v>3.07232255</v>
      </c>
      <c r="HN42" s="6" t="s">
        <v>366</v>
      </c>
      <c r="HQ42" s="6">
        <v>12.58</v>
      </c>
      <c r="HR42" s="6" t="s">
        <v>144</v>
      </c>
      <c r="HT42" s="8">
        <f t="shared" si="50"/>
        <v>4</v>
      </c>
      <c r="HU42" s="10">
        <f t="shared" si="51"/>
        <v>0</v>
      </c>
      <c r="HY42" s="6">
        <v>0</v>
      </c>
      <c r="HZ42" s="6" t="s">
        <v>366</v>
      </c>
      <c r="IC42" s="6">
        <v>23.43</v>
      </c>
      <c r="ID42" s="6" t="s">
        <v>144</v>
      </c>
      <c r="IR42" s="2">
        <f t="shared" si="52"/>
        <v>0</v>
      </c>
      <c r="IS42" s="6" t="s">
        <v>37</v>
      </c>
      <c r="IW42" s="6" t="s">
        <v>37</v>
      </c>
      <c r="JA42" s="6">
        <v>45.14</v>
      </c>
      <c r="JB42" s="6" t="s">
        <v>144</v>
      </c>
      <c r="JD42" s="14">
        <f t="shared" si="54"/>
        <v>2</v>
      </c>
      <c r="JE42" s="1">
        <f t="shared" si="55"/>
        <v>5.9064807219031984E-2</v>
      </c>
      <c r="JI42" s="4">
        <v>3.78</v>
      </c>
      <c r="JJ42" s="6" t="s">
        <v>374</v>
      </c>
      <c r="JM42" s="6">
        <v>1.06</v>
      </c>
      <c r="JN42" s="6" t="s">
        <v>374</v>
      </c>
      <c r="JQ42" s="6">
        <v>44.41</v>
      </c>
      <c r="JR42" s="6" t="s">
        <v>374</v>
      </c>
      <c r="JU42" s="6">
        <v>76.34</v>
      </c>
      <c r="JV42" s="6" t="s">
        <v>374</v>
      </c>
      <c r="JX42" s="6">
        <v>2</v>
      </c>
      <c r="JY42" s="6" t="s">
        <v>388</v>
      </c>
      <c r="KB42" s="6">
        <v>8</v>
      </c>
      <c r="KC42" s="6" t="s">
        <v>226</v>
      </c>
      <c r="KD42" s="6" t="s">
        <v>375</v>
      </c>
      <c r="KF42" s="8">
        <f t="shared" si="56"/>
        <v>1</v>
      </c>
      <c r="KG42" s="1">
        <f t="shared" si="57"/>
        <v>0.16149756313690738</v>
      </c>
      <c r="KK42" s="6">
        <v>7.29</v>
      </c>
      <c r="KL42" s="6" t="s">
        <v>375</v>
      </c>
      <c r="KO42" s="15">
        <f>JA42</f>
        <v>45.14</v>
      </c>
      <c r="KP42" s="6" t="s">
        <v>144</v>
      </c>
    </row>
    <row r="43" spans="2:302" s="6" customFormat="1" ht="16.5" customHeight="1" x14ac:dyDescent="0.35">
      <c r="B43" s="6" t="s">
        <v>389</v>
      </c>
      <c r="C43" s="6" t="s">
        <v>324</v>
      </c>
      <c r="D43" s="6" t="s">
        <v>325</v>
      </c>
      <c r="E43" s="6" t="s">
        <v>197</v>
      </c>
      <c r="F43" s="6" t="s">
        <v>392</v>
      </c>
      <c r="G43" s="6" t="s">
        <v>199</v>
      </c>
      <c r="H43" s="16">
        <f>(113.47+1.53)/117.59</f>
        <v>0.97797431754400876</v>
      </c>
      <c r="L43" s="3">
        <v>4</v>
      </c>
      <c r="M43" s="6" t="s">
        <v>393</v>
      </c>
      <c r="P43" s="6" t="s">
        <v>126</v>
      </c>
      <c r="Q43" s="6" t="s">
        <v>394</v>
      </c>
      <c r="R43" s="6" t="s">
        <v>395</v>
      </c>
      <c r="T43" s="6" t="s">
        <v>129</v>
      </c>
      <c r="U43" s="16">
        <f>0.64*0.5331+0.1273</f>
        <v>0.46848400000000001</v>
      </c>
      <c r="X43" s="8">
        <f t="shared" si="20"/>
        <v>3</v>
      </c>
      <c r="Y43" s="1">
        <f t="shared" si="21"/>
        <v>3.796135833619424E-2</v>
      </c>
      <c r="AC43" s="21">
        <v>94.21</v>
      </c>
      <c r="AD43" s="6" t="s">
        <v>396</v>
      </c>
      <c r="AG43" s="4">
        <v>104.74</v>
      </c>
      <c r="AH43" s="6" t="s">
        <v>396</v>
      </c>
      <c r="AK43" s="6">
        <v>89.03</v>
      </c>
      <c r="AL43" s="6" t="s">
        <v>397</v>
      </c>
      <c r="AN43" s="8">
        <f t="shared" si="22"/>
        <v>3</v>
      </c>
      <c r="AO43" s="1">
        <f t="shared" si="23"/>
        <v>7.17466575915673E-2</v>
      </c>
      <c r="AS43" s="4">
        <v>49.48</v>
      </c>
      <c r="AT43" s="6" t="s">
        <v>397</v>
      </c>
      <c r="AW43" s="4">
        <v>48.77</v>
      </c>
      <c r="AX43" s="6" t="s">
        <v>397</v>
      </c>
      <c r="BA43" s="4">
        <v>43.2</v>
      </c>
      <c r="BB43" s="6" t="s">
        <v>396</v>
      </c>
      <c r="BD43" s="2">
        <f t="shared" si="24"/>
        <v>4</v>
      </c>
      <c r="BE43" s="8">
        <f t="shared" si="2"/>
        <v>94.21</v>
      </c>
      <c r="BI43" s="8">
        <f t="shared" si="25"/>
        <v>94.21</v>
      </c>
      <c r="BJ43" s="6" t="s">
        <v>396</v>
      </c>
      <c r="BL43" s="2">
        <f t="shared" si="26"/>
        <v>5</v>
      </c>
      <c r="BM43" s="8">
        <f t="shared" si="27"/>
        <v>49.48</v>
      </c>
      <c r="BQ43" s="8">
        <f t="shared" si="28"/>
        <v>49.48</v>
      </c>
      <c r="BR43" s="6" t="s">
        <v>397</v>
      </c>
      <c r="BT43" s="8">
        <f t="shared" si="29"/>
        <v>3</v>
      </c>
      <c r="BU43" s="6">
        <v>193</v>
      </c>
      <c r="BY43" s="6">
        <v>193</v>
      </c>
      <c r="BZ43" s="6" t="s">
        <v>398</v>
      </c>
      <c r="CB43" s="6">
        <v>1</v>
      </c>
      <c r="CC43" s="6" t="str">
        <f>CF43</f>
        <v>一级</v>
      </c>
      <c r="CF43" s="6" t="s">
        <v>132</v>
      </c>
      <c r="CG43" s="6" t="s">
        <v>399</v>
      </c>
      <c r="CH43" s="6" t="s">
        <v>400</v>
      </c>
      <c r="CJ43" s="8">
        <f t="shared" si="30"/>
        <v>0</v>
      </c>
      <c r="CK43" s="6" t="s">
        <v>37</v>
      </c>
      <c r="CO43" s="23" t="s">
        <v>37</v>
      </c>
      <c r="CS43" s="8">
        <f t="shared" si="32"/>
        <v>94.21</v>
      </c>
      <c r="CT43" s="6" t="s">
        <v>400</v>
      </c>
      <c r="CV43" s="8">
        <f t="shared" si="33"/>
        <v>5</v>
      </c>
      <c r="CW43" s="8">
        <f t="shared" si="34"/>
        <v>73.27</v>
      </c>
      <c r="DA43" s="6">
        <v>73.27</v>
      </c>
      <c r="DB43" s="6" t="s">
        <v>396</v>
      </c>
      <c r="DC43" s="6" t="s">
        <v>401</v>
      </c>
      <c r="DD43" s="8">
        <f t="shared" si="35"/>
        <v>3</v>
      </c>
      <c r="DE43" s="15">
        <f t="shared" si="36"/>
        <v>1.480800323362975</v>
      </c>
      <c r="DI43" s="8">
        <f>AS43</f>
        <v>49.48</v>
      </c>
      <c r="DJ43" s="6" t="s">
        <v>397</v>
      </c>
      <c r="DM43" s="13">
        <f>DA43</f>
        <v>73.27</v>
      </c>
      <c r="DN43" s="6" t="s">
        <v>397</v>
      </c>
      <c r="DO43" s="6" t="s">
        <v>402</v>
      </c>
      <c r="DP43" s="6">
        <v>5</v>
      </c>
      <c r="DQ43" s="6" t="s">
        <v>403</v>
      </c>
      <c r="DU43" s="117" t="s">
        <v>37</v>
      </c>
      <c r="DY43" s="16" t="s">
        <v>37</v>
      </c>
      <c r="EC43" s="16" t="s">
        <v>37</v>
      </c>
      <c r="EG43" s="16" t="s">
        <v>37</v>
      </c>
      <c r="EJ43" s="2">
        <f t="shared" si="39"/>
        <v>3</v>
      </c>
      <c r="EK43" s="8">
        <f t="shared" si="40"/>
        <v>43.22</v>
      </c>
      <c r="EO43" s="4">
        <v>43.22</v>
      </c>
      <c r="EP43" s="6" t="s">
        <v>396</v>
      </c>
      <c r="ER43" s="8">
        <f t="shared" si="41"/>
        <v>3</v>
      </c>
      <c r="ES43" s="6">
        <f t="shared" si="59"/>
        <v>48.7</v>
      </c>
      <c r="EW43" s="6">
        <v>48.7</v>
      </c>
      <c r="EX43" s="6" t="s">
        <v>397</v>
      </c>
      <c r="EZ43" s="8">
        <f t="shared" si="42"/>
        <v>1</v>
      </c>
      <c r="FA43" s="8">
        <f t="shared" si="43"/>
        <v>326.82</v>
      </c>
      <c r="FE43" s="3">
        <v>326.82</v>
      </c>
      <c r="FF43" s="6" t="s">
        <v>397</v>
      </c>
      <c r="FG43" s="6" t="s">
        <v>401</v>
      </c>
      <c r="FH43" s="6">
        <v>3</v>
      </c>
      <c r="FI43" s="6" t="s">
        <v>404</v>
      </c>
      <c r="FM43" s="3">
        <v>0</v>
      </c>
      <c r="FN43" s="6" t="s">
        <v>397</v>
      </c>
      <c r="FQ43" s="16">
        <v>0.69850000000000001</v>
      </c>
      <c r="FR43" s="6" t="s">
        <v>396</v>
      </c>
      <c r="FU43" s="16">
        <v>0.18140000000000001</v>
      </c>
      <c r="FV43" s="6" t="s">
        <v>397</v>
      </c>
      <c r="FY43" s="16">
        <v>0.1201</v>
      </c>
      <c r="FZ43" s="6" t="s">
        <v>397</v>
      </c>
      <c r="GB43" s="6">
        <v>2</v>
      </c>
      <c r="GC43" s="6" t="s">
        <v>406</v>
      </c>
      <c r="GG43" s="6" t="s">
        <v>406</v>
      </c>
      <c r="GH43" s="6" t="s">
        <v>397</v>
      </c>
      <c r="GJ43" s="8">
        <f t="shared" si="44"/>
        <v>4</v>
      </c>
      <c r="GK43" s="1">
        <f t="shared" si="45"/>
        <v>1.0885279360489837E-2</v>
      </c>
      <c r="GN43" s="6">
        <v>1.28</v>
      </c>
      <c r="GO43" s="6" t="s">
        <v>407</v>
      </c>
      <c r="GP43" s="6" t="s">
        <v>397</v>
      </c>
      <c r="GS43" s="6">
        <v>117.59</v>
      </c>
      <c r="GT43" s="6" t="s">
        <v>144</v>
      </c>
      <c r="GV43" s="8">
        <f t="shared" si="46"/>
        <v>3</v>
      </c>
      <c r="GW43" s="1">
        <f t="shared" si="47"/>
        <v>0.44062124143701309</v>
      </c>
      <c r="HA43" s="7">
        <v>168.52</v>
      </c>
      <c r="HB43" s="6" t="s">
        <v>395</v>
      </c>
      <c r="HE43" s="6">
        <v>382.46</v>
      </c>
      <c r="HF43" s="6" t="s">
        <v>144</v>
      </c>
      <c r="HH43" s="8">
        <f t="shared" si="48"/>
        <v>1</v>
      </c>
      <c r="HI43" s="1">
        <f t="shared" si="49"/>
        <v>5.8604155567394782E-3</v>
      </c>
      <c r="HM43" s="6">
        <v>0.11</v>
      </c>
      <c r="HN43" s="6" t="s">
        <v>395</v>
      </c>
      <c r="HQ43" s="6">
        <v>18.77</v>
      </c>
      <c r="HR43" s="6" t="s">
        <v>144</v>
      </c>
      <c r="HT43" s="8">
        <f t="shared" si="50"/>
        <v>4</v>
      </c>
      <c r="HU43" s="10">
        <f t="shared" si="51"/>
        <v>0</v>
      </c>
      <c r="HY43" s="6">
        <v>0</v>
      </c>
      <c r="HZ43" s="6" t="s">
        <v>395</v>
      </c>
      <c r="IC43" s="6">
        <v>45.33</v>
      </c>
      <c r="ID43" s="6" t="s">
        <v>144</v>
      </c>
      <c r="IR43" s="3">
        <f t="shared" si="52"/>
        <v>4</v>
      </c>
      <c r="IS43" s="5">
        <f>IW43/JA43</f>
        <v>0.99131378935939196</v>
      </c>
      <c r="IW43" s="6">
        <v>91.3</v>
      </c>
      <c r="IX43" s="36" t="s">
        <v>144</v>
      </c>
      <c r="IY43" s="36" t="s">
        <v>401</v>
      </c>
      <c r="JA43" s="6">
        <v>92.1</v>
      </c>
      <c r="JB43" s="6" t="s">
        <v>144</v>
      </c>
      <c r="JD43" s="14">
        <f t="shared" si="54"/>
        <v>4</v>
      </c>
      <c r="JE43" s="1">
        <f t="shared" si="55"/>
        <v>9.8746248041012577E-2</v>
      </c>
      <c r="JI43" s="6">
        <v>14.87</v>
      </c>
      <c r="JJ43" s="6" t="s">
        <v>397</v>
      </c>
      <c r="JM43" s="6">
        <v>1.88</v>
      </c>
      <c r="JN43" s="6" t="s">
        <v>400</v>
      </c>
      <c r="JQ43" s="6">
        <v>69.13</v>
      </c>
      <c r="JR43" s="6" t="s">
        <v>400</v>
      </c>
      <c r="JU43" s="6">
        <v>91.07</v>
      </c>
      <c r="JV43" s="6" t="s">
        <v>409</v>
      </c>
      <c r="JX43" s="6">
        <v>2</v>
      </c>
      <c r="JY43" s="6" t="s">
        <v>410</v>
      </c>
      <c r="KB43" s="6">
        <v>7</v>
      </c>
      <c r="KC43" s="6" t="s">
        <v>410</v>
      </c>
      <c r="KD43" s="6" t="s">
        <v>397</v>
      </c>
      <c r="KF43" s="8">
        <f t="shared" si="56"/>
        <v>1</v>
      </c>
      <c r="KG43" s="1">
        <f t="shared" si="57"/>
        <v>0</v>
      </c>
      <c r="KK43" s="3">
        <v>0</v>
      </c>
      <c r="KL43" s="6" t="s">
        <v>395</v>
      </c>
      <c r="KO43" s="15">
        <f>JA43</f>
        <v>92.1</v>
      </c>
      <c r="KP43" s="6" t="s">
        <v>412</v>
      </c>
    </row>
    <row r="44" spans="2:302" s="6" customFormat="1" ht="16.5" customHeight="1" x14ac:dyDescent="0.35">
      <c r="B44" s="6" t="s">
        <v>413</v>
      </c>
      <c r="C44" s="6" t="s">
        <v>324</v>
      </c>
      <c r="D44" s="6" t="s">
        <v>325</v>
      </c>
      <c r="E44" s="6" t="s">
        <v>414</v>
      </c>
      <c r="F44" s="6" t="s">
        <v>415</v>
      </c>
      <c r="G44" s="6" t="s">
        <v>174</v>
      </c>
      <c r="H44" s="16">
        <v>0.94710000000000005</v>
      </c>
      <c r="L44" s="3">
        <v>4</v>
      </c>
      <c r="M44" s="6" t="s">
        <v>416</v>
      </c>
      <c r="P44" s="6" t="s">
        <v>126</v>
      </c>
      <c r="Q44" s="6" t="s">
        <v>417</v>
      </c>
      <c r="R44" s="6" t="s">
        <v>418</v>
      </c>
      <c r="T44" s="6" t="s">
        <v>129</v>
      </c>
      <c r="U44" s="16">
        <f>0.8*0.5751</f>
        <v>0.46007999999999999</v>
      </c>
      <c r="X44" s="8">
        <f t="shared" si="20"/>
        <v>3</v>
      </c>
      <c r="Y44" s="1">
        <f t="shared" si="21"/>
        <v>3.6909799383604475E-2</v>
      </c>
      <c r="AC44" s="4">
        <v>104.97</v>
      </c>
      <c r="AD44" s="6" t="s">
        <v>419</v>
      </c>
      <c r="AG44" s="6">
        <v>95.76</v>
      </c>
      <c r="AH44" s="6" t="s">
        <v>418</v>
      </c>
      <c r="AK44" s="6">
        <v>97.95</v>
      </c>
      <c r="AL44" s="6" t="s">
        <v>420</v>
      </c>
      <c r="AN44" s="8">
        <f t="shared" si="22"/>
        <v>4</v>
      </c>
      <c r="AO44" s="1">
        <f t="shared" si="23"/>
        <v>-1.9834804791427768E-2</v>
      </c>
      <c r="AS44" s="6">
        <v>121.37</v>
      </c>
      <c r="AT44" s="6" t="s">
        <v>419</v>
      </c>
      <c r="AW44" s="4">
        <v>129.80000000000001</v>
      </c>
      <c r="AX44" s="6" t="s">
        <v>419</v>
      </c>
      <c r="BA44" s="4">
        <v>126.6</v>
      </c>
      <c r="BB44" s="6" t="s">
        <v>420</v>
      </c>
      <c r="BD44" s="2">
        <f t="shared" si="24"/>
        <v>3</v>
      </c>
      <c r="BE44" s="8">
        <f t="shared" si="2"/>
        <v>104.97</v>
      </c>
      <c r="BI44" s="8">
        <f t="shared" si="25"/>
        <v>104.97</v>
      </c>
      <c r="BJ44" s="6" t="s">
        <v>418</v>
      </c>
      <c r="BL44" s="2">
        <f t="shared" si="26"/>
        <v>3</v>
      </c>
      <c r="BM44" s="8">
        <f t="shared" si="27"/>
        <v>121.37</v>
      </c>
      <c r="BQ44" s="8">
        <f t="shared" si="28"/>
        <v>121.37</v>
      </c>
      <c r="BR44" s="6" t="s">
        <v>418</v>
      </c>
      <c r="BT44" s="8">
        <f t="shared" si="29"/>
        <v>3</v>
      </c>
      <c r="BU44" s="6">
        <v>120</v>
      </c>
      <c r="BY44" s="6">
        <v>120</v>
      </c>
      <c r="BZ44" s="6" t="s">
        <v>234</v>
      </c>
      <c r="CB44" s="6">
        <v>2</v>
      </c>
      <c r="CC44" s="6" t="s">
        <v>134</v>
      </c>
      <c r="CF44" s="6" t="s">
        <v>134</v>
      </c>
      <c r="CG44" s="6" t="s">
        <v>423</v>
      </c>
      <c r="CH44" s="6" t="s">
        <v>420</v>
      </c>
      <c r="CJ44" s="8">
        <f t="shared" si="30"/>
        <v>2</v>
      </c>
      <c r="CK44" s="12">
        <f t="shared" si="31"/>
        <v>0</v>
      </c>
      <c r="CO44" s="6">
        <v>0</v>
      </c>
      <c r="CP44" s="6" t="s">
        <v>418</v>
      </c>
      <c r="CS44" s="8">
        <f t="shared" si="32"/>
        <v>104.97</v>
      </c>
      <c r="CT44" s="6" t="s">
        <v>419</v>
      </c>
      <c r="CV44" s="8">
        <f t="shared" si="33"/>
        <v>3</v>
      </c>
      <c r="CW44" s="8">
        <f t="shared" si="34"/>
        <v>578.82000000000005</v>
      </c>
      <c r="DA44" s="6">
        <v>578.82000000000005</v>
      </c>
      <c r="DB44" s="6" t="s">
        <v>418</v>
      </c>
      <c r="DD44" s="8">
        <f t="shared" si="35"/>
        <v>1</v>
      </c>
      <c r="DE44" s="15">
        <f t="shared" si="36"/>
        <v>4.7690533080662441</v>
      </c>
      <c r="DI44" s="8">
        <f>AS44</f>
        <v>121.37</v>
      </c>
      <c r="DJ44" s="6" t="s">
        <v>418</v>
      </c>
      <c r="DM44" s="13">
        <f>DA44</f>
        <v>578.82000000000005</v>
      </c>
      <c r="DN44" s="6" t="s">
        <v>419</v>
      </c>
      <c r="DP44" s="6">
        <v>4</v>
      </c>
      <c r="DQ44" s="6" t="s">
        <v>424</v>
      </c>
      <c r="DU44" s="16">
        <v>0.1842</v>
      </c>
      <c r="DV44" s="6" t="s">
        <v>419</v>
      </c>
      <c r="DY44" s="16">
        <v>0.47399999999999998</v>
      </c>
      <c r="DZ44" s="6" t="s">
        <v>418</v>
      </c>
      <c r="EC44" s="16">
        <v>0.34179999999999999</v>
      </c>
      <c r="ED44" s="6" t="s">
        <v>419</v>
      </c>
      <c r="EG44" s="16">
        <v>0</v>
      </c>
      <c r="EH44" s="6" t="s">
        <v>418</v>
      </c>
      <c r="EJ44" s="2">
        <f t="shared" si="39"/>
        <v>2</v>
      </c>
      <c r="EK44" s="8">
        <f t="shared" si="40"/>
        <v>68.7</v>
      </c>
      <c r="EO44" s="4">
        <v>68.7</v>
      </c>
      <c r="EP44" s="6" t="s">
        <v>418</v>
      </c>
      <c r="ER44" s="8">
        <f t="shared" si="41"/>
        <v>1</v>
      </c>
      <c r="ES44" s="6">
        <f t="shared" si="59"/>
        <v>181.12</v>
      </c>
      <c r="EW44" s="6">
        <v>181.12</v>
      </c>
      <c r="EX44" s="6" t="s">
        <v>418</v>
      </c>
      <c r="EZ44" s="8">
        <f t="shared" si="42"/>
        <v>1</v>
      </c>
      <c r="FA44" s="8">
        <f t="shared" si="43"/>
        <v>267.79000000000002</v>
      </c>
      <c r="FE44" s="6">
        <v>267.79000000000002</v>
      </c>
      <c r="FF44" s="6" t="s">
        <v>419</v>
      </c>
      <c r="FH44" s="6">
        <v>3</v>
      </c>
      <c r="FI44" s="6" t="s">
        <v>425</v>
      </c>
      <c r="FM44" s="16">
        <v>7.9399999999999998E-2</v>
      </c>
      <c r="FN44" s="6" t="s">
        <v>146</v>
      </c>
      <c r="FQ44" s="16">
        <v>0.51100000000000001</v>
      </c>
      <c r="FR44" s="6" t="s">
        <v>146</v>
      </c>
      <c r="FU44" s="16">
        <v>0.1138</v>
      </c>
      <c r="FV44" s="6" t="s">
        <v>146</v>
      </c>
      <c r="FY44" s="16">
        <v>0.29580000000000001</v>
      </c>
      <c r="FZ44" s="6" t="s">
        <v>146</v>
      </c>
      <c r="GB44" s="6">
        <v>2</v>
      </c>
      <c r="GC44" s="6" t="s">
        <v>427</v>
      </c>
      <c r="GG44" s="6" t="s">
        <v>428</v>
      </c>
      <c r="GH44" s="6" t="s">
        <v>146</v>
      </c>
      <c r="GJ44" s="8">
        <f t="shared" si="44"/>
        <v>4</v>
      </c>
      <c r="GK44" s="1">
        <f t="shared" si="45"/>
        <v>1.8016833245660179E-2</v>
      </c>
      <c r="GN44" s="6">
        <v>1.37</v>
      </c>
      <c r="GO44" s="6" t="s">
        <v>429</v>
      </c>
      <c r="GP44" s="6" t="s">
        <v>146</v>
      </c>
      <c r="GS44" s="6">
        <v>76.040000000000006</v>
      </c>
      <c r="GT44" s="6" t="s">
        <v>144</v>
      </c>
      <c r="GV44" s="8">
        <f t="shared" si="46"/>
        <v>2</v>
      </c>
      <c r="GW44" s="1">
        <f t="shared" si="47"/>
        <v>0.25133057362507388</v>
      </c>
      <c r="HA44" s="6">
        <v>72.25</v>
      </c>
      <c r="HB44" s="6" t="s">
        <v>146</v>
      </c>
      <c r="HE44" s="6">
        <v>287.47000000000003</v>
      </c>
      <c r="HF44" s="6" t="s">
        <v>431</v>
      </c>
      <c r="HH44" s="8">
        <f t="shared" si="48"/>
        <v>1</v>
      </c>
      <c r="HI44" s="1">
        <f t="shared" si="49"/>
        <v>0.18328651685393257</v>
      </c>
      <c r="HM44" s="6">
        <v>2.61</v>
      </c>
      <c r="HN44" s="6" t="s">
        <v>146</v>
      </c>
      <c r="HQ44" s="6">
        <v>14.24</v>
      </c>
      <c r="HR44" s="6" t="s">
        <v>431</v>
      </c>
      <c r="HT44" s="8">
        <f t="shared" si="50"/>
        <v>4</v>
      </c>
      <c r="HU44" s="10">
        <f t="shared" si="51"/>
        <v>0</v>
      </c>
      <c r="HY44" s="6">
        <v>0</v>
      </c>
      <c r="HZ44" s="6" t="s">
        <v>395</v>
      </c>
      <c r="IC44" s="6">
        <v>21.16</v>
      </c>
      <c r="ID44" s="6" t="s">
        <v>431</v>
      </c>
      <c r="IR44" s="2">
        <f t="shared" si="52"/>
        <v>2</v>
      </c>
      <c r="IS44" s="1">
        <f t="shared" si="53"/>
        <v>2.3531237070748863</v>
      </c>
      <c r="IW44" s="6">
        <v>227.5</v>
      </c>
      <c r="IX44" s="6" t="s">
        <v>146</v>
      </c>
      <c r="JA44" s="6">
        <v>96.68</v>
      </c>
      <c r="JB44" s="6" t="s">
        <v>431</v>
      </c>
      <c r="JD44" s="14">
        <f t="shared" si="54"/>
        <v>4</v>
      </c>
      <c r="JE44" s="1">
        <f t="shared" si="55"/>
        <v>8.2634273361048491E-2</v>
      </c>
      <c r="JI44" s="6">
        <v>19.72</v>
      </c>
      <c r="JJ44" s="6" t="s">
        <v>418</v>
      </c>
      <c r="JM44" s="4">
        <v>3.99</v>
      </c>
      <c r="JN44" s="6" t="s">
        <v>418</v>
      </c>
      <c r="JQ44" s="6">
        <v>54.63</v>
      </c>
      <c r="JR44" s="6" t="s">
        <v>419</v>
      </c>
      <c r="JU44" s="6">
        <v>64.989999999999995</v>
      </c>
      <c r="JV44" s="6" t="s">
        <v>418</v>
      </c>
      <c r="JX44" s="6">
        <v>2</v>
      </c>
      <c r="JY44" s="6" t="s">
        <v>432</v>
      </c>
      <c r="KB44" s="6">
        <v>17</v>
      </c>
      <c r="KC44" s="6" t="s">
        <v>432</v>
      </c>
      <c r="KD44" s="6" t="s">
        <v>419</v>
      </c>
      <c r="KF44" s="8">
        <f t="shared" si="56"/>
        <v>3</v>
      </c>
      <c r="KG44" s="1">
        <f t="shared" si="57"/>
        <v>0.65804716590815049</v>
      </c>
      <c r="KK44" s="6">
        <v>63.62</v>
      </c>
      <c r="KL44" s="6" t="s">
        <v>146</v>
      </c>
      <c r="KO44" s="15">
        <f>JA44</f>
        <v>96.68</v>
      </c>
      <c r="KP44" s="6" t="s">
        <v>431</v>
      </c>
    </row>
    <row r="45" spans="2:302" s="6" customFormat="1" ht="16.5" customHeight="1" x14ac:dyDescent="0.35">
      <c r="B45" s="6" t="s">
        <v>433</v>
      </c>
      <c r="C45" s="6" t="s">
        <v>324</v>
      </c>
      <c r="D45" s="6" t="s">
        <v>325</v>
      </c>
      <c r="E45" s="6" t="s">
        <v>197</v>
      </c>
      <c r="F45" s="6" t="s">
        <v>434</v>
      </c>
      <c r="G45" s="6" t="s">
        <v>174</v>
      </c>
      <c r="H45" s="16">
        <v>0.99619999999999997</v>
      </c>
      <c r="L45" s="3">
        <v>4</v>
      </c>
      <c r="M45" s="6" t="s">
        <v>435</v>
      </c>
      <c r="P45" s="6" t="s">
        <v>118</v>
      </c>
      <c r="Q45" s="6" t="s">
        <v>436</v>
      </c>
      <c r="R45" s="6" t="s">
        <v>437</v>
      </c>
      <c r="T45" s="36" t="s">
        <v>203</v>
      </c>
      <c r="U45" s="18">
        <v>0.9</v>
      </c>
      <c r="X45" s="8">
        <f t="shared" si="20"/>
        <v>2</v>
      </c>
      <c r="Y45" s="1">
        <f t="shared" si="21"/>
        <v>0.16515142785004577</v>
      </c>
      <c r="AC45" s="4">
        <v>123.5</v>
      </c>
      <c r="AD45" s="6" t="s">
        <v>437</v>
      </c>
      <c r="AG45" s="6">
        <v>108.24</v>
      </c>
      <c r="AH45" s="6" t="s">
        <v>437</v>
      </c>
      <c r="AK45" s="6">
        <v>91.01</v>
      </c>
      <c r="AL45" s="6" t="s">
        <v>437</v>
      </c>
      <c r="AN45" s="8">
        <f t="shared" si="22"/>
        <v>2</v>
      </c>
      <c r="AO45" s="1">
        <f t="shared" si="23"/>
        <v>0.14178763977260267</v>
      </c>
      <c r="AS45" s="6">
        <v>167.48</v>
      </c>
      <c r="AT45" s="6" t="s">
        <v>437</v>
      </c>
      <c r="AW45" s="4">
        <v>152.9</v>
      </c>
      <c r="AX45" s="6" t="s">
        <v>437</v>
      </c>
      <c r="BA45" s="4">
        <v>128.68</v>
      </c>
      <c r="BB45" s="6" t="s">
        <v>437</v>
      </c>
      <c r="BD45" s="2">
        <f t="shared" si="24"/>
        <v>3</v>
      </c>
      <c r="BE45" s="8">
        <f t="shared" si="2"/>
        <v>123.5</v>
      </c>
      <c r="BI45" s="8">
        <f t="shared" si="25"/>
        <v>123.5</v>
      </c>
      <c r="BJ45" s="6" t="s">
        <v>437</v>
      </c>
      <c r="BL45" s="2">
        <f t="shared" si="26"/>
        <v>3</v>
      </c>
      <c r="BM45" s="8">
        <f t="shared" si="27"/>
        <v>167.48</v>
      </c>
      <c r="BQ45" s="8">
        <f t="shared" si="28"/>
        <v>167.48</v>
      </c>
      <c r="BR45" s="6" t="s">
        <v>437</v>
      </c>
      <c r="BT45" s="8">
        <f t="shared" si="29"/>
        <v>2</v>
      </c>
      <c r="BU45" s="6">
        <v>40</v>
      </c>
      <c r="BY45" s="6">
        <v>40</v>
      </c>
      <c r="BZ45" s="22" t="s">
        <v>131</v>
      </c>
      <c r="CA45" s="6" t="s">
        <v>438</v>
      </c>
      <c r="CB45" s="6">
        <v>1</v>
      </c>
      <c r="CC45" s="6" t="str">
        <f>CF45</f>
        <v>一级</v>
      </c>
      <c r="CF45" s="6" t="s">
        <v>132</v>
      </c>
      <c r="CG45" s="6" t="s">
        <v>439</v>
      </c>
      <c r="CH45" s="6" t="s">
        <v>437</v>
      </c>
      <c r="CJ45" s="8">
        <f t="shared" si="30"/>
        <v>2</v>
      </c>
      <c r="CK45" s="12">
        <f t="shared" si="31"/>
        <v>1.0202429149797571E-2</v>
      </c>
      <c r="CO45" s="6">
        <v>1.26</v>
      </c>
      <c r="CP45" s="6" t="s">
        <v>437</v>
      </c>
      <c r="CS45" s="8">
        <f t="shared" si="32"/>
        <v>123.5</v>
      </c>
      <c r="CT45" s="6" t="s">
        <v>437</v>
      </c>
      <c r="CV45" s="8">
        <f t="shared" si="33"/>
        <v>4</v>
      </c>
      <c r="CW45" s="8">
        <f t="shared" si="34"/>
        <v>476.87</v>
      </c>
      <c r="DA45" s="6">
        <v>476.87</v>
      </c>
      <c r="DB45" s="6" t="s">
        <v>437</v>
      </c>
      <c r="DC45" s="6" t="s">
        <v>440</v>
      </c>
      <c r="DD45" s="8">
        <f t="shared" si="35"/>
        <v>1</v>
      </c>
      <c r="DE45" s="15">
        <f t="shared" si="36"/>
        <v>2.8473250537377601</v>
      </c>
      <c r="DI45" s="8">
        <f>AS45</f>
        <v>167.48</v>
      </c>
      <c r="DJ45" s="6" t="s">
        <v>437</v>
      </c>
      <c r="DM45" s="13">
        <f>DA45</f>
        <v>476.87</v>
      </c>
      <c r="DN45" s="6" t="s">
        <v>437</v>
      </c>
      <c r="DP45" s="6">
        <v>6</v>
      </c>
      <c r="DQ45" s="6" t="s">
        <v>441</v>
      </c>
      <c r="DU45" s="16">
        <v>7.8299999999999995E-2</v>
      </c>
      <c r="DV45" s="6" t="s">
        <v>437</v>
      </c>
      <c r="DY45" s="16">
        <v>0.2392</v>
      </c>
      <c r="DZ45" s="6" t="s">
        <v>437</v>
      </c>
      <c r="EC45" s="16">
        <v>0.34029999999999999</v>
      </c>
      <c r="ED45" s="6" t="s">
        <v>437</v>
      </c>
      <c r="EG45" s="16">
        <v>0.3422</v>
      </c>
      <c r="EH45" s="6" t="s">
        <v>437</v>
      </c>
      <c r="EJ45" s="2">
        <f t="shared" si="39"/>
        <v>1</v>
      </c>
      <c r="EK45" s="8">
        <f t="shared" si="40"/>
        <v>219.81</v>
      </c>
      <c r="EO45" s="4">
        <v>219.81</v>
      </c>
      <c r="EP45" s="6" t="s">
        <v>437</v>
      </c>
      <c r="ER45" s="8">
        <f t="shared" si="41"/>
        <v>1</v>
      </c>
      <c r="ES45" s="6">
        <f t="shared" si="59"/>
        <v>194.37</v>
      </c>
      <c r="EW45" s="6">
        <v>194.37</v>
      </c>
      <c r="EX45" s="6" t="s">
        <v>437</v>
      </c>
      <c r="EZ45" s="8">
        <f t="shared" si="42"/>
        <v>1</v>
      </c>
      <c r="FA45" s="8">
        <f t="shared" si="43"/>
        <v>464.47</v>
      </c>
      <c r="FE45" s="6">
        <v>464.47</v>
      </c>
      <c r="FF45" s="6" t="s">
        <v>444</v>
      </c>
      <c r="FG45" s="6" t="s">
        <v>440</v>
      </c>
      <c r="FH45" s="6">
        <v>6</v>
      </c>
      <c r="FI45" s="6" t="s">
        <v>445</v>
      </c>
      <c r="FM45" s="16">
        <v>0.06</v>
      </c>
      <c r="FN45" s="6" t="s">
        <v>437</v>
      </c>
      <c r="FQ45" s="16">
        <v>0.2092</v>
      </c>
      <c r="FR45" s="6" t="s">
        <v>437</v>
      </c>
      <c r="FU45" s="16">
        <v>0.39429999999999998</v>
      </c>
      <c r="FV45" s="6" t="s">
        <v>437</v>
      </c>
      <c r="FY45" s="16">
        <v>0.33610000000000001</v>
      </c>
      <c r="FZ45" s="6" t="s">
        <v>437</v>
      </c>
      <c r="GB45" s="6">
        <v>2</v>
      </c>
      <c r="GC45" s="6" t="s">
        <v>446</v>
      </c>
      <c r="GG45" s="6" t="s">
        <v>446</v>
      </c>
      <c r="GH45" s="6" t="s">
        <v>437</v>
      </c>
      <c r="GJ45" s="8">
        <f t="shared" si="44"/>
        <v>4</v>
      </c>
      <c r="GK45" s="1">
        <f t="shared" si="45"/>
        <v>1.9609623241034952E-2</v>
      </c>
      <c r="GN45" s="6">
        <v>2.16</v>
      </c>
      <c r="GO45" s="6" t="s">
        <v>447</v>
      </c>
      <c r="GP45" s="6" t="s">
        <v>437</v>
      </c>
      <c r="GS45" s="6">
        <v>110.15</v>
      </c>
      <c r="GT45" s="6" t="s">
        <v>144</v>
      </c>
      <c r="GV45" s="8">
        <f t="shared" si="46"/>
        <v>2</v>
      </c>
      <c r="GW45" s="1">
        <f t="shared" si="47"/>
        <v>0.33186523410104635</v>
      </c>
      <c r="HA45" s="6">
        <v>118.3</v>
      </c>
      <c r="HB45" s="6" t="s">
        <v>449</v>
      </c>
      <c r="HE45" s="6">
        <v>356.47</v>
      </c>
      <c r="HF45" s="6" t="s">
        <v>431</v>
      </c>
      <c r="HH45" s="8">
        <f t="shared" si="48"/>
        <v>2</v>
      </c>
      <c r="HI45" s="1">
        <f t="shared" si="49"/>
        <v>0.22257243927216827</v>
      </c>
      <c r="HM45" s="17">
        <f>10.24*22.26%</f>
        <v>2.2794240000000001</v>
      </c>
      <c r="HN45" s="6" t="s">
        <v>437</v>
      </c>
      <c r="HQ45" s="4">
        <v>10.241268</v>
      </c>
      <c r="HR45" s="6" t="s">
        <v>144</v>
      </c>
      <c r="HT45" s="8">
        <f t="shared" si="50"/>
        <v>4</v>
      </c>
      <c r="HU45" s="10">
        <f t="shared" si="51"/>
        <v>0</v>
      </c>
      <c r="HY45" s="6">
        <v>0</v>
      </c>
      <c r="HZ45" s="6" t="s">
        <v>449</v>
      </c>
      <c r="IC45" s="6">
        <v>65.36</v>
      </c>
      <c r="ID45" s="6" t="s">
        <v>431</v>
      </c>
      <c r="IR45" s="2">
        <f t="shared" si="52"/>
        <v>3</v>
      </c>
      <c r="IS45" s="1">
        <f t="shared" si="53"/>
        <v>1.287415513356936</v>
      </c>
      <c r="IW45" s="6">
        <v>120</v>
      </c>
      <c r="IX45" s="6" t="s">
        <v>437</v>
      </c>
      <c r="JA45" s="6">
        <v>93.21</v>
      </c>
      <c r="JB45" s="6" t="s">
        <v>431</v>
      </c>
      <c r="JD45" s="14">
        <f t="shared" si="54"/>
        <v>4</v>
      </c>
      <c r="JE45" s="1">
        <f t="shared" si="55"/>
        <v>0.13472312703583061</v>
      </c>
      <c r="JI45" s="6">
        <v>15.51</v>
      </c>
      <c r="JJ45" s="6" t="s">
        <v>437</v>
      </c>
      <c r="JM45" s="4">
        <v>1</v>
      </c>
      <c r="JN45" s="6" t="s">
        <v>437</v>
      </c>
      <c r="JQ45" s="6">
        <v>85.07</v>
      </c>
      <c r="JR45" s="6" t="s">
        <v>437</v>
      </c>
      <c r="JU45" s="6">
        <v>145.18</v>
      </c>
      <c r="JV45" s="6" t="s">
        <v>437</v>
      </c>
      <c r="JX45" s="6">
        <v>2</v>
      </c>
      <c r="JY45" s="6" t="s">
        <v>451</v>
      </c>
      <c r="KB45" s="6">
        <v>26</v>
      </c>
      <c r="KC45" s="6" t="s">
        <v>451</v>
      </c>
      <c r="KD45" s="6" t="s">
        <v>449</v>
      </c>
      <c r="KF45" s="8">
        <f t="shared" si="56"/>
        <v>3</v>
      </c>
      <c r="KG45" s="1">
        <f t="shared" si="57"/>
        <v>0.5860959124557451</v>
      </c>
      <c r="KK45" s="6">
        <f>52.97+1.66</f>
        <v>54.629999999999995</v>
      </c>
      <c r="KL45" s="6" t="s">
        <v>452</v>
      </c>
      <c r="KO45" s="15">
        <f>JA45</f>
        <v>93.21</v>
      </c>
      <c r="KP45" s="6" t="s">
        <v>144</v>
      </c>
    </row>
    <row r="46" spans="2:302" s="6" customFormat="1" ht="16.5" hidden="1" customHeight="1" x14ac:dyDescent="0.35">
      <c r="B46" s="6" t="s">
        <v>453</v>
      </c>
      <c r="C46" s="6" t="s">
        <v>170</v>
      </c>
      <c r="D46" s="6" t="s">
        <v>171</v>
      </c>
      <c r="E46" s="6" t="s">
        <v>172</v>
      </c>
      <c r="F46" s="6" t="s">
        <v>454</v>
      </c>
      <c r="G46" s="6" t="s">
        <v>199</v>
      </c>
      <c r="H46" s="16">
        <f>20.48/52.75</f>
        <v>0.38824644549763032</v>
      </c>
      <c r="I46" s="16" t="s">
        <v>344</v>
      </c>
      <c r="J46" s="6" t="s">
        <v>455</v>
      </c>
      <c r="L46" s="3"/>
      <c r="X46" s="8"/>
      <c r="Y46" s="1"/>
      <c r="AN46" s="8"/>
      <c r="AO46" s="1"/>
      <c r="BD46" s="2"/>
      <c r="BE46" s="8">
        <f t="shared" si="2"/>
        <v>0</v>
      </c>
      <c r="BI46" s="8"/>
      <c r="BL46" s="2"/>
      <c r="BM46" s="8"/>
      <c r="BQ46" s="8"/>
      <c r="BT46" s="8"/>
      <c r="CJ46" s="8"/>
      <c r="CK46" s="12"/>
      <c r="CS46" s="8"/>
      <c r="CV46" s="8"/>
      <c r="CW46" s="8"/>
      <c r="DD46" s="8"/>
      <c r="DE46" s="15"/>
      <c r="DI46" s="8"/>
      <c r="DM46" s="13"/>
      <c r="DU46" s="16"/>
      <c r="DY46" s="16"/>
      <c r="EC46" s="16"/>
      <c r="EG46" s="16"/>
      <c r="EJ46" s="2"/>
      <c r="EK46" s="8"/>
      <c r="ER46" s="8"/>
      <c r="EZ46" s="8"/>
      <c r="FA46" s="8"/>
      <c r="GJ46" s="8"/>
      <c r="GK46" s="1"/>
      <c r="GV46" s="8"/>
      <c r="GW46" s="1"/>
      <c r="HH46" s="8"/>
      <c r="HI46" s="1"/>
      <c r="HT46" s="8"/>
      <c r="HU46" s="10"/>
      <c r="IR46" s="2"/>
      <c r="IS46" s="1"/>
      <c r="JD46" s="14"/>
      <c r="JE46" s="1"/>
      <c r="KF46" s="8"/>
      <c r="KG46" s="1"/>
      <c r="KO46" s="15"/>
    </row>
    <row r="47" spans="2:302" s="6" customFormat="1" ht="16.5" customHeight="1" x14ac:dyDescent="0.35">
      <c r="B47" s="6" t="s">
        <v>456</v>
      </c>
      <c r="C47" s="6" t="s">
        <v>170</v>
      </c>
      <c r="D47" s="6" t="s">
        <v>171</v>
      </c>
      <c r="E47" s="6" t="s">
        <v>289</v>
      </c>
      <c r="F47" s="6" t="s">
        <v>457</v>
      </c>
      <c r="G47" s="6" t="s">
        <v>199</v>
      </c>
      <c r="H47" s="16">
        <v>0.96099999999999997</v>
      </c>
      <c r="I47" s="16"/>
      <c r="L47" s="3">
        <v>3</v>
      </c>
      <c r="M47" s="6" t="s">
        <v>458</v>
      </c>
      <c r="P47" s="6" t="s">
        <v>126</v>
      </c>
      <c r="Q47" s="6" t="s">
        <v>459</v>
      </c>
      <c r="R47" s="6" t="s">
        <v>460</v>
      </c>
      <c r="T47" s="6" t="s">
        <v>203</v>
      </c>
      <c r="U47" s="16">
        <v>0.64229999999999998</v>
      </c>
      <c r="V47" s="16"/>
      <c r="X47" s="8">
        <f t="shared" si="20"/>
        <v>2</v>
      </c>
      <c r="Y47" s="1">
        <f t="shared" si="21"/>
        <v>0.17757178577492286</v>
      </c>
      <c r="AC47" s="6">
        <v>1085.75</v>
      </c>
      <c r="AD47" s="6" t="s">
        <v>461</v>
      </c>
      <c r="AG47" s="6">
        <v>876.97</v>
      </c>
      <c r="AH47" s="6" t="s">
        <v>461</v>
      </c>
      <c r="AK47" s="6">
        <v>785.06</v>
      </c>
      <c r="AL47" s="6" t="s">
        <v>461</v>
      </c>
      <c r="AN47" s="8">
        <f t="shared" si="22"/>
        <v>3</v>
      </c>
      <c r="AO47" s="1">
        <f t="shared" si="23"/>
        <v>6.8781822258954739E-2</v>
      </c>
      <c r="AS47" s="6">
        <v>1537.24</v>
      </c>
      <c r="AT47" s="6" t="s">
        <v>461</v>
      </c>
      <c r="AW47" s="6">
        <v>1289.6500000000001</v>
      </c>
      <c r="AX47" s="6" t="s">
        <v>461</v>
      </c>
      <c r="BA47" s="6">
        <v>1363.87</v>
      </c>
      <c r="BB47" s="6" t="s">
        <v>461</v>
      </c>
      <c r="BD47" s="2">
        <f t="shared" si="24"/>
        <v>1</v>
      </c>
      <c r="BE47" s="8">
        <f t="shared" si="2"/>
        <v>1085.75</v>
      </c>
      <c r="BI47" s="8">
        <f t="shared" si="25"/>
        <v>1085.75</v>
      </c>
      <c r="BJ47" s="6" t="s">
        <v>461</v>
      </c>
      <c r="BL47" s="2">
        <f t="shared" si="26"/>
        <v>1</v>
      </c>
      <c r="BM47" s="8">
        <f t="shared" si="27"/>
        <v>1537.24</v>
      </c>
      <c r="BQ47" s="8">
        <f t="shared" si="28"/>
        <v>1537.24</v>
      </c>
      <c r="BR47" s="6" t="s">
        <v>461</v>
      </c>
      <c r="BT47" s="8">
        <f t="shared" si="29"/>
        <v>1</v>
      </c>
      <c r="BU47" s="6">
        <v>2</v>
      </c>
      <c r="BY47" s="6">
        <v>2</v>
      </c>
      <c r="BZ47" s="6" t="s">
        <v>234</v>
      </c>
      <c r="CA47" s="22"/>
      <c r="CB47" s="6">
        <v>1</v>
      </c>
      <c r="CC47" s="6" t="str">
        <f>CF47</f>
        <v>一级</v>
      </c>
      <c r="CF47" s="6" t="s">
        <v>132</v>
      </c>
      <c r="CG47" s="6" t="s">
        <v>259</v>
      </c>
      <c r="CH47" s="6" t="s">
        <v>460</v>
      </c>
      <c r="CJ47" s="8">
        <f t="shared" si="30"/>
        <v>2</v>
      </c>
      <c r="CK47" s="12">
        <f t="shared" si="31"/>
        <v>1.7677181671655537</v>
      </c>
      <c r="CO47" s="6">
        <v>1919.3</v>
      </c>
      <c r="CP47" s="6" t="s">
        <v>462</v>
      </c>
      <c r="CS47" s="8">
        <f t="shared" si="32"/>
        <v>1085.75</v>
      </c>
      <c r="CT47" s="6" t="s">
        <v>461</v>
      </c>
      <c r="CV47" s="8">
        <f t="shared" si="33"/>
        <v>0</v>
      </c>
      <c r="CW47" s="8" t="str">
        <f t="shared" si="34"/>
        <v>数据缺失</v>
      </c>
      <c r="DA47" s="6" t="s">
        <v>37</v>
      </c>
      <c r="DD47" s="8">
        <f t="shared" si="35"/>
        <v>0</v>
      </c>
      <c r="DE47" s="15" t="s">
        <v>37</v>
      </c>
      <c r="DI47" s="8">
        <f>AS47</f>
        <v>1537.24</v>
      </c>
      <c r="DJ47" s="6" t="s">
        <v>461</v>
      </c>
      <c r="DM47" s="13" t="str">
        <f>DA47</f>
        <v>数据缺失</v>
      </c>
      <c r="DN47" s="26"/>
      <c r="DO47" s="23"/>
      <c r="DP47" s="6">
        <v>6</v>
      </c>
      <c r="DQ47" s="6" t="s">
        <v>463</v>
      </c>
      <c r="DR47" s="6" t="s">
        <v>462</v>
      </c>
      <c r="DU47" s="16" t="s">
        <v>37</v>
      </c>
      <c r="DY47" s="16" t="s">
        <v>37</v>
      </c>
      <c r="EC47" s="16" t="s">
        <v>37</v>
      </c>
      <c r="EG47" s="16" t="s">
        <v>37</v>
      </c>
      <c r="EJ47" s="2">
        <f t="shared" si="39"/>
        <v>1</v>
      </c>
      <c r="EK47" s="8">
        <f t="shared" si="40"/>
        <v>1896.77</v>
      </c>
      <c r="EO47" s="6">
        <v>1896.77</v>
      </c>
      <c r="EP47" s="6" t="s">
        <v>461</v>
      </c>
      <c r="ER47" s="8">
        <f t="shared" si="41"/>
        <v>1</v>
      </c>
      <c r="ES47" s="6">
        <f t="shared" si="59"/>
        <v>1836.92</v>
      </c>
      <c r="EW47" s="6">
        <v>1836.92</v>
      </c>
      <c r="EX47" s="6" t="s">
        <v>462</v>
      </c>
      <c r="EZ47" s="8">
        <f t="shared" si="42"/>
        <v>1</v>
      </c>
      <c r="FA47" s="8">
        <f t="shared" si="43"/>
        <v>3553.86</v>
      </c>
      <c r="FE47" s="6">
        <v>3553.86</v>
      </c>
      <c r="FF47" s="6" t="s">
        <v>461</v>
      </c>
      <c r="FH47" s="6">
        <v>5</v>
      </c>
      <c r="FI47" s="6" t="s">
        <v>465</v>
      </c>
      <c r="FJ47" s="6" t="s">
        <v>461</v>
      </c>
      <c r="FM47" s="6" t="s">
        <v>297</v>
      </c>
      <c r="FQ47" s="6" t="s">
        <v>37</v>
      </c>
      <c r="FU47" s="6" t="s">
        <v>297</v>
      </c>
      <c r="FY47" s="6" t="s">
        <v>297</v>
      </c>
      <c r="GB47" s="6">
        <v>2</v>
      </c>
      <c r="GC47" s="6" t="s">
        <v>466</v>
      </c>
      <c r="GG47" s="6" t="s">
        <v>466</v>
      </c>
      <c r="GH47" s="6" t="s">
        <v>460</v>
      </c>
      <c r="GJ47" s="8">
        <f t="shared" si="44"/>
        <v>4</v>
      </c>
      <c r="GK47" s="1">
        <f t="shared" si="45"/>
        <v>1.337711050347134E-2</v>
      </c>
      <c r="GL47" s="5"/>
      <c r="GN47" s="6">
        <v>13.16</v>
      </c>
      <c r="GO47" s="6" t="s">
        <v>468</v>
      </c>
      <c r="GP47" s="6" t="s">
        <v>460</v>
      </c>
      <c r="GS47" s="6">
        <v>983.77</v>
      </c>
      <c r="GT47" s="6" t="s">
        <v>431</v>
      </c>
      <c r="GV47" s="8">
        <f t="shared" si="46"/>
        <v>2</v>
      </c>
      <c r="GW47" s="1">
        <f t="shared" si="47"/>
        <v>0.30647030317637614</v>
      </c>
      <c r="HA47" s="17">
        <v>1353.4396999999999</v>
      </c>
      <c r="HB47" s="6" t="s">
        <v>469</v>
      </c>
      <c r="HE47" s="17">
        <v>4416.2181</v>
      </c>
      <c r="HF47" s="6" t="s">
        <v>431</v>
      </c>
      <c r="HH47" s="8">
        <f t="shared" si="48"/>
        <v>3</v>
      </c>
      <c r="HI47" s="1">
        <f t="shared" si="49"/>
        <v>0.5209465577203628</v>
      </c>
      <c r="HM47" s="17">
        <v>282.387</v>
      </c>
      <c r="HN47" s="6" t="s">
        <v>460</v>
      </c>
      <c r="HQ47" s="17">
        <v>542.0652</v>
      </c>
      <c r="HR47" s="6" t="s">
        <v>144</v>
      </c>
      <c r="HT47" s="8">
        <f t="shared" si="50"/>
        <v>4</v>
      </c>
      <c r="HU47" s="10">
        <f t="shared" si="51"/>
        <v>0</v>
      </c>
      <c r="HY47" s="6">
        <v>0</v>
      </c>
      <c r="HZ47" s="6" t="s">
        <v>146</v>
      </c>
      <c r="IC47" s="6">
        <v>1010.74</v>
      </c>
      <c r="ID47" s="6" t="s">
        <v>431</v>
      </c>
      <c r="IR47" s="2">
        <f t="shared" si="52"/>
        <v>2</v>
      </c>
      <c r="IS47" s="1">
        <f t="shared" si="53"/>
        <v>2.8575204924451656</v>
      </c>
      <c r="IW47" s="6">
        <v>1496.08</v>
      </c>
      <c r="IX47" s="6" t="s">
        <v>469</v>
      </c>
      <c r="JA47" s="17">
        <v>523.55880000000002</v>
      </c>
      <c r="JB47" s="6" t="s">
        <v>431</v>
      </c>
      <c r="JD47" s="14">
        <f t="shared" si="54"/>
        <v>4</v>
      </c>
      <c r="JE47" s="1">
        <f t="shared" si="55"/>
        <v>9.6197277582529758E-2</v>
      </c>
      <c r="JI47" s="6">
        <v>253.63</v>
      </c>
      <c r="JJ47" s="6" t="s">
        <v>462</v>
      </c>
      <c r="JM47" s="6">
        <v>1.74</v>
      </c>
      <c r="JN47" s="6" t="s">
        <v>462</v>
      </c>
      <c r="JQ47" s="6">
        <v>1945.33</v>
      </c>
      <c r="JR47" s="6" t="s">
        <v>461</v>
      </c>
      <c r="JS47" s="6" t="s">
        <v>471</v>
      </c>
      <c r="JU47" s="6">
        <v>1085.2</v>
      </c>
      <c r="JV47" s="6" t="s">
        <v>462</v>
      </c>
      <c r="JW47" s="6" t="s">
        <v>471</v>
      </c>
      <c r="JX47" s="6">
        <v>1</v>
      </c>
      <c r="JY47" s="6" t="s">
        <v>246</v>
      </c>
      <c r="KB47" s="6">
        <v>1</v>
      </c>
      <c r="KC47" s="6" t="s">
        <v>245</v>
      </c>
      <c r="KD47" s="6" t="s">
        <v>460</v>
      </c>
      <c r="KF47" s="8">
        <f t="shared" si="56"/>
        <v>4</v>
      </c>
      <c r="KG47" s="1">
        <f t="shared" si="57"/>
        <v>1.5887804769970442</v>
      </c>
      <c r="KK47" s="6">
        <v>831.82</v>
      </c>
      <c r="KL47" s="6" t="s">
        <v>460</v>
      </c>
      <c r="KO47" s="15">
        <f>JA47</f>
        <v>523.55880000000002</v>
      </c>
      <c r="KP47" s="27" t="s">
        <v>431</v>
      </c>
    </row>
    <row r="48" spans="2:302" s="6" customFormat="1" ht="16.5" customHeight="1" x14ac:dyDescent="0.35">
      <c r="B48" s="6" t="s">
        <v>456</v>
      </c>
      <c r="C48" s="6" t="s">
        <v>170</v>
      </c>
      <c r="D48" s="6" t="s">
        <v>171</v>
      </c>
      <c r="E48" s="6" t="s">
        <v>172</v>
      </c>
      <c r="F48" s="6" t="s">
        <v>457</v>
      </c>
      <c r="G48" s="6" t="s">
        <v>249</v>
      </c>
      <c r="H48" s="16">
        <v>0.97170000000000001</v>
      </c>
      <c r="L48" s="3">
        <v>3</v>
      </c>
      <c r="M48" s="6" t="s">
        <v>458</v>
      </c>
      <c r="P48" s="6" t="s">
        <v>126</v>
      </c>
      <c r="Q48" s="6" t="s">
        <v>459</v>
      </c>
      <c r="R48" s="6" t="s">
        <v>460</v>
      </c>
      <c r="T48" s="6" t="s">
        <v>203</v>
      </c>
      <c r="U48" s="16">
        <v>0.64229999999999998</v>
      </c>
      <c r="W48" s="6" t="s">
        <v>473</v>
      </c>
      <c r="X48" s="6">
        <f t="shared" si="20"/>
        <v>1</v>
      </c>
      <c r="Y48" s="5">
        <f>(AC47-AK47)/AK47</f>
        <v>0.38301531093164864</v>
      </c>
      <c r="AC48" s="6">
        <v>876.97</v>
      </c>
      <c r="AD48" s="6" t="s">
        <v>461</v>
      </c>
      <c r="AG48" s="6">
        <v>785.06</v>
      </c>
      <c r="AH48" s="6" t="s">
        <v>461</v>
      </c>
      <c r="AK48" s="6" t="s">
        <v>37</v>
      </c>
      <c r="AN48" s="6">
        <f t="shared" si="22"/>
        <v>4</v>
      </c>
      <c r="AO48" s="16">
        <f>(AS48-AW48)/AW48</f>
        <v>-5.4418676266799478E-2</v>
      </c>
      <c r="AS48" s="6">
        <v>1289.6500000000001</v>
      </c>
      <c r="AT48" s="6" t="s">
        <v>461</v>
      </c>
      <c r="AW48" s="6">
        <v>1363.87</v>
      </c>
      <c r="AX48" s="6" t="s">
        <v>461</v>
      </c>
      <c r="BA48" s="6" t="s">
        <v>37</v>
      </c>
      <c r="BD48" s="2">
        <f t="shared" si="24"/>
        <v>1</v>
      </c>
      <c r="BE48" s="8">
        <f t="shared" si="2"/>
        <v>876.97</v>
      </c>
      <c r="BI48" s="8">
        <f t="shared" si="25"/>
        <v>876.97</v>
      </c>
      <c r="BJ48" s="6" t="s">
        <v>461</v>
      </c>
      <c r="BL48" s="2">
        <f t="shared" si="26"/>
        <v>1</v>
      </c>
      <c r="BM48" s="8">
        <f t="shared" si="27"/>
        <v>1289.6500000000001</v>
      </c>
      <c r="BQ48" s="8">
        <f t="shared" si="28"/>
        <v>1289.6500000000001</v>
      </c>
      <c r="BR48" s="6" t="s">
        <v>461</v>
      </c>
      <c r="BT48" s="8">
        <f t="shared" si="29"/>
        <v>1</v>
      </c>
      <c r="BU48" s="6">
        <v>2</v>
      </c>
      <c r="BY48" s="6">
        <v>2</v>
      </c>
      <c r="BZ48" s="6" t="s">
        <v>258</v>
      </c>
      <c r="CB48" s="6">
        <v>1</v>
      </c>
      <c r="CC48" s="6" t="str">
        <f>CF48</f>
        <v>一级</v>
      </c>
      <c r="CF48" s="6" t="s">
        <v>132</v>
      </c>
      <c r="CG48" s="6" t="s">
        <v>475</v>
      </c>
      <c r="CH48" s="6" t="s">
        <v>460</v>
      </c>
      <c r="CJ48" s="8">
        <f t="shared" si="30"/>
        <v>2</v>
      </c>
      <c r="CK48" s="12">
        <f t="shared" si="31"/>
        <v>1.9765328346465669</v>
      </c>
      <c r="CO48" s="6">
        <v>1733.36</v>
      </c>
      <c r="CP48" s="6" t="s">
        <v>476</v>
      </c>
      <c r="CS48" s="8">
        <f t="shared" si="32"/>
        <v>876.97</v>
      </c>
      <c r="CT48" s="6" t="s">
        <v>462</v>
      </c>
      <c r="CV48" s="8">
        <f t="shared" si="33"/>
        <v>0</v>
      </c>
      <c r="CW48" s="8" t="str">
        <f t="shared" si="34"/>
        <v>数据缺失</v>
      </c>
      <c r="DA48" s="6" t="s">
        <v>37</v>
      </c>
      <c r="DD48" s="8">
        <f t="shared" si="35"/>
        <v>0</v>
      </c>
      <c r="DE48" s="15" t="s">
        <v>37</v>
      </c>
      <c r="DI48" s="8">
        <f>AS48</f>
        <v>1289.6500000000001</v>
      </c>
      <c r="DJ48" s="6" t="s">
        <v>461</v>
      </c>
      <c r="DM48" s="13" t="str">
        <f>DA48</f>
        <v>数据缺失</v>
      </c>
      <c r="DP48" s="6">
        <v>5</v>
      </c>
      <c r="DQ48" s="6" t="s">
        <v>465</v>
      </c>
      <c r="DR48" s="6" t="s">
        <v>462</v>
      </c>
      <c r="DU48" s="16" t="s">
        <v>37</v>
      </c>
      <c r="DY48" s="16" t="s">
        <v>37</v>
      </c>
      <c r="EC48" s="16" t="s">
        <v>37</v>
      </c>
      <c r="EG48" s="16" t="s">
        <v>37</v>
      </c>
      <c r="EJ48" s="2">
        <f t="shared" si="39"/>
        <v>1</v>
      </c>
      <c r="EK48" s="8">
        <f t="shared" si="40"/>
        <v>1710.46</v>
      </c>
      <c r="EO48" s="6">
        <v>1710.46</v>
      </c>
      <c r="EP48" s="6" t="s">
        <v>461</v>
      </c>
      <c r="ER48" s="8">
        <f t="shared" si="41"/>
        <v>1</v>
      </c>
      <c r="ES48" s="6">
        <f t="shared" si="59"/>
        <v>1769</v>
      </c>
      <c r="EW48" s="6">
        <v>1769</v>
      </c>
      <c r="EX48" s="6" t="s">
        <v>461</v>
      </c>
      <c r="EZ48" s="8">
        <f t="shared" si="42"/>
        <v>1</v>
      </c>
      <c r="FA48" s="8">
        <f t="shared" si="43"/>
        <v>3494.01</v>
      </c>
      <c r="FE48" s="6">
        <v>3494.01</v>
      </c>
      <c r="FF48" s="6" t="s">
        <v>461</v>
      </c>
      <c r="FH48" s="6">
        <v>5</v>
      </c>
      <c r="FI48" s="6" t="s">
        <v>465</v>
      </c>
      <c r="FJ48" s="6" t="s">
        <v>462</v>
      </c>
      <c r="FM48" s="6" t="s">
        <v>37</v>
      </c>
      <c r="FQ48" s="6" t="s">
        <v>37</v>
      </c>
      <c r="FU48" s="6" t="s">
        <v>37</v>
      </c>
      <c r="FY48" s="6" t="s">
        <v>37</v>
      </c>
      <c r="GB48" s="6">
        <v>2</v>
      </c>
      <c r="GC48" s="6" t="s">
        <v>483</v>
      </c>
      <c r="GG48" s="6" t="s">
        <v>483</v>
      </c>
      <c r="GH48" s="6" t="s">
        <v>484</v>
      </c>
      <c r="GJ48" s="8">
        <f t="shared" si="44"/>
        <v>3</v>
      </c>
      <c r="GK48" s="1">
        <f t="shared" si="45"/>
        <v>5.1524780361995939E-2</v>
      </c>
      <c r="GN48" s="6">
        <v>43.48</v>
      </c>
      <c r="GO48" s="6" t="s">
        <v>485</v>
      </c>
      <c r="GP48" s="6" t="s">
        <v>476</v>
      </c>
      <c r="GS48" s="17">
        <v>843.86580000000004</v>
      </c>
      <c r="GT48" s="6" t="s">
        <v>144</v>
      </c>
      <c r="GV48" s="8">
        <f t="shared" si="46"/>
        <v>0</v>
      </c>
      <c r="GW48" s="6" t="s">
        <v>37</v>
      </c>
      <c r="HA48" s="6" t="s">
        <v>37</v>
      </c>
      <c r="HE48" s="17">
        <v>3031.4729000000002</v>
      </c>
      <c r="HF48" s="6" t="s">
        <v>144</v>
      </c>
      <c r="HH48" s="8">
        <f t="shared" si="48"/>
        <v>0</v>
      </c>
      <c r="HI48" s="6" t="s">
        <v>37</v>
      </c>
      <c r="HM48" s="6" t="s">
        <v>37</v>
      </c>
      <c r="HQ48" s="17">
        <v>409.5489</v>
      </c>
      <c r="HR48" s="6" t="s">
        <v>144</v>
      </c>
      <c r="HT48" s="8">
        <f t="shared" si="50"/>
        <v>4</v>
      </c>
      <c r="HU48" s="10">
        <f t="shared" si="51"/>
        <v>0</v>
      </c>
      <c r="HY48" s="6">
        <v>0</v>
      </c>
      <c r="HZ48" s="6" t="s">
        <v>469</v>
      </c>
      <c r="IC48" s="17">
        <v>662.91899999999998</v>
      </c>
      <c r="ID48" s="6" t="s">
        <v>431</v>
      </c>
      <c r="IR48" s="2">
        <f t="shared" si="52"/>
        <v>0</v>
      </c>
      <c r="IS48" s="6" t="s">
        <v>37</v>
      </c>
      <c r="IW48" s="6" t="s">
        <v>37</v>
      </c>
      <c r="JA48" s="17">
        <v>447.12490000000003</v>
      </c>
      <c r="JB48" s="6" t="s">
        <v>431</v>
      </c>
      <c r="JD48" s="14">
        <f t="shared" si="54"/>
        <v>3</v>
      </c>
      <c r="JE48" s="1">
        <f t="shared" si="55"/>
        <v>7.9027167841348445E-2</v>
      </c>
      <c r="JI48" s="6">
        <v>184.2</v>
      </c>
      <c r="JJ48" s="6" t="s">
        <v>461</v>
      </c>
      <c r="JM48" s="6">
        <v>3.04</v>
      </c>
      <c r="JN48" s="6" t="s">
        <v>461</v>
      </c>
      <c r="JQ48" s="6">
        <v>1085.2</v>
      </c>
      <c r="JR48" s="6" t="s">
        <v>462</v>
      </c>
      <c r="JS48" s="6" t="s">
        <v>471</v>
      </c>
      <c r="JU48" s="6">
        <v>448.25</v>
      </c>
      <c r="JV48" s="6" t="s">
        <v>461</v>
      </c>
      <c r="JW48" s="6" t="s">
        <v>471</v>
      </c>
      <c r="JX48" s="6">
        <v>1</v>
      </c>
      <c r="JY48" s="6" t="s">
        <v>246</v>
      </c>
      <c r="KB48" s="6">
        <v>1</v>
      </c>
      <c r="KC48" s="6" t="s">
        <v>246</v>
      </c>
      <c r="KD48" s="6" t="s">
        <v>484</v>
      </c>
      <c r="KF48" s="8">
        <f t="shared" si="56"/>
        <v>0</v>
      </c>
      <c r="KG48" s="6" t="s">
        <v>37</v>
      </c>
      <c r="KK48" s="6" t="s">
        <v>37</v>
      </c>
      <c r="KO48" s="15">
        <f>JA48</f>
        <v>447.12490000000003</v>
      </c>
      <c r="KP48" s="6" t="s">
        <v>144</v>
      </c>
    </row>
    <row r="49" spans="2:302" s="6" customFormat="1" ht="16.5" customHeight="1" x14ac:dyDescent="0.35">
      <c r="B49" s="6" t="s">
        <v>488</v>
      </c>
      <c r="C49" s="6" t="s">
        <v>170</v>
      </c>
      <c r="D49" s="6" t="s">
        <v>196</v>
      </c>
      <c r="E49" s="6" t="s">
        <v>172</v>
      </c>
      <c r="F49" s="6" t="s">
        <v>490</v>
      </c>
      <c r="G49" s="6" t="s">
        <v>174</v>
      </c>
      <c r="H49" s="16">
        <v>0.88959999999999995</v>
      </c>
      <c r="L49" s="3">
        <v>4</v>
      </c>
      <c r="M49" s="6" t="s">
        <v>1234</v>
      </c>
      <c r="P49" s="28" t="s">
        <v>117</v>
      </c>
      <c r="Q49" s="6" t="s">
        <v>506</v>
      </c>
      <c r="R49" s="6" t="s">
        <v>491</v>
      </c>
      <c r="T49" s="6" t="s">
        <v>129</v>
      </c>
      <c r="U49" s="16">
        <v>0.26019999999999999</v>
      </c>
      <c r="X49" s="8">
        <f t="shared" si="20"/>
        <v>1</v>
      </c>
      <c r="Y49" s="1">
        <f t="shared" si="21"/>
        <v>0.32612272641314499</v>
      </c>
      <c r="AC49" s="6">
        <v>84.77</v>
      </c>
      <c r="AD49" s="6" t="s">
        <v>491</v>
      </c>
      <c r="AG49" s="6">
        <v>61.19</v>
      </c>
      <c r="AH49" s="6" t="s">
        <v>491</v>
      </c>
      <c r="AK49" s="17">
        <v>48.299441000000002</v>
      </c>
      <c r="AL49" s="6" t="s">
        <v>493</v>
      </c>
      <c r="AN49" s="8">
        <f t="shared" si="22"/>
        <v>1</v>
      </c>
      <c r="AO49" s="1">
        <f t="shared" si="23"/>
        <v>0.52451712365610559</v>
      </c>
      <c r="AS49" s="6">
        <v>103.89</v>
      </c>
      <c r="AT49" s="6" t="s">
        <v>491</v>
      </c>
      <c r="AW49" s="6">
        <v>56.91</v>
      </c>
      <c r="AX49" s="6" t="s">
        <v>491</v>
      </c>
      <c r="BA49" s="17">
        <v>46.513328000000001</v>
      </c>
      <c r="BB49" s="6" t="s">
        <v>493</v>
      </c>
      <c r="BD49" s="2">
        <f t="shared" si="24"/>
        <v>4</v>
      </c>
      <c r="BE49" s="8">
        <f t="shared" si="2"/>
        <v>84.77</v>
      </c>
      <c r="BI49" s="8">
        <f t="shared" si="25"/>
        <v>84.77</v>
      </c>
      <c r="BJ49" s="6" t="s">
        <v>491</v>
      </c>
      <c r="BL49" s="2">
        <f t="shared" si="26"/>
        <v>3</v>
      </c>
      <c r="BM49" s="8">
        <f t="shared" si="27"/>
        <v>103.89</v>
      </c>
      <c r="BQ49" s="8">
        <f t="shared" si="28"/>
        <v>103.89</v>
      </c>
      <c r="BR49" s="6" t="s">
        <v>491</v>
      </c>
      <c r="BT49" s="8">
        <f t="shared" si="29"/>
        <v>3</v>
      </c>
      <c r="BU49" s="6">
        <v>149</v>
      </c>
      <c r="BY49" s="6">
        <v>149</v>
      </c>
      <c r="BZ49" s="6" t="s">
        <v>234</v>
      </c>
      <c r="CA49" s="6" t="s">
        <v>494</v>
      </c>
      <c r="CB49" s="36">
        <v>1</v>
      </c>
      <c r="CC49" s="36" t="s">
        <v>133</v>
      </c>
      <c r="CD49" s="36"/>
      <c r="CE49" s="36"/>
      <c r="CF49" s="36" t="s">
        <v>133</v>
      </c>
      <c r="CG49" s="36" t="s">
        <v>698</v>
      </c>
      <c r="CH49" s="47" t="s">
        <v>699</v>
      </c>
      <c r="CI49" s="6" t="s">
        <v>1245</v>
      </c>
      <c r="CJ49" s="8">
        <f t="shared" si="30"/>
        <v>0</v>
      </c>
      <c r="CK49" s="39" t="s">
        <v>37</v>
      </c>
      <c r="CO49" s="6" t="s">
        <v>37</v>
      </c>
      <c r="CS49" s="8">
        <f t="shared" si="32"/>
        <v>84.77</v>
      </c>
      <c r="CT49" s="6" t="s">
        <v>491</v>
      </c>
      <c r="CV49" s="8">
        <f t="shared" si="33"/>
        <v>3</v>
      </c>
      <c r="CW49" s="8">
        <f t="shared" si="34"/>
        <v>767.12</v>
      </c>
      <c r="DA49" s="6">
        <v>767.12</v>
      </c>
      <c r="DB49" s="6" t="s">
        <v>491</v>
      </c>
      <c r="DD49" s="8">
        <f t="shared" si="35"/>
        <v>2</v>
      </c>
      <c r="DE49" s="15">
        <f t="shared" si="36"/>
        <v>7.3839638078737124</v>
      </c>
      <c r="DI49" s="8">
        <f>AS49</f>
        <v>103.89</v>
      </c>
      <c r="DJ49" s="6" t="str">
        <f>AT49</f>
        <v>评级20160620</v>
      </c>
      <c r="DM49" s="13">
        <f>DA49</f>
        <v>767.12</v>
      </c>
      <c r="DN49" s="23" t="str">
        <f>DB49</f>
        <v>评级20160620</v>
      </c>
      <c r="DP49" s="6">
        <v>3</v>
      </c>
      <c r="DQ49" s="6" t="s">
        <v>495</v>
      </c>
      <c r="DU49" s="16">
        <v>0.02</v>
      </c>
      <c r="DV49" s="6" t="s">
        <v>146</v>
      </c>
      <c r="DY49" s="16">
        <v>0.75839999999999996</v>
      </c>
      <c r="DZ49" s="6" t="s">
        <v>146</v>
      </c>
      <c r="EC49" s="16">
        <v>0</v>
      </c>
      <c r="ED49" s="6" t="s">
        <v>146</v>
      </c>
      <c r="EG49" s="16">
        <v>0.22159999999999999</v>
      </c>
      <c r="EH49" s="6" t="s">
        <v>496</v>
      </c>
      <c r="EJ49" s="2">
        <f t="shared" si="39"/>
        <v>3</v>
      </c>
      <c r="EK49" s="8">
        <f t="shared" si="40"/>
        <v>43.55</v>
      </c>
      <c r="EO49" s="6">
        <v>43.55</v>
      </c>
      <c r="EP49" s="6" t="s">
        <v>497</v>
      </c>
      <c r="ER49" s="8">
        <f t="shared" si="41"/>
        <v>1</v>
      </c>
      <c r="ES49" s="6">
        <f t="shared" si="59"/>
        <v>126.67</v>
      </c>
      <c r="EW49" s="6">
        <v>126.67</v>
      </c>
      <c r="EX49" s="6" t="s">
        <v>491</v>
      </c>
      <c r="EZ49" s="8">
        <f t="shared" si="42"/>
        <v>1</v>
      </c>
      <c r="FA49" s="8">
        <f t="shared" si="43"/>
        <v>234.78</v>
      </c>
      <c r="FE49" s="6">
        <v>234.78</v>
      </c>
      <c r="FF49" s="6" t="s">
        <v>491</v>
      </c>
      <c r="FH49" s="6">
        <v>3</v>
      </c>
      <c r="FI49" s="6" t="s">
        <v>498</v>
      </c>
      <c r="FM49" s="6" t="s">
        <v>37</v>
      </c>
      <c r="FQ49" s="6" t="s">
        <v>37</v>
      </c>
      <c r="FU49" s="6" t="s">
        <v>37</v>
      </c>
      <c r="FY49" s="6" t="s">
        <v>37</v>
      </c>
      <c r="GB49" s="6">
        <v>2</v>
      </c>
      <c r="GC49" s="6" t="s">
        <v>499</v>
      </c>
      <c r="GG49" s="6" t="s">
        <v>499</v>
      </c>
      <c r="GH49" s="6" t="s">
        <v>146</v>
      </c>
      <c r="GJ49" s="8">
        <f t="shared" si="44"/>
        <v>0</v>
      </c>
      <c r="GK49" s="6" t="s">
        <v>37</v>
      </c>
      <c r="GN49" s="6" t="s">
        <v>37</v>
      </c>
      <c r="GO49" s="6" t="s">
        <v>37</v>
      </c>
      <c r="GS49" s="17">
        <v>80.288697073199998</v>
      </c>
      <c r="GT49" s="6" t="s">
        <v>431</v>
      </c>
      <c r="GV49" s="8">
        <f t="shared" si="46"/>
        <v>1</v>
      </c>
      <c r="GW49" s="1">
        <f t="shared" si="47"/>
        <v>5.0757461990871479E-2</v>
      </c>
      <c r="HA49" s="17">
        <v>19.996005220000001</v>
      </c>
      <c r="HB49" s="6" t="s">
        <v>146</v>
      </c>
      <c r="HE49" s="17">
        <v>393.95203061170002</v>
      </c>
      <c r="HF49" s="6" t="s">
        <v>431</v>
      </c>
      <c r="HH49" s="8">
        <f t="shared" si="48"/>
        <v>1</v>
      </c>
      <c r="HI49" s="1">
        <f t="shared" si="49"/>
        <v>0.16946380087548363</v>
      </c>
      <c r="HM49" s="17">
        <v>10.36626</v>
      </c>
      <c r="HN49" s="6" t="s">
        <v>146</v>
      </c>
      <c r="HQ49" s="17">
        <v>61.170940026399997</v>
      </c>
      <c r="HR49" s="6" t="s">
        <v>431</v>
      </c>
      <c r="HT49" s="8">
        <f t="shared" si="50"/>
        <v>4</v>
      </c>
      <c r="HU49" s="10">
        <f t="shared" si="51"/>
        <v>2.6755328326520788E-2</v>
      </c>
      <c r="HY49" s="6">
        <v>1.6</v>
      </c>
      <c r="HZ49" s="6" t="s">
        <v>496</v>
      </c>
      <c r="IC49" s="17">
        <v>59.80117233</v>
      </c>
      <c r="ID49" s="6" t="s">
        <v>144</v>
      </c>
      <c r="IR49" s="2">
        <f t="shared" si="52"/>
        <v>3</v>
      </c>
      <c r="IS49" s="1">
        <f t="shared" si="53"/>
        <v>1.0941310597301031</v>
      </c>
      <c r="IW49" s="6">
        <v>118.08</v>
      </c>
      <c r="IX49" s="6" t="s">
        <v>224</v>
      </c>
      <c r="JA49" s="17">
        <v>107.92125765</v>
      </c>
      <c r="JB49" s="6" t="s">
        <v>144</v>
      </c>
      <c r="JD49" s="14">
        <f t="shared" si="54"/>
        <v>4</v>
      </c>
      <c r="JE49" s="1">
        <f t="shared" si="55"/>
        <v>9.2665021176375262E-2</v>
      </c>
      <c r="JI49" s="6">
        <v>14.18</v>
      </c>
      <c r="JJ49" s="6" t="s">
        <v>497</v>
      </c>
      <c r="JM49" s="6">
        <v>0.99</v>
      </c>
      <c r="JN49" s="6" t="s">
        <v>502</v>
      </c>
      <c r="JQ49" s="6">
        <v>169.32</v>
      </c>
      <c r="JR49" s="6" t="s">
        <v>502</v>
      </c>
      <c r="JS49" s="6" t="s">
        <v>471</v>
      </c>
      <c r="JU49" s="6">
        <v>139.82</v>
      </c>
      <c r="JV49" s="6" t="s">
        <v>497</v>
      </c>
      <c r="JW49" s="6" t="s">
        <v>503</v>
      </c>
      <c r="JX49" s="6">
        <v>2</v>
      </c>
      <c r="JY49" s="6" t="s">
        <v>504</v>
      </c>
      <c r="KB49" s="6">
        <v>11</v>
      </c>
      <c r="KC49" s="6" t="s">
        <v>504</v>
      </c>
      <c r="KD49" s="6" t="s">
        <v>496</v>
      </c>
      <c r="KF49" s="8">
        <f t="shared" si="56"/>
        <v>1</v>
      </c>
      <c r="KG49" s="1">
        <f t="shared" si="57"/>
        <v>0.18298726710585178</v>
      </c>
      <c r="KK49" s="17">
        <v>19.748215999999999</v>
      </c>
      <c r="KL49" s="6" t="s">
        <v>496</v>
      </c>
      <c r="KO49" s="15">
        <f>JA49</f>
        <v>107.92125765</v>
      </c>
      <c r="KP49" s="6" t="s">
        <v>144</v>
      </c>
    </row>
    <row r="50" spans="2:302" s="6" customFormat="1" ht="16.5" customHeight="1" x14ac:dyDescent="0.35">
      <c r="B50" s="6" t="s">
        <v>488</v>
      </c>
      <c r="C50" s="6" t="s">
        <v>170</v>
      </c>
      <c r="D50" s="6" t="s">
        <v>171</v>
      </c>
      <c r="E50" s="6" t="s">
        <v>172</v>
      </c>
      <c r="F50" s="6" t="s">
        <v>505</v>
      </c>
      <c r="G50" s="6" t="s">
        <v>249</v>
      </c>
      <c r="H50" s="16">
        <v>0.7671</v>
      </c>
      <c r="L50" s="3">
        <v>4</v>
      </c>
      <c r="M50" s="6" t="s">
        <v>1234</v>
      </c>
      <c r="P50" s="28" t="s">
        <v>117</v>
      </c>
      <c r="Q50" s="6" t="s">
        <v>506</v>
      </c>
      <c r="R50" s="6" t="s">
        <v>366</v>
      </c>
      <c r="T50" s="6" t="s">
        <v>129</v>
      </c>
      <c r="U50" s="16">
        <v>0.26019999999999999</v>
      </c>
      <c r="X50" s="8">
        <f t="shared" si="20"/>
        <v>5</v>
      </c>
      <c r="Y50" s="1">
        <f t="shared" si="21"/>
        <v>-0.13352065744551689</v>
      </c>
      <c r="AC50" s="17">
        <v>48.299441000000002</v>
      </c>
      <c r="AD50" s="6" t="s">
        <v>493</v>
      </c>
      <c r="AG50" s="6">
        <v>66.822400000000002</v>
      </c>
      <c r="AH50" s="6" t="s">
        <v>493</v>
      </c>
      <c r="AK50" s="6">
        <v>66.150604999999999</v>
      </c>
      <c r="AL50" s="6" t="s">
        <v>493</v>
      </c>
      <c r="AN50" s="8">
        <f t="shared" si="22"/>
        <v>5</v>
      </c>
      <c r="AO50" s="1">
        <f t="shared" si="23"/>
        <v>-0.17443111388108451</v>
      </c>
      <c r="AS50" s="17">
        <v>46.513328000000001</v>
      </c>
      <c r="AT50" s="6" t="s">
        <v>493</v>
      </c>
      <c r="AW50" s="6">
        <v>73.341250000000002</v>
      </c>
      <c r="AX50" s="6" t="s">
        <v>493</v>
      </c>
      <c r="BA50" s="6">
        <v>72.12</v>
      </c>
      <c r="BB50" s="6" t="s">
        <v>493</v>
      </c>
      <c r="BD50" s="2">
        <f t="shared" si="24"/>
        <v>5</v>
      </c>
      <c r="BE50" s="8">
        <f t="shared" si="2"/>
        <v>48.299441000000002</v>
      </c>
      <c r="BI50" s="8">
        <f t="shared" si="25"/>
        <v>48.299441000000002</v>
      </c>
      <c r="BJ50" s="6" t="s">
        <v>493</v>
      </c>
      <c r="BL50" s="2">
        <f t="shared" si="26"/>
        <v>5</v>
      </c>
      <c r="BM50" s="8">
        <f t="shared" si="27"/>
        <v>46.513328000000001</v>
      </c>
      <c r="BQ50" s="8">
        <f t="shared" si="28"/>
        <v>46.513328000000001</v>
      </c>
      <c r="BR50" s="6" t="s">
        <v>493</v>
      </c>
      <c r="BT50" s="102">
        <f t="shared" si="29"/>
        <v>3</v>
      </c>
      <c r="BU50" s="102">
        <v>126</v>
      </c>
      <c r="BV50" s="102"/>
      <c r="BW50" s="102"/>
      <c r="BX50" s="102"/>
      <c r="BY50" s="110">
        <v>126</v>
      </c>
      <c r="BZ50" s="102" t="s">
        <v>1238</v>
      </c>
      <c r="CA50" s="102" t="s">
        <v>494</v>
      </c>
      <c r="CB50" s="36">
        <v>1</v>
      </c>
      <c r="CC50" s="36" t="s">
        <v>133</v>
      </c>
      <c r="CD50" s="36"/>
      <c r="CE50" s="36"/>
      <c r="CF50" s="36" t="s">
        <v>133</v>
      </c>
      <c r="CG50" s="36" t="s">
        <v>698</v>
      </c>
      <c r="CH50" s="47" t="s">
        <v>699</v>
      </c>
      <c r="CI50" s="6" t="s">
        <v>1245</v>
      </c>
      <c r="CJ50" s="8">
        <f t="shared" si="30"/>
        <v>0</v>
      </c>
      <c r="CK50" s="39" t="s">
        <v>37</v>
      </c>
      <c r="CO50" s="6" t="s">
        <v>37</v>
      </c>
      <c r="CS50" s="8">
        <f t="shared" si="32"/>
        <v>48.299441000000002</v>
      </c>
      <c r="CT50" s="6" t="s">
        <v>493</v>
      </c>
      <c r="CV50" s="8">
        <f t="shared" si="33"/>
        <v>4</v>
      </c>
      <c r="CW50" s="8">
        <f t="shared" si="34"/>
        <v>317.08</v>
      </c>
      <c r="DA50" s="6">
        <v>317.08</v>
      </c>
      <c r="DB50" s="6" t="s">
        <v>507</v>
      </c>
      <c r="DD50" s="8">
        <f t="shared" si="35"/>
        <v>2</v>
      </c>
      <c r="DE50" s="15">
        <f t="shared" si="36"/>
        <v>6.8169708260823647</v>
      </c>
      <c r="DI50" s="8">
        <f>AS50</f>
        <v>46.513328000000001</v>
      </c>
      <c r="DJ50" s="6" t="s">
        <v>493</v>
      </c>
      <c r="DM50" s="13">
        <f>DA50</f>
        <v>317.08</v>
      </c>
      <c r="DN50" s="6" t="s">
        <v>507</v>
      </c>
      <c r="DP50" s="6">
        <v>3</v>
      </c>
      <c r="DQ50" s="6" t="s">
        <v>508</v>
      </c>
      <c r="DU50" s="16">
        <v>2.0799999999999999E-2</v>
      </c>
      <c r="DV50" s="23" t="s">
        <v>507</v>
      </c>
      <c r="DY50" s="16">
        <v>0.77710000000000001</v>
      </c>
      <c r="DZ50" s="6" t="s">
        <v>507</v>
      </c>
      <c r="EC50" s="16">
        <v>0</v>
      </c>
      <c r="ED50" s="6" t="s">
        <v>507</v>
      </c>
      <c r="EG50" s="16">
        <v>0.20219999999999999</v>
      </c>
      <c r="EH50" s="6" t="s">
        <v>507</v>
      </c>
      <c r="EJ50" s="2">
        <f t="shared" si="39"/>
        <v>2</v>
      </c>
      <c r="EK50" s="8">
        <f t="shared" si="40"/>
        <v>83</v>
      </c>
      <c r="EO50" s="6">
        <v>83</v>
      </c>
      <c r="EP50" s="6" t="s">
        <v>502</v>
      </c>
      <c r="ER50" s="8">
        <f t="shared" si="41"/>
        <v>2</v>
      </c>
      <c r="ES50" s="6">
        <f t="shared" si="59"/>
        <v>89</v>
      </c>
      <c r="EW50" s="6">
        <v>89</v>
      </c>
      <c r="EX50" s="6" t="s">
        <v>502</v>
      </c>
      <c r="EZ50" s="8">
        <f t="shared" si="42"/>
        <v>1</v>
      </c>
      <c r="FA50" s="8">
        <f t="shared" si="43"/>
        <v>337</v>
      </c>
      <c r="FE50" s="6">
        <v>337</v>
      </c>
      <c r="FF50" s="6" t="s">
        <v>502</v>
      </c>
      <c r="FH50" s="6">
        <v>3</v>
      </c>
      <c r="FI50" s="6" t="s">
        <v>509</v>
      </c>
      <c r="FM50" s="6" t="s">
        <v>37</v>
      </c>
      <c r="FQ50" s="6" t="s">
        <v>37</v>
      </c>
      <c r="FU50" s="6" t="s">
        <v>37</v>
      </c>
      <c r="FY50" s="6" t="s">
        <v>37</v>
      </c>
      <c r="GB50" s="6">
        <v>2</v>
      </c>
      <c r="GC50" s="6" t="s">
        <v>510</v>
      </c>
      <c r="GG50" s="6" t="s">
        <v>510</v>
      </c>
      <c r="GH50" s="6" t="s">
        <v>366</v>
      </c>
      <c r="GJ50" s="8">
        <f t="shared" si="44"/>
        <v>0</v>
      </c>
      <c r="GK50" s="6" t="s">
        <v>37</v>
      </c>
      <c r="GN50" s="6" t="s">
        <v>37</v>
      </c>
      <c r="GO50" s="6" t="s">
        <v>37</v>
      </c>
      <c r="GS50" s="17">
        <v>76.626824065999998</v>
      </c>
      <c r="GT50" s="6" t="s">
        <v>431</v>
      </c>
      <c r="GV50" s="8">
        <f t="shared" si="46"/>
        <v>0</v>
      </c>
      <c r="GW50" s="6" t="s">
        <v>37</v>
      </c>
      <c r="HA50" s="6" t="s">
        <v>37</v>
      </c>
      <c r="HE50" s="17">
        <v>271.10988725250002</v>
      </c>
      <c r="HF50" s="6" t="s">
        <v>431</v>
      </c>
      <c r="HH50" s="8">
        <f t="shared" si="48"/>
        <v>2</v>
      </c>
      <c r="HI50" s="1">
        <f t="shared" si="49"/>
        <v>0.28447699602049803</v>
      </c>
      <c r="HM50" s="6">
        <v>6.9130900000000004</v>
      </c>
      <c r="HN50" s="6" t="s">
        <v>366</v>
      </c>
      <c r="HQ50" s="17">
        <v>24.301051040000001</v>
      </c>
      <c r="HR50" s="6" t="s">
        <v>431</v>
      </c>
      <c r="HT50" s="8">
        <f t="shared" si="50"/>
        <v>4</v>
      </c>
      <c r="HU50" s="10">
        <f t="shared" si="51"/>
        <v>0</v>
      </c>
      <c r="HY50" s="6">
        <v>0</v>
      </c>
      <c r="HZ50" s="6" t="s">
        <v>366</v>
      </c>
      <c r="IC50" s="6">
        <v>53.05</v>
      </c>
      <c r="ID50" s="6" t="s">
        <v>431</v>
      </c>
      <c r="IR50" s="2">
        <f t="shared" si="52"/>
        <v>3</v>
      </c>
      <c r="IS50" s="1">
        <f t="shared" si="53"/>
        <v>1.5669306243387102</v>
      </c>
      <c r="IW50" s="6">
        <v>139.47999999999999</v>
      </c>
      <c r="IX50" s="6" t="s">
        <v>224</v>
      </c>
      <c r="JA50" s="17">
        <v>89.014789699999994</v>
      </c>
      <c r="JB50" s="6" t="s">
        <v>431</v>
      </c>
      <c r="JD50" s="14">
        <f t="shared" si="54"/>
        <v>4</v>
      </c>
      <c r="JE50" s="1">
        <f t="shared" si="55"/>
        <v>8.7864521847209789E-2</v>
      </c>
      <c r="JI50" s="6">
        <v>13.17</v>
      </c>
      <c r="JJ50" s="6" t="s">
        <v>502</v>
      </c>
      <c r="JM50" s="6">
        <v>1.87</v>
      </c>
      <c r="JN50" s="6" t="s">
        <v>502</v>
      </c>
      <c r="JQ50" s="6">
        <v>86.01</v>
      </c>
      <c r="JR50" s="6" t="s">
        <v>502</v>
      </c>
      <c r="JS50" s="6" t="s">
        <v>471</v>
      </c>
      <c r="JU50" s="6">
        <v>74.3</v>
      </c>
      <c r="JV50" s="6" t="s">
        <v>512</v>
      </c>
      <c r="JW50" s="6" t="s">
        <v>503</v>
      </c>
      <c r="JX50" s="6">
        <v>2</v>
      </c>
      <c r="JY50" s="6" t="s">
        <v>504</v>
      </c>
      <c r="KB50" s="6">
        <v>12</v>
      </c>
      <c r="KC50" s="6" t="s">
        <v>504</v>
      </c>
      <c r="KD50" s="6" t="s">
        <v>366</v>
      </c>
      <c r="KF50" s="8">
        <f t="shared" si="56"/>
        <v>1</v>
      </c>
      <c r="KG50" s="1">
        <f t="shared" si="57"/>
        <v>0.15949962975646956</v>
      </c>
      <c r="KK50" s="17">
        <v>14.197825999999999</v>
      </c>
      <c r="KL50" s="6" t="s">
        <v>366</v>
      </c>
      <c r="KO50" s="15">
        <f>JA50</f>
        <v>89.014789699999994</v>
      </c>
      <c r="KP50" s="6" t="s">
        <v>431</v>
      </c>
    </row>
    <row r="51" spans="2:302" s="62" customFormat="1" ht="16.5" hidden="1" customHeight="1" x14ac:dyDescent="0.35">
      <c r="F51" s="63"/>
      <c r="G51" s="63"/>
      <c r="L51" s="64"/>
      <c r="Y51" s="99"/>
      <c r="AO51" s="99"/>
      <c r="BD51" s="64"/>
      <c r="BL51" s="64"/>
      <c r="CK51" s="100"/>
      <c r="CV51" s="62">
        <f t="shared" si="33"/>
        <v>5</v>
      </c>
      <c r="CW51" s="62">
        <f t="shared" si="34"/>
        <v>0</v>
      </c>
      <c r="DE51" s="153"/>
      <c r="DU51" s="65"/>
      <c r="DY51" s="65"/>
      <c r="EC51" s="65"/>
      <c r="EG51" s="65"/>
      <c r="EJ51" s="64"/>
      <c r="ES51" s="63">
        <f t="shared" si="59"/>
        <v>0</v>
      </c>
      <c r="GK51" s="99"/>
      <c r="GW51" s="99"/>
      <c r="HI51" s="99"/>
      <c r="HT51" s="62">
        <f t="shared" si="50"/>
        <v>4</v>
      </c>
      <c r="HU51" s="65"/>
      <c r="IR51" s="64"/>
      <c r="IS51" s="99"/>
      <c r="KG51" s="99"/>
    </row>
    <row r="52" spans="2:302" s="36" customFormat="1" ht="16.5" customHeight="1" x14ac:dyDescent="0.35">
      <c r="B52" s="39" t="s">
        <v>858</v>
      </c>
      <c r="C52" s="36" t="s">
        <v>520</v>
      </c>
      <c r="D52" s="36" t="s">
        <v>325</v>
      </c>
      <c r="E52" s="36" t="s">
        <v>172</v>
      </c>
      <c r="F52" s="36" t="s">
        <v>862</v>
      </c>
      <c r="G52" s="36" t="s">
        <v>199</v>
      </c>
      <c r="H52" s="40">
        <f>(122.96+1.24)/124.74</f>
        <v>0.9956709956709956</v>
      </c>
      <c r="L52" s="42">
        <v>3</v>
      </c>
      <c r="M52" s="39" t="s">
        <v>863</v>
      </c>
      <c r="N52" s="39"/>
      <c r="O52" s="39"/>
      <c r="P52" s="39" t="s">
        <v>864</v>
      </c>
      <c r="Q52" s="39" t="s">
        <v>865</v>
      </c>
      <c r="R52" s="39" t="s">
        <v>695</v>
      </c>
      <c r="T52" s="39" t="s">
        <v>203</v>
      </c>
      <c r="U52" s="40">
        <f>0.45346+0.4638*0.54654</f>
        <v>0.70694525199999991</v>
      </c>
      <c r="X52" s="8">
        <f t="shared" si="20"/>
        <v>3</v>
      </c>
      <c r="Y52" s="1">
        <f t="shared" si="21"/>
        <v>9.1353853776103638E-2</v>
      </c>
      <c r="AC52" s="83">
        <v>98.62</v>
      </c>
      <c r="AD52" s="39" t="s">
        <v>695</v>
      </c>
      <c r="AG52" s="83">
        <v>112.2</v>
      </c>
      <c r="AH52" s="39" t="s">
        <v>695</v>
      </c>
      <c r="AK52" s="36">
        <v>86.06</v>
      </c>
      <c r="AL52" s="39" t="s">
        <v>695</v>
      </c>
      <c r="AN52" s="8">
        <f t="shared" si="22"/>
        <v>4</v>
      </c>
      <c r="AO52" s="1">
        <f t="shared" si="23"/>
        <v>-5.0681885710053262E-2</v>
      </c>
      <c r="AS52" s="83">
        <v>59.94</v>
      </c>
      <c r="AT52" s="39" t="s">
        <v>695</v>
      </c>
      <c r="AW52" s="83">
        <v>77.19</v>
      </c>
      <c r="AX52" s="39" t="s">
        <v>695</v>
      </c>
      <c r="BA52" s="4">
        <v>68.790000000000006</v>
      </c>
      <c r="BB52" s="39" t="s">
        <v>695</v>
      </c>
      <c r="BD52" s="2">
        <f t="shared" si="24"/>
        <v>4</v>
      </c>
      <c r="BE52" s="8">
        <f t="shared" si="2"/>
        <v>98.62</v>
      </c>
      <c r="BI52" s="83">
        <v>98.62</v>
      </c>
      <c r="BJ52" s="39" t="s">
        <v>695</v>
      </c>
      <c r="BL52" s="2">
        <f t="shared" si="26"/>
        <v>4</v>
      </c>
      <c r="BM52" s="8">
        <f t="shared" si="27"/>
        <v>59.94</v>
      </c>
      <c r="BQ52" s="83">
        <v>59.94</v>
      </c>
      <c r="BR52" s="39" t="s">
        <v>695</v>
      </c>
      <c r="BT52" s="8">
        <f t="shared" si="29"/>
        <v>2</v>
      </c>
      <c r="BU52" s="39">
        <v>36</v>
      </c>
      <c r="BV52" s="39"/>
      <c r="BW52" s="39"/>
      <c r="BX52" s="39"/>
      <c r="BY52" s="39">
        <v>36</v>
      </c>
      <c r="BZ52" s="39" t="s">
        <v>398</v>
      </c>
      <c r="CB52" s="39">
        <v>1</v>
      </c>
      <c r="CC52" s="39" t="str">
        <f>CF52</f>
        <v>一级</v>
      </c>
      <c r="CD52" s="39"/>
      <c r="CE52" s="39"/>
      <c r="CF52" s="39" t="s">
        <v>132</v>
      </c>
      <c r="CG52" s="39" t="s">
        <v>868</v>
      </c>
      <c r="CH52" s="39" t="s">
        <v>695</v>
      </c>
      <c r="CJ52" s="8">
        <f t="shared" si="30"/>
        <v>2</v>
      </c>
      <c r="CK52" s="12">
        <f t="shared" si="31"/>
        <v>0.10348331664998332</v>
      </c>
      <c r="CO52" s="38">
        <f>6.82*90.95%</f>
        <v>6.2027900000000002</v>
      </c>
      <c r="CP52" s="36" t="s">
        <v>695</v>
      </c>
      <c r="CQ52" s="39" t="s">
        <v>870</v>
      </c>
      <c r="CS52" s="83">
        <v>59.94</v>
      </c>
      <c r="CT52" s="36" t="s">
        <v>695</v>
      </c>
      <c r="CV52" s="8">
        <f t="shared" si="33"/>
        <v>0</v>
      </c>
      <c r="CW52" s="8" t="str">
        <f t="shared" si="34"/>
        <v>数据缺失</v>
      </c>
      <c r="DA52" s="35" t="s">
        <v>37</v>
      </c>
      <c r="DD52" s="3">
        <f>IF(DE52="数据缺失",0,IF(DE52&lt;0,0,IF(DE52&lt;2,3,IF(DE52&lt;=5,1,2))))</f>
        <v>0</v>
      </c>
      <c r="DE52" s="69" t="s">
        <v>37</v>
      </c>
      <c r="DI52" s="83">
        <v>59.94</v>
      </c>
      <c r="DJ52" s="36" t="s">
        <v>695</v>
      </c>
      <c r="DM52" s="39" t="s">
        <v>37</v>
      </c>
      <c r="DP52" s="36">
        <v>4</v>
      </c>
      <c r="DQ52" s="36" t="s">
        <v>872</v>
      </c>
      <c r="DR52" s="39" t="s">
        <v>695</v>
      </c>
      <c r="DU52" s="117" t="s">
        <v>37</v>
      </c>
      <c r="DY52" s="117" t="s">
        <v>37</v>
      </c>
      <c r="EC52" s="117" t="s">
        <v>37</v>
      </c>
      <c r="EG52" s="117" t="s">
        <v>37</v>
      </c>
      <c r="EJ52" s="2">
        <f t="shared" si="39"/>
        <v>0</v>
      </c>
      <c r="EK52" s="8" t="str">
        <f t="shared" si="40"/>
        <v>数据缺失</v>
      </c>
      <c r="EL52" s="39"/>
      <c r="EM52" s="39"/>
      <c r="EN52" s="39"/>
      <c r="EO52" s="39" t="s">
        <v>37</v>
      </c>
      <c r="ER52" s="8">
        <f t="shared" si="41"/>
        <v>1</v>
      </c>
      <c r="ES52" s="6">
        <f t="shared" si="59"/>
        <v>101.07</v>
      </c>
      <c r="EW52" s="83">
        <v>101.07</v>
      </c>
      <c r="EX52" s="39" t="s">
        <v>695</v>
      </c>
      <c r="EZ52" s="8">
        <f t="shared" si="42"/>
        <v>1</v>
      </c>
      <c r="FA52" s="8">
        <f t="shared" si="43"/>
        <v>309</v>
      </c>
      <c r="FB52" s="39"/>
      <c r="FC52" s="39"/>
      <c r="FD52" s="39"/>
      <c r="FE52" s="39">
        <v>309</v>
      </c>
      <c r="FF52" s="39" t="s">
        <v>695</v>
      </c>
      <c r="FH52" s="36">
        <v>4</v>
      </c>
      <c r="FI52" s="36" t="s">
        <v>873</v>
      </c>
      <c r="FJ52" s="39" t="s">
        <v>695</v>
      </c>
      <c r="FM52" s="39" t="s">
        <v>37</v>
      </c>
      <c r="FN52" s="39"/>
      <c r="FO52" s="39"/>
      <c r="FP52" s="39"/>
      <c r="FQ52" s="39" t="s">
        <v>37</v>
      </c>
      <c r="FR52" s="39"/>
      <c r="FS52" s="39"/>
      <c r="FT52" s="39"/>
      <c r="FU52" s="39" t="s">
        <v>37</v>
      </c>
      <c r="FV52" s="39"/>
      <c r="FW52" s="39"/>
      <c r="FX52" s="39"/>
      <c r="FY52" s="39" t="s">
        <v>37</v>
      </c>
      <c r="GB52" s="39">
        <v>2</v>
      </c>
      <c r="GC52" s="39" t="s">
        <v>874</v>
      </c>
      <c r="GG52" s="39" t="s">
        <v>874</v>
      </c>
      <c r="GH52" s="39" t="s">
        <v>695</v>
      </c>
      <c r="GJ52" s="8">
        <f t="shared" si="44"/>
        <v>4</v>
      </c>
      <c r="GK52" s="1">
        <f t="shared" si="45"/>
        <v>9.9406766073432736E-3</v>
      </c>
      <c r="GN52" s="36">
        <v>1.24</v>
      </c>
      <c r="GO52" s="36" t="s">
        <v>875</v>
      </c>
      <c r="GP52" s="36" t="s">
        <v>695</v>
      </c>
      <c r="GS52" s="36">
        <v>124.74</v>
      </c>
      <c r="GT52" s="36" t="s">
        <v>144</v>
      </c>
      <c r="GV52" s="8">
        <f t="shared" si="46"/>
        <v>2</v>
      </c>
      <c r="GW52" s="1">
        <f t="shared" si="47"/>
        <v>0.32480710284325126</v>
      </c>
      <c r="HA52" s="36">
        <v>122.92</v>
      </c>
      <c r="HB52" s="36" t="s">
        <v>877</v>
      </c>
      <c r="HE52" s="36">
        <v>378.44</v>
      </c>
      <c r="HF52" s="36" t="s">
        <v>144</v>
      </c>
      <c r="HH52" s="39">
        <f>IF(HI52="数据缺失",0,IF(HI52&lt;20%,1,IF(HI52&lt;40%,2,IF(HI52&lt;60%,3,IF(HI52&lt;80%,4,IF(HI52&lt;=100%,5,0))))))</f>
        <v>1</v>
      </c>
      <c r="HI52" s="1">
        <f t="shared" si="49"/>
        <v>3.1795552223142287E-2</v>
      </c>
      <c r="HJ52" s="39"/>
      <c r="HK52" s="39"/>
      <c r="HL52" s="39"/>
      <c r="HM52" s="39">
        <v>0.34</v>
      </c>
      <c r="HN52" s="39" t="s">
        <v>877</v>
      </c>
      <c r="HQ52" s="78">
        <v>10.693319544</v>
      </c>
      <c r="HR52" s="36" t="s">
        <v>144</v>
      </c>
      <c r="HT52" s="8">
        <f t="shared" si="50"/>
        <v>4</v>
      </c>
      <c r="HU52" s="10">
        <f t="shared" si="51"/>
        <v>0</v>
      </c>
      <c r="HV52" s="39"/>
      <c r="HW52" s="39"/>
      <c r="HX52" s="39"/>
      <c r="HY52" s="39">
        <v>0</v>
      </c>
      <c r="HZ52" s="39" t="s">
        <v>877</v>
      </c>
      <c r="IC52" s="6">
        <v>92.05</v>
      </c>
      <c r="ID52" s="36" t="s">
        <v>144</v>
      </c>
      <c r="IR52" s="3">
        <f>IF(IS52="数据缺失",0,IF(IS52&lt;0%,0,IF(IS52&lt;=100%,4,IF(IS52&lt;200%,3,IF(IS52&lt;300%,2,1)))))</f>
        <v>1</v>
      </c>
      <c r="IS52" s="1">
        <f t="shared" si="53"/>
        <v>3.0599372889532077</v>
      </c>
      <c r="IW52" s="7">
        <v>253.73</v>
      </c>
      <c r="IX52" s="36" t="s">
        <v>695</v>
      </c>
      <c r="JA52" s="83">
        <v>82.92</v>
      </c>
      <c r="JB52" s="36" t="s">
        <v>144</v>
      </c>
      <c r="JD52" s="36">
        <f>IF(JE52="数据缺失",0,IF(JE52&lt;0%,0,IF(JE52&lt;4%,1,IF(JE52&lt;6%,2,IF(JE52&lt;8%,3,4)))))</f>
        <v>4</v>
      </c>
      <c r="JE52" s="5">
        <f>JI52/JM52/(JQ52+JU52)*2</f>
        <v>8.6092205136823238E-2</v>
      </c>
      <c r="JI52" s="83">
        <v>24.59</v>
      </c>
      <c r="JJ52" s="36" t="s">
        <v>695</v>
      </c>
      <c r="JM52" s="83">
        <v>2.4</v>
      </c>
      <c r="JN52" s="36" t="s">
        <v>695</v>
      </c>
      <c r="JQ52" s="83">
        <v>142.16999999999999</v>
      </c>
      <c r="JR52" s="36" t="s">
        <v>695</v>
      </c>
      <c r="JU52" s="36">
        <v>95.85</v>
      </c>
      <c r="JV52" s="36" t="s">
        <v>695</v>
      </c>
      <c r="JX52" s="36">
        <v>2</v>
      </c>
      <c r="JY52" s="36" t="s">
        <v>504</v>
      </c>
      <c r="KB52" s="36">
        <v>10</v>
      </c>
      <c r="KC52" s="36" t="s">
        <v>504</v>
      </c>
      <c r="KD52" s="36" t="s">
        <v>695</v>
      </c>
      <c r="KF52" s="8">
        <f t="shared" si="56"/>
        <v>3</v>
      </c>
      <c r="KG52" s="1">
        <f t="shared" si="57"/>
        <v>0.7134587554269175</v>
      </c>
      <c r="KH52" s="39"/>
      <c r="KI52" s="39"/>
      <c r="KJ52" s="39"/>
      <c r="KK52" s="39">
        <v>59.16</v>
      </c>
      <c r="KL52" s="36" t="s">
        <v>877</v>
      </c>
      <c r="KM52" s="36" t="s">
        <v>879</v>
      </c>
      <c r="KO52" s="83">
        <v>82.92</v>
      </c>
      <c r="KP52" s="36" t="s">
        <v>144</v>
      </c>
    </row>
    <row r="53" spans="2:302" s="81" customFormat="1" ht="16.5" customHeight="1" x14ac:dyDescent="0.35">
      <c r="B53" s="39" t="s">
        <v>880</v>
      </c>
      <c r="C53" s="36" t="s">
        <v>520</v>
      </c>
      <c r="D53" s="36" t="s">
        <v>325</v>
      </c>
      <c r="E53" s="36" t="s">
        <v>172</v>
      </c>
      <c r="F53" s="36" t="s">
        <v>883</v>
      </c>
      <c r="G53" s="36" t="s">
        <v>199</v>
      </c>
      <c r="H53" s="41">
        <v>1</v>
      </c>
      <c r="L53" s="42">
        <v>3</v>
      </c>
      <c r="M53" s="39" t="s">
        <v>884</v>
      </c>
      <c r="N53" s="39"/>
      <c r="O53" s="39"/>
      <c r="P53" s="39" t="s">
        <v>603</v>
      </c>
      <c r="Q53" s="39" t="s">
        <v>885</v>
      </c>
      <c r="R53" s="36" t="s">
        <v>886</v>
      </c>
      <c r="T53" s="39" t="s">
        <v>203</v>
      </c>
      <c r="U53" s="40">
        <v>0.61719999999999997</v>
      </c>
      <c r="X53" s="8">
        <f t="shared" si="20"/>
        <v>0</v>
      </c>
      <c r="Y53" s="39" t="s">
        <v>37</v>
      </c>
      <c r="Z53" s="39"/>
      <c r="AA53" s="39"/>
      <c r="AB53" s="39"/>
      <c r="AC53" s="39">
        <v>18.16</v>
      </c>
      <c r="AD53" s="39" t="s">
        <v>886</v>
      </c>
      <c r="AE53" s="39"/>
      <c r="AF53" s="39"/>
      <c r="AG53" s="39" t="s">
        <v>887</v>
      </c>
      <c r="AH53" s="39"/>
      <c r="AI53" s="39"/>
      <c r="AJ53" s="39"/>
      <c r="AK53" s="39" t="s">
        <v>37</v>
      </c>
      <c r="AN53" s="8">
        <f t="shared" si="22"/>
        <v>4</v>
      </c>
      <c r="AO53" s="1">
        <f t="shared" si="23"/>
        <v>-1.2053571428571497E-2</v>
      </c>
      <c r="AS53" s="39">
        <v>8.51</v>
      </c>
      <c r="AT53" s="39" t="s">
        <v>886</v>
      </c>
      <c r="AW53" s="83">
        <v>7.4</v>
      </c>
      <c r="AX53" s="36" t="s">
        <v>890</v>
      </c>
      <c r="AY53" s="36"/>
      <c r="AZ53" s="36"/>
      <c r="BA53" s="4">
        <v>8.9600000000000009</v>
      </c>
      <c r="BB53" s="36" t="s">
        <v>890</v>
      </c>
      <c r="BD53" s="2">
        <f t="shared" si="24"/>
        <v>5</v>
      </c>
      <c r="BE53" s="8">
        <f t="shared" si="2"/>
        <v>18.16</v>
      </c>
      <c r="BF53" s="39"/>
      <c r="BG53" s="39"/>
      <c r="BH53" s="39"/>
      <c r="BI53" s="39">
        <f>AC53</f>
        <v>18.16</v>
      </c>
      <c r="BJ53" s="39" t="s">
        <v>886</v>
      </c>
      <c r="BL53" s="2">
        <f t="shared" si="26"/>
        <v>5</v>
      </c>
      <c r="BM53" s="8">
        <f t="shared" si="27"/>
        <v>8.51</v>
      </c>
      <c r="BN53" s="39"/>
      <c r="BO53" s="39"/>
      <c r="BP53" s="39"/>
      <c r="BQ53" s="39">
        <f>AS53</f>
        <v>8.51</v>
      </c>
      <c r="BR53" s="39" t="s">
        <v>886</v>
      </c>
      <c r="BT53" s="8">
        <f t="shared" si="29"/>
        <v>4</v>
      </c>
      <c r="BU53" s="39">
        <v>322</v>
      </c>
      <c r="BV53" s="39"/>
      <c r="BW53" s="39"/>
      <c r="BX53" s="39"/>
      <c r="BY53" s="39">
        <v>322</v>
      </c>
      <c r="BZ53" s="39" t="s">
        <v>398</v>
      </c>
      <c r="CB53" s="36">
        <v>1</v>
      </c>
      <c r="CC53" s="36" t="s">
        <v>133</v>
      </c>
      <c r="CD53" s="36"/>
      <c r="CE53" s="36"/>
      <c r="CF53" s="36" t="s">
        <v>133</v>
      </c>
      <c r="CG53" s="36" t="s">
        <v>894</v>
      </c>
      <c r="CH53" s="47" t="s">
        <v>699</v>
      </c>
      <c r="CJ53" s="8">
        <f t="shared" si="30"/>
        <v>0</v>
      </c>
      <c r="CK53" s="39" t="s">
        <v>37</v>
      </c>
      <c r="CL53" s="39"/>
      <c r="CM53" s="39"/>
      <c r="CN53" s="39"/>
      <c r="CO53" s="39" t="s">
        <v>887</v>
      </c>
      <c r="CP53" s="39"/>
      <c r="CQ53" s="39"/>
      <c r="CR53" s="39"/>
      <c r="CS53" s="39">
        <f>AC53</f>
        <v>18.16</v>
      </c>
      <c r="CT53" s="39" t="s">
        <v>886</v>
      </c>
      <c r="CV53" s="8">
        <f t="shared" si="33"/>
        <v>5</v>
      </c>
      <c r="CW53" s="8">
        <f t="shared" si="34"/>
        <v>61.72</v>
      </c>
      <c r="DA53" s="36">
        <v>61.72</v>
      </c>
      <c r="DB53" s="36" t="s">
        <v>886</v>
      </c>
      <c r="DD53" s="3">
        <f>IF(DE53="数据缺失",0,IF(DE53&lt;0,0,IF(DE53&lt;2,3,IF(DE53&lt;=5,1,2))))</f>
        <v>2</v>
      </c>
      <c r="DE53" s="15">
        <f t="shared" si="36"/>
        <v>7.2526439482961225</v>
      </c>
      <c r="DI53" s="39">
        <f>AS53</f>
        <v>8.51</v>
      </c>
      <c r="DJ53" s="39" t="s">
        <v>886</v>
      </c>
      <c r="DM53" s="36">
        <v>61.72</v>
      </c>
      <c r="DN53" s="36" t="s">
        <v>886</v>
      </c>
      <c r="DP53" s="36">
        <v>4</v>
      </c>
      <c r="DQ53" s="36" t="s">
        <v>896</v>
      </c>
      <c r="DR53" s="36"/>
      <c r="DS53" s="36"/>
      <c r="DT53" s="36"/>
      <c r="DU53" s="117">
        <v>0</v>
      </c>
      <c r="DV53" s="36" t="s">
        <v>886</v>
      </c>
      <c r="DW53" s="36"/>
      <c r="DX53" s="36"/>
      <c r="DY53" s="41">
        <v>0.2495</v>
      </c>
      <c r="DZ53" s="36" t="s">
        <v>886</v>
      </c>
      <c r="EA53" s="36"/>
      <c r="EB53" s="36"/>
      <c r="EC53" s="41">
        <v>0.75049999999999994</v>
      </c>
      <c r="ED53" s="36" t="s">
        <v>886</v>
      </c>
      <c r="EE53" s="36"/>
      <c r="EF53" s="36"/>
      <c r="EG53" s="41">
        <v>0</v>
      </c>
      <c r="EH53" s="36" t="s">
        <v>886</v>
      </c>
      <c r="EJ53" s="2">
        <f t="shared" si="39"/>
        <v>0</v>
      </c>
      <c r="EK53" s="8" t="str">
        <f t="shared" si="40"/>
        <v>数据缺失</v>
      </c>
      <c r="EL53" s="39"/>
      <c r="EM53" s="39"/>
      <c r="EN53" s="39"/>
      <c r="EO53" s="39" t="s">
        <v>887</v>
      </c>
      <c r="ER53" s="8">
        <f t="shared" si="41"/>
        <v>3</v>
      </c>
      <c r="ES53" s="6">
        <f t="shared" si="59"/>
        <v>22.7</v>
      </c>
      <c r="ET53" s="39"/>
      <c r="EU53" s="39"/>
      <c r="EV53" s="39"/>
      <c r="EW53" s="39">
        <v>22.7</v>
      </c>
      <c r="EX53" s="39" t="s">
        <v>886</v>
      </c>
      <c r="EZ53" s="8">
        <f t="shared" si="42"/>
        <v>3</v>
      </c>
      <c r="FA53" s="8">
        <f t="shared" si="43"/>
        <v>71.55</v>
      </c>
      <c r="FB53" s="36"/>
      <c r="FC53" s="36"/>
      <c r="FD53" s="36"/>
      <c r="FE53" s="7">
        <v>71.55</v>
      </c>
      <c r="FF53" s="36" t="s">
        <v>886</v>
      </c>
      <c r="FH53" s="81">
        <v>4</v>
      </c>
      <c r="FI53" s="39" t="s">
        <v>897</v>
      </c>
      <c r="FM53" s="3">
        <v>0</v>
      </c>
      <c r="FN53" s="36" t="s">
        <v>886</v>
      </c>
      <c r="FO53" s="36"/>
      <c r="FP53" s="36"/>
      <c r="FQ53" s="41">
        <v>0.41649999999999998</v>
      </c>
      <c r="FR53" s="36" t="s">
        <v>886</v>
      </c>
      <c r="FS53" s="36"/>
      <c r="FT53" s="36"/>
      <c r="FU53" s="41">
        <v>0.58350000000000002</v>
      </c>
      <c r="FV53" s="36" t="s">
        <v>886</v>
      </c>
      <c r="FY53" s="36">
        <v>0</v>
      </c>
      <c r="FZ53" s="36" t="s">
        <v>886</v>
      </c>
      <c r="GB53" s="39">
        <v>2</v>
      </c>
      <c r="GC53" s="39" t="s">
        <v>898</v>
      </c>
      <c r="GD53" s="39"/>
      <c r="GE53" s="39"/>
      <c r="GF53" s="39"/>
      <c r="GG53" s="39" t="s">
        <v>899</v>
      </c>
      <c r="GH53" s="39" t="s">
        <v>395</v>
      </c>
      <c r="GJ53" s="8">
        <f t="shared" si="44"/>
        <v>4</v>
      </c>
      <c r="GK53" s="1">
        <f t="shared" si="45"/>
        <v>7.1077091306724991E-3</v>
      </c>
      <c r="GN53" s="81">
        <v>0.13</v>
      </c>
      <c r="GO53" s="81" t="s">
        <v>901</v>
      </c>
      <c r="GP53" s="39" t="s">
        <v>395</v>
      </c>
      <c r="GS53" s="36">
        <v>18.29</v>
      </c>
      <c r="GT53" s="36" t="s">
        <v>144</v>
      </c>
      <c r="GV53" s="8">
        <f t="shared" si="46"/>
        <v>2</v>
      </c>
      <c r="GW53" s="1">
        <f t="shared" si="47"/>
        <v>0.29930119625725449</v>
      </c>
      <c r="GX53" s="39"/>
      <c r="GY53" s="39"/>
      <c r="GZ53" s="39"/>
      <c r="HA53" s="39">
        <v>25.27</v>
      </c>
      <c r="HB53" s="39" t="s">
        <v>395</v>
      </c>
      <c r="HE53" s="36">
        <v>84.43</v>
      </c>
      <c r="HF53" s="36" t="s">
        <v>144</v>
      </c>
      <c r="HH53" s="39">
        <f>IF(HI53="数据缺失",0,IF(HI53&lt;20%,1,IF(HI53&lt;40%,2,IF(HI53&lt;60%,3,IF(HI53&lt;80%,4,IF(HI53&lt;=100%,5,0))))))</f>
        <v>1</v>
      </c>
      <c r="HI53" s="1">
        <f t="shared" si="49"/>
        <v>7.9255833326849958E-3</v>
      </c>
      <c r="HJ53" s="39"/>
      <c r="HK53" s="39"/>
      <c r="HL53" s="39"/>
      <c r="HM53" s="39">
        <v>0.11</v>
      </c>
      <c r="HN53" s="39" t="s">
        <v>395</v>
      </c>
      <c r="HO53" s="39"/>
      <c r="HP53" s="39"/>
      <c r="HQ53" s="78">
        <v>13.879104588599999</v>
      </c>
      <c r="HR53" s="36" t="s">
        <v>144</v>
      </c>
      <c r="HT53" s="8">
        <f t="shared" si="50"/>
        <v>4</v>
      </c>
      <c r="HU53" s="10">
        <f t="shared" si="51"/>
        <v>0</v>
      </c>
      <c r="HV53" s="39"/>
      <c r="HW53" s="39"/>
      <c r="HX53" s="39"/>
      <c r="HY53" s="39">
        <v>0</v>
      </c>
      <c r="HZ53" s="39" t="s">
        <v>395</v>
      </c>
      <c r="IC53" s="6">
        <v>8.9600000000000009</v>
      </c>
      <c r="ID53" s="36" t="s">
        <v>144</v>
      </c>
      <c r="IR53" s="42">
        <f>IF(IS53="数据缺失",0,IF(IS53&lt;0%,0,IF(IS53&lt;=100%,4,IF(IS53&lt;200%,3,IF(IS53&lt;300%,2,1)))))</f>
        <v>4</v>
      </c>
      <c r="IS53" s="1">
        <f t="shared" si="53"/>
        <v>0</v>
      </c>
      <c r="IW53" s="7">
        <v>0</v>
      </c>
      <c r="IX53" s="36" t="s">
        <v>886</v>
      </c>
      <c r="JA53" s="83">
        <v>24.08</v>
      </c>
      <c r="JB53" s="36" t="s">
        <v>144</v>
      </c>
      <c r="JD53" s="36">
        <f>IF(JE53="数据缺失",0,IF(JE53&lt;0%,0,IF(JE53&lt;4%,1,IF(JE53&lt;6%,2,IF(JE53&lt;8%,3,4)))))</f>
        <v>4</v>
      </c>
      <c r="JE53" s="5">
        <f>JI53/JM53/(JQ53+JU53)*2</f>
        <v>0.12283685834919041</v>
      </c>
      <c r="JF53" s="36"/>
      <c r="JG53" s="36"/>
      <c r="JH53" s="36"/>
      <c r="JI53" s="83">
        <v>4.38</v>
      </c>
      <c r="JJ53" s="36" t="s">
        <v>695</v>
      </c>
      <c r="JK53" s="36"/>
      <c r="JL53" s="36"/>
      <c r="JM53" s="83">
        <v>1.43</v>
      </c>
      <c r="JN53" s="36" t="s">
        <v>886</v>
      </c>
      <c r="JO53" s="36"/>
      <c r="JP53" s="36"/>
      <c r="JQ53" s="83">
        <v>27.5</v>
      </c>
      <c r="JR53" s="36" t="s">
        <v>886</v>
      </c>
      <c r="JS53" s="36"/>
      <c r="JT53" s="36"/>
      <c r="JU53" s="36">
        <v>22.37</v>
      </c>
      <c r="JV53" s="36" t="s">
        <v>886</v>
      </c>
      <c r="JX53" s="36">
        <v>2</v>
      </c>
      <c r="JY53" s="36" t="s">
        <v>903</v>
      </c>
      <c r="JZ53" s="36"/>
      <c r="KA53" s="36"/>
      <c r="KB53" s="36">
        <v>5</v>
      </c>
      <c r="KC53" s="36" t="s">
        <v>903</v>
      </c>
      <c r="KD53" s="36" t="s">
        <v>886</v>
      </c>
      <c r="KF53" s="8">
        <f t="shared" si="56"/>
        <v>1</v>
      </c>
      <c r="KG53" s="101">
        <f t="shared" si="57"/>
        <v>2.6578073089701001E-2</v>
      </c>
      <c r="KK53" s="3">
        <v>0.64</v>
      </c>
      <c r="KL53" s="39" t="s">
        <v>395</v>
      </c>
      <c r="KM53" s="36" t="s">
        <v>879</v>
      </c>
      <c r="KO53" s="83">
        <v>24.08</v>
      </c>
      <c r="KP53" s="36" t="s">
        <v>144</v>
      </c>
    </row>
    <row r="54" spans="2:302" s="39" customFormat="1" ht="16.5" customHeight="1" x14ac:dyDescent="0.35">
      <c r="B54" s="39" t="s">
        <v>905</v>
      </c>
      <c r="C54" s="36" t="s">
        <v>170</v>
      </c>
      <c r="D54" s="39" t="s">
        <v>196</v>
      </c>
      <c r="E54" s="39" t="s">
        <v>172</v>
      </c>
      <c r="F54" s="36" t="s">
        <v>909</v>
      </c>
      <c r="G54" s="36" t="s">
        <v>174</v>
      </c>
      <c r="H54" s="40">
        <v>0.95374000000000003</v>
      </c>
      <c r="L54" s="42">
        <v>3</v>
      </c>
      <c r="M54" s="39" t="s">
        <v>910</v>
      </c>
      <c r="P54" s="39" t="s">
        <v>603</v>
      </c>
      <c r="Q54" s="39" t="s">
        <v>911</v>
      </c>
      <c r="R54" s="39" t="s">
        <v>912</v>
      </c>
      <c r="T54" s="39" t="s">
        <v>203</v>
      </c>
      <c r="U54" s="40">
        <v>0.52930999999999995</v>
      </c>
      <c r="X54" s="8">
        <f t="shared" si="20"/>
        <v>2</v>
      </c>
      <c r="Y54" s="1">
        <f t="shared" si="21"/>
        <v>0.24314439056058484</v>
      </c>
      <c r="AC54" s="39">
        <v>34.56</v>
      </c>
      <c r="AD54" s="39" t="s">
        <v>912</v>
      </c>
      <c r="AG54" s="39">
        <v>32.44</v>
      </c>
      <c r="AH54" s="39" t="s">
        <v>912</v>
      </c>
      <c r="AK54" s="39">
        <v>22.83</v>
      </c>
      <c r="AL54" s="39" t="s">
        <v>912</v>
      </c>
      <c r="AN54" s="8">
        <f t="shared" si="22"/>
        <v>2</v>
      </c>
      <c r="AO54" s="1">
        <f t="shared" si="23"/>
        <v>0.22636227231496886</v>
      </c>
      <c r="AS54" s="39">
        <v>50.97</v>
      </c>
      <c r="AT54" s="39" t="s">
        <v>912</v>
      </c>
      <c r="AW54" s="39">
        <v>48.62</v>
      </c>
      <c r="AX54" s="39" t="s">
        <v>912</v>
      </c>
      <c r="BA54" s="39">
        <v>34.619999999999997</v>
      </c>
      <c r="BB54" s="39" t="s">
        <v>912</v>
      </c>
      <c r="BD54" s="2">
        <f t="shared" si="24"/>
        <v>5</v>
      </c>
      <c r="BE54" s="8">
        <f t="shared" si="2"/>
        <v>34.56</v>
      </c>
      <c r="BI54" s="39">
        <v>34.56</v>
      </c>
      <c r="BJ54" s="39" t="s">
        <v>912</v>
      </c>
      <c r="BL54" s="2">
        <f t="shared" si="26"/>
        <v>4</v>
      </c>
      <c r="BM54" s="8">
        <f t="shared" si="27"/>
        <v>50.97</v>
      </c>
      <c r="BQ54" s="39">
        <v>50.97</v>
      </c>
      <c r="BR54" s="39" t="s">
        <v>912</v>
      </c>
      <c r="BT54" s="8">
        <f t="shared" si="29"/>
        <v>4</v>
      </c>
      <c r="BU54" s="39">
        <v>356</v>
      </c>
      <c r="BY54" s="39">
        <v>356</v>
      </c>
      <c r="BZ54" s="39" t="s">
        <v>234</v>
      </c>
      <c r="CA54" s="39" t="s">
        <v>913</v>
      </c>
      <c r="CB54" s="39">
        <v>2</v>
      </c>
      <c r="CC54" s="39" t="s">
        <v>134</v>
      </c>
      <c r="CF54" s="39" t="s">
        <v>134</v>
      </c>
      <c r="CG54" s="39" t="s">
        <v>915</v>
      </c>
      <c r="CH54" s="39" t="s">
        <v>916</v>
      </c>
      <c r="CI54" s="39" t="s">
        <v>917</v>
      </c>
      <c r="CJ54" s="8">
        <f t="shared" si="30"/>
        <v>2</v>
      </c>
      <c r="CK54" s="12">
        <f t="shared" si="31"/>
        <v>3.9641203703703706E-2</v>
      </c>
      <c r="CO54" s="39">
        <v>1.37</v>
      </c>
      <c r="CP54" s="39" t="s">
        <v>912</v>
      </c>
      <c r="CS54" s="39">
        <v>34.56</v>
      </c>
      <c r="CT54" s="39" t="s">
        <v>912</v>
      </c>
      <c r="CV54" s="8">
        <f t="shared" si="33"/>
        <v>4</v>
      </c>
      <c r="CW54" s="8">
        <f t="shared" si="34"/>
        <v>204.04</v>
      </c>
      <c r="DA54" s="39">
        <v>204.04</v>
      </c>
      <c r="DB54" s="39" t="s">
        <v>912</v>
      </c>
      <c r="DD54" s="42">
        <v>1</v>
      </c>
      <c r="DE54" s="15">
        <f t="shared" si="36"/>
        <v>4.0031391014322146</v>
      </c>
      <c r="DI54" s="39">
        <v>50.97</v>
      </c>
      <c r="DJ54" s="39" t="s">
        <v>912</v>
      </c>
      <c r="DM54" s="39">
        <v>204.04</v>
      </c>
      <c r="DN54" s="39" t="s">
        <v>912</v>
      </c>
      <c r="DP54" s="36">
        <v>3</v>
      </c>
      <c r="DQ54" s="36" t="s">
        <v>918</v>
      </c>
      <c r="DR54" s="36"/>
      <c r="DS54" s="36"/>
      <c r="DT54" s="36"/>
      <c r="DU54" s="41">
        <v>0</v>
      </c>
      <c r="DV54" s="39" t="s">
        <v>912</v>
      </c>
      <c r="DW54" s="36"/>
      <c r="DX54" s="36"/>
      <c r="DY54" s="41">
        <v>0.77229999999999999</v>
      </c>
      <c r="DZ54" s="36" t="s">
        <v>912</v>
      </c>
      <c r="EA54" s="36"/>
      <c r="EB54" s="36"/>
      <c r="EC54" s="41">
        <v>0.12989999999999999</v>
      </c>
      <c r="ED54" s="36" t="s">
        <v>912</v>
      </c>
      <c r="EE54" s="36"/>
      <c r="EF54" s="36"/>
      <c r="EG54" s="41">
        <v>9.7799999999999998E-2</v>
      </c>
      <c r="EH54" s="36" t="s">
        <v>912</v>
      </c>
      <c r="EJ54" s="2">
        <f t="shared" si="39"/>
        <v>2</v>
      </c>
      <c r="EK54" s="8">
        <f t="shared" si="40"/>
        <v>66.849999999999994</v>
      </c>
      <c r="EO54" s="39">
        <v>66.849999999999994</v>
      </c>
      <c r="EP54" s="39" t="s">
        <v>912</v>
      </c>
      <c r="ER54" s="8">
        <f t="shared" si="41"/>
        <v>2</v>
      </c>
      <c r="ES54" s="6">
        <f t="shared" si="59"/>
        <v>56.89</v>
      </c>
      <c r="EW54" s="39">
        <v>56.89</v>
      </c>
      <c r="EX54" s="39" t="s">
        <v>912</v>
      </c>
      <c r="EZ54" s="8">
        <f t="shared" si="42"/>
        <v>1</v>
      </c>
      <c r="FA54" s="8">
        <f t="shared" si="43"/>
        <v>534.63</v>
      </c>
      <c r="FE54" s="39">
        <v>534.63</v>
      </c>
      <c r="FF54" s="39" t="s">
        <v>912</v>
      </c>
      <c r="FH54" s="39">
        <v>3</v>
      </c>
      <c r="FI54" s="39" t="s">
        <v>919</v>
      </c>
      <c r="FM54" s="39" t="s">
        <v>37</v>
      </c>
      <c r="FQ54" s="39" t="s">
        <v>37</v>
      </c>
      <c r="FU54" s="39" t="s">
        <v>37</v>
      </c>
      <c r="FY54" s="39" t="s">
        <v>37</v>
      </c>
      <c r="GB54" s="36">
        <v>2</v>
      </c>
      <c r="GC54" s="36" t="s">
        <v>920</v>
      </c>
      <c r="GD54" s="36"/>
      <c r="GE54" s="36"/>
      <c r="GF54" s="36"/>
      <c r="GG54" s="36" t="s">
        <v>920</v>
      </c>
      <c r="GH54" s="39" t="s">
        <v>595</v>
      </c>
      <c r="GJ54" s="8">
        <f t="shared" si="44"/>
        <v>4</v>
      </c>
      <c r="GK54" s="1">
        <f t="shared" si="45"/>
        <v>0</v>
      </c>
      <c r="GL54" s="36"/>
      <c r="GM54" s="36"/>
      <c r="GN54" s="36">
        <v>0</v>
      </c>
      <c r="GO54" s="36" t="s">
        <v>921</v>
      </c>
      <c r="GP54" s="39" t="s">
        <v>146</v>
      </c>
      <c r="GS54" s="69">
        <v>29.29507607</v>
      </c>
      <c r="GT54" s="39" t="s">
        <v>144</v>
      </c>
      <c r="GV54" s="8">
        <f t="shared" si="46"/>
        <v>2</v>
      </c>
      <c r="GW54" s="1">
        <f t="shared" si="47"/>
        <v>0.22126147331163179</v>
      </c>
      <c r="HA54" s="69">
        <v>24.724786999999999</v>
      </c>
      <c r="HB54" s="39" t="s">
        <v>595</v>
      </c>
      <c r="HE54" s="69">
        <v>111.74465499999999</v>
      </c>
      <c r="HF54" s="39" t="s">
        <v>595</v>
      </c>
      <c r="HH54" s="39">
        <v>1</v>
      </c>
      <c r="HI54" s="1">
        <f t="shared" si="49"/>
        <v>9.6935042400215655E-3</v>
      </c>
      <c r="HM54" s="69">
        <v>0.23385300000000001</v>
      </c>
      <c r="HN54" s="39" t="s">
        <v>595</v>
      </c>
      <c r="HQ54" s="69">
        <v>24.124712200000001</v>
      </c>
      <c r="HR54" s="39" t="s">
        <v>595</v>
      </c>
      <c r="HT54" s="8">
        <f t="shared" si="50"/>
        <v>4</v>
      </c>
      <c r="HU54" s="10">
        <f t="shared" si="51"/>
        <v>0</v>
      </c>
      <c r="HY54" s="39">
        <v>0</v>
      </c>
      <c r="HZ54" s="39" t="s">
        <v>595</v>
      </c>
      <c r="IC54" s="39">
        <v>14.23</v>
      </c>
      <c r="ID54" s="39" t="s">
        <v>144</v>
      </c>
      <c r="IR54" s="42">
        <v>4</v>
      </c>
      <c r="IS54" s="1">
        <f t="shared" si="53"/>
        <v>0.18572880206519363</v>
      </c>
      <c r="IW54" s="39">
        <v>6.5</v>
      </c>
      <c r="IX54" s="39" t="s">
        <v>595</v>
      </c>
      <c r="JA54" s="69">
        <v>34.997264440000002</v>
      </c>
      <c r="JB54" s="39" t="s">
        <v>144</v>
      </c>
      <c r="JD54" s="39">
        <v>4</v>
      </c>
      <c r="JE54" s="40">
        <f>JI54/JM54/(JQ54+JU54)*2</f>
        <v>8.0051440998186563E-2</v>
      </c>
      <c r="JI54" s="39">
        <v>5.54</v>
      </c>
      <c r="JJ54" s="39" t="s">
        <v>912</v>
      </c>
      <c r="JM54" s="39">
        <v>1.69</v>
      </c>
      <c r="JN54" s="39" t="s">
        <v>912</v>
      </c>
      <c r="JQ54" s="39">
        <v>38.619999999999997</v>
      </c>
      <c r="JR54" s="39" t="s">
        <v>912</v>
      </c>
      <c r="JS54" s="39" t="s">
        <v>471</v>
      </c>
      <c r="JU54" s="39">
        <v>43.28</v>
      </c>
      <c r="JV54" s="39" t="s">
        <v>912</v>
      </c>
      <c r="JW54" s="39" t="s">
        <v>471</v>
      </c>
      <c r="JX54" s="39">
        <v>2</v>
      </c>
      <c r="JY54" s="39" t="s">
        <v>155</v>
      </c>
      <c r="KB54" s="39">
        <v>2</v>
      </c>
      <c r="KC54" s="39" t="s">
        <v>155</v>
      </c>
      <c r="KD54" s="39" t="s">
        <v>595</v>
      </c>
      <c r="KF54" s="8">
        <f t="shared" si="56"/>
        <v>3</v>
      </c>
      <c r="KG54" s="1">
        <f t="shared" si="57"/>
        <v>0.78977601370491557</v>
      </c>
      <c r="KK54" s="39">
        <f>25.49+2.15</f>
        <v>27.639999999999997</v>
      </c>
      <c r="KL54" s="39" t="s">
        <v>595</v>
      </c>
      <c r="KO54" s="69">
        <v>34.997264440000002</v>
      </c>
      <c r="KP54" s="39" t="s">
        <v>144</v>
      </c>
    </row>
    <row r="55" spans="2:302" s="36" customFormat="1" ht="16.5" hidden="1" customHeight="1" x14ac:dyDescent="0.35">
      <c r="B55" s="36" t="s">
        <v>923</v>
      </c>
      <c r="C55" s="36" t="s">
        <v>325</v>
      </c>
      <c r="D55" s="36" t="s">
        <v>925</v>
      </c>
      <c r="E55" s="36" t="s">
        <v>172</v>
      </c>
      <c r="F55" s="36" t="s">
        <v>926</v>
      </c>
      <c r="G55" s="36" t="s">
        <v>174</v>
      </c>
      <c r="H55" s="41">
        <f>0.370685/6.7248261757</f>
        <v>5.5121870858084253E-2</v>
      </c>
      <c r="I55" s="36" t="s">
        <v>344</v>
      </c>
      <c r="J55" s="36" t="s">
        <v>928</v>
      </c>
      <c r="L55" s="85"/>
      <c r="U55" s="41"/>
      <c r="X55" s="8"/>
      <c r="Y55" s="1" t="e">
        <f t="shared" si="21"/>
        <v>#DIV/0!</v>
      </c>
      <c r="AC55" s="83"/>
      <c r="AG55" s="83"/>
      <c r="AK55" s="83"/>
      <c r="AN55" s="8"/>
      <c r="AO55" s="1"/>
      <c r="AS55" s="83"/>
      <c r="AW55" s="83"/>
      <c r="BA55" s="83"/>
      <c r="BD55" s="2"/>
      <c r="BE55" s="8"/>
      <c r="BI55" s="83"/>
      <c r="BL55" s="2"/>
      <c r="BM55" s="8"/>
      <c r="BQ55" s="83"/>
      <c r="BT55" s="8"/>
      <c r="CJ55" s="8"/>
      <c r="CK55" s="12"/>
      <c r="CO55" s="83"/>
      <c r="CS55" s="83"/>
      <c r="CV55" s="8"/>
      <c r="CW55" s="8"/>
      <c r="DA55" s="83"/>
      <c r="DE55" s="15"/>
      <c r="DI55" s="83"/>
      <c r="DU55" s="41"/>
      <c r="DY55" s="41"/>
      <c r="EC55" s="41"/>
      <c r="EG55" s="41"/>
      <c r="EJ55" s="2"/>
      <c r="EK55" s="8">
        <f t="shared" si="40"/>
        <v>0</v>
      </c>
      <c r="EO55" s="83"/>
      <c r="ER55" s="8"/>
      <c r="ES55" s="6"/>
      <c r="EW55" s="83"/>
      <c r="EZ55" s="8"/>
      <c r="FA55" s="8"/>
      <c r="FE55" s="83"/>
      <c r="GJ55" s="8"/>
      <c r="GK55" s="1"/>
      <c r="GS55" s="38"/>
      <c r="GV55" s="8"/>
      <c r="GW55" s="1"/>
      <c r="HE55" s="38"/>
      <c r="HI55" s="1"/>
      <c r="HQ55" s="83"/>
      <c r="HT55" s="8"/>
      <c r="HU55" s="10"/>
      <c r="IR55" s="3"/>
      <c r="IS55" s="1"/>
      <c r="IW55" s="83"/>
      <c r="JA55" s="38"/>
      <c r="JE55" s="5"/>
      <c r="JM55" s="83"/>
      <c r="KD55" s="47"/>
      <c r="KF55" s="8"/>
      <c r="KG55" s="1"/>
    </row>
    <row r="56" spans="2:302" s="36" customFormat="1" ht="16.5" customHeight="1" x14ac:dyDescent="0.35">
      <c r="B56" s="36" t="s">
        <v>929</v>
      </c>
      <c r="C56" s="36" t="s">
        <v>325</v>
      </c>
      <c r="D56" s="36" t="s">
        <v>520</v>
      </c>
      <c r="E56" s="36" t="s">
        <v>172</v>
      </c>
      <c r="F56" s="36" t="s">
        <v>932</v>
      </c>
      <c r="G56" s="36" t="s">
        <v>174</v>
      </c>
      <c r="H56" s="41">
        <f>1007.55/2072.57</f>
        <v>0.48613557081304848</v>
      </c>
      <c r="J56" s="36" t="s">
        <v>933</v>
      </c>
      <c r="L56" s="3">
        <v>4</v>
      </c>
      <c r="M56" s="36" t="s">
        <v>934</v>
      </c>
      <c r="N56" s="36" t="s">
        <v>935</v>
      </c>
      <c r="P56" s="36" t="s">
        <v>622</v>
      </c>
      <c r="Q56" s="36" t="s">
        <v>622</v>
      </c>
      <c r="R56" s="36" t="s">
        <v>935</v>
      </c>
      <c r="T56" s="36" t="s">
        <v>622</v>
      </c>
      <c r="U56" s="36" t="s">
        <v>622</v>
      </c>
      <c r="X56" s="8">
        <f t="shared" si="20"/>
        <v>2</v>
      </c>
      <c r="Y56" s="1">
        <f t="shared" si="21"/>
        <v>0.22699101939505223</v>
      </c>
      <c r="AC56" s="36">
        <v>2301</v>
      </c>
      <c r="AD56" s="36" t="s">
        <v>935</v>
      </c>
      <c r="AG56" s="36">
        <v>2407.88</v>
      </c>
      <c r="AH56" s="36" t="s">
        <v>937</v>
      </c>
      <c r="AK56" s="36">
        <v>1607</v>
      </c>
      <c r="AL56" s="36" t="s">
        <v>937</v>
      </c>
      <c r="AN56" s="8">
        <f t="shared" si="22"/>
        <v>2</v>
      </c>
      <c r="AO56" s="1">
        <f t="shared" si="23"/>
        <v>0.16341500542366091</v>
      </c>
      <c r="AS56" s="36">
        <v>2175.6999999999998</v>
      </c>
      <c r="AT56" s="36" t="s">
        <v>935</v>
      </c>
      <c r="AW56" s="36">
        <v>2115.46</v>
      </c>
      <c r="AX56" s="36" t="s">
        <v>937</v>
      </c>
      <c r="BA56" s="36">
        <v>1629.34</v>
      </c>
      <c r="BB56" s="36" t="s">
        <v>937</v>
      </c>
      <c r="BD56" s="2">
        <f t="shared" si="24"/>
        <v>1</v>
      </c>
      <c r="BE56" s="8">
        <f t="shared" si="2"/>
        <v>2301</v>
      </c>
      <c r="BI56" s="36">
        <f>AC56</f>
        <v>2301</v>
      </c>
      <c r="BJ56" s="36" t="s">
        <v>935</v>
      </c>
      <c r="BL56" s="2">
        <f t="shared" si="26"/>
        <v>1</v>
      </c>
      <c r="BM56" s="8">
        <f t="shared" si="27"/>
        <v>2175.6999999999998</v>
      </c>
      <c r="BQ56" s="36">
        <f>AS56</f>
        <v>2175.6999999999998</v>
      </c>
      <c r="BR56" s="36" t="s">
        <v>935</v>
      </c>
      <c r="BT56" s="8">
        <f t="shared" si="29"/>
        <v>1</v>
      </c>
      <c r="BU56" s="36">
        <v>3</v>
      </c>
      <c r="BY56" s="36">
        <v>3</v>
      </c>
      <c r="BZ56" s="47" t="s">
        <v>131</v>
      </c>
      <c r="CB56" s="36">
        <v>1</v>
      </c>
      <c r="CC56" s="36" t="s">
        <v>133</v>
      </c>
      <c r="CF56" s="36" t="s">
        <v>133</v>
      </c>
      <c r="CG56" s="39" t="s">
        <v>698</v>
      </c>
      <c r="CH56" s="47" t="s">
        <v>699</v>
      </c>
      <c r="CJ56" s="8">
        <f t="shared" si="30"/>
        <v>2</v>
      </c>
      <c r="CK56" s="12">
        <f t="shared" si="31"/>
        <v>0.21034332898739677</v>
      </c>
      <c r="CO56" s="83">
        <v>484</v>
      </c>
      <c r="CP56" s="36" t="s">
        <v>935</v>
      </c>
      <c r="CS56" s="36">
        <f>AC56</f>
        <v>2301</v>
      </c>
      <c r="CT56" s="36" t="s">
        <v>940</v>
      </c>
      <c r="CV56" s="8">
        <f t="shared" si="33"/>
        <v>1</v>
      </c>
      <c r="CW56" s="8">
        <f t="shared" si="34"/>
        <v>4392.08</v>
      </c>
      <c r="DA56" s="36">
        <v>4392.08</v>
      </c>
      <c r="DB56" s="36" t="s">
        <v>940</v>
      </c>
      <c r="DC56" s="36" t="s">
        <v>941</v>
      </c>
      <c r="DD56" s="36">
        <f>IF(DE56="数据缺失",0,IF(DE56&lt;0,0,IF(DE56&lt;2,3,IF(DE56&lt;=5,1,2))))</f>
        <v>1</v>
      </c>
      <c r="DE56" s="15">
        <f t="shared" si="36"/>
        <v>2.018697430711955</v>
      </c>
      <c r="DI56" s="36">
        <f>AS56</f>
        <v>2175.6999999999998</v>
      </c>
      <c r="DJ56" s="36" t="s">
        <v>935</v>
      </c>
      <c r="DM56" s="36">
        <v>4392.08</v>
      </c>
      <c r="DN56" s="36" t="s">
        <v>935</v>
      </c>
      <c r="DO56" s="36" t="s">
        <v>941</v>
      </c>
      <c r="DP56" s="36">
        <v>3</v>
      </c>
      <c r="DQ56" s="36" t="s">
        <v>943</v>
      </c>
      <c r="DU56" s="41">
        <v>6.4699999999999994E-2</v>
      </c>
      <c r="DV56" s="36" t="s">
        <v>935</v>
      </c>
      <c r="DY56" s="41">
        <v>0.51329999999999998</v>
      </c>
      <c r="DZ56" s="36" t="s">
        <v>935</v>
      </c>
      <c r="EC56" s="41">
        <v>0.36530000000000001</v>
      </c>
      <c r="ED56" s="36" t="s">
        <v>935</v>
      </c>
      <c r="EG56" s="41">
        <v>0</v>
      </c>
      <c r="EH56" s="36" t="s">
        <v>935</v>
      </c>
      <c r="EJ56" s="2">
        <f t="shared" si="39"/>
        <v>1</v>
      </c>
      <c r="EK56" s="8">
        <f t="shared" si="40"/>
        <v>1785</v>
      </c>
      <c r="EO56" s="36">
        <v>1785</v>
      </c>
      <c r="EP56" s="36" t="s">
        <v>935</v>
      </c>
      <c r="ER56" s="8">
        <f t="shared" si="41"/>
        <v>1</v>
      </c>
      <c r="ES56" s="6">
        <f t="shared" si="59"/>
        <v>1831</v>
      </c>
      <c r="EW56" s="36">
        <v>1831</v>
      </c>
      <c r="EX56" s="36" t="s">
        <v>935</v>
      </c>
      <c r="EZ56" s="8">
        <f t="shared" si="42"/>
        <v>1</v>
      </c>
      <c r="FA56" s="8">
        <f t="shared" si="43"/>
        <v>6359</v>
      </c>
      <c r="FE56" s="36">
        <v>6359</v>
      </c>
      <c r="FF56" s="36" t="s">
        <v>935</v>
      </c>
      <c r="FH56" s="36">
        <v>4</v>
      </c>
      <c r="FI56" s="36" t="s">
        <v>946</v>
      </c>
      <c r="FJ56" s="36" t="s">
        <v>935</v>
      </c>
      <c r="FM56" s="36" t="s">
        <v>887</v>
      </c>
      <c r="FQ56" s="36" t="s">
        <v>887</v>
      </c>
      <c r="FU56" s="36" t="s">
        <v>887</v>
      </c>
      <c r="FY56" s="36" t="s">
        <v>37</v>
      </c>
      <c r="GB56" s="36">
        <v>1</v>
      </c>
      <c r="GC56" s="36" t="s">
        <v>948</v>
      </c>
      <c r="GG56" s="36" t="s">
        <v>949</v>
      </c>
      <c r="GH56" s="36" t="s">
        <v>935</v>
      </c>
      <c r="GJ56" s="8">
        <f t="shared" si="44"/>
        <v>4</v>
      </c>
      <c r="GK56" s="1">
        <f t="shared" si="45"/>
        <v>5.6837757135799662E-3</v>
      </c>
      <c r="GN56" s="36">
        <v>11.78</v>
      </c>
      <c r="GO56" s="36" t="s">
        <v>950</v>
      </c>
      <c r="GP56" s="36" t="s">
        <v>935</v>
      </c>
      <c r="GS56" s="38">
        <v>2072.5659479937999</v>
      </c>
      <c r="GT56" s="36" t="s">
        <v>144</v>
      </c>
      <c r="GV56" s="8">
        <f t="shared" si="46"/>
        <v>2</v>
      </c>
      <c r="GW56" s="1">
        <f t="shared" si="47"/>
        <v>0.38210062869349581</v>
      </c>
      <c r="HA56" s="36">
        <v>2294.27</v>
      </c>
      <c r="HB56" s="36" t="s">
        <v>146</v>
      </c>
      <c r="HE56" s="38">
        <v>6004.3607042593003</v>
      </c>
      <c r="HF56" s="39" t="s">
        <v>144</v>
      </c>
      <c r="HH56" s="36">
        <f t="shared" ref="HH56:HH63" si="60">IF(HI56="数据缺失",0,IF(HI56&lt;20%,1,IF(HI56&lt;40%,2,IF(HI56&lt;60%,3,IF(HI56&lt;80%,4,IF(HI56&lt;=100%,5,0))))))</f>
        <v>1</v>
      </c>
      <c r="HI56" s="1">
        <f t="shared" si="49"/>
        <v>9.5688757828855206E-2</v>
      </c>
      <c r="HM56" s="36">
        <v>41.92</v>
      </c>
      <c r="HN56" s="36" t="s">
        <v>146</v>
      </c>
      <c r="HQ56" s="83">
        <v>438.08699110690003</v>
      </c>
      <c r="HR56" s="36" t="s">
        <v>144</v>
      </c>
      <c r="HT56" s="8">
        <f t="shared" si="50"/>
        <v>2</v>
      </c>
      <c r="HU56" s="10">
        <f t="shared" si="51"/>
        <v>0.14766187937142977</v>
      </c>
      <c r="HY56" s="36">
        <v>209.64</v>
      </c>
      <c r="HZ56" s="36" t="s">
        <v>146</v>
      </c>
      <c r="IC56" s="36">
        <v>1419.73</v>
      </c>
      <c r="ID56" s="36" t="s">
        <v>144</v>
      </c>
      <c r="IR56" s="3">
        <f>IF(IS56="数据缺失",0,IF(IS56&lt;0%,0,IF(IS56&lt;=100%,4,IF(IS56&lt;200%,3,IF(IS56&lt;300%,2,1)))))</f>
        <v>1</v>
      </c>
      <c r="IS56" s="1">
        <f t="shared" si="53"/>
        <v>3.9237853584271289</v>
      </c>
      <c r="IW56" s="36">
        <v>2642</v>
      </c>
      <c r="IX56" s="36" t="s">
        <v>146</v>
      </c>
      <c r="JA56" s="38">
        <v>673.32938952070003</v>
      </c>
      <c r="JB56" s="36" t="s">
        <v>144</v>
      </c>
      <c r="JD56" s="36">
        <f t="shared" ref="JD56:JD64" si="61">IF(JE56="数据缺失",0,IF(JE56&lt;0%,0,IF(JE56&lt;4%,1,IF(JE56&lt;6%,2,IF(JE56&lt;8%,3,4)))))</f>
        <v>1</v>
      </c>
      <c r="JE56" s="5">
        <f>JI56/JM56/(JQ56+JU56)*2</f>
        <v>3.1061565788732596E-2</v>
      </c>
      <c r="JI56" s="36">
        <v>184.75</v>
      </c>
      <c r="JJ56" s="36" t="s">
        <v>146</v>
      </c>
      <c r="JM56" s="83">
        <v>2.75</v>
      </c>
      <c r="JN56" s="36" t="s">
        <v>146</v>
      </c>
      <c r="JQ56" s="36">
        <v>2406.27</v>
      </c>
      <c r="JR56" s="36" t="s">
        <v>940</v>
      </c>
      <c r="JU56" s="36">
        <v>1919.45</v>
      </c>
      <c r="JV56" s="36" t="s">
        <v>940</v>
      </c>
      <c r="JX56" s="36">
        <v>2</v>
      </c>
      <c r="JY56" s="36" t="s">
        <v>685</v>
      </c>
      <c r="KB56" s="36">
        <v>2</v>
      </c>
      <c r="KC56" s="36" t="s">
        <v>685</v>
      </c>
      <c r="KD56" s="36" t="s">
        <v>146</v>
      </c>
      <c r="KF56" s="8">
        <f t="shared" si="56"/>
        <v>1</v>
      </c>
      <c r="KG56" s="1">
        <f t="shared" si="57"/>
        <v>6.0148867152270526E-3</v>
      </c>
      <c r="KK56" s="36">
        <f>3.15+0.2+0.08+0.5+0.06+0.06</f>
        <v>4.05</v>
      </c>
      <c r="KL56" s="36" t="s">
        <v>146</v>
      </c>
      <c r="KO56" s="38">
        <v>673.32938952070003</v>
      </c>
      <c r="KP56" s="36" t="s">
        <v>144</v>
      </c>
    </row>
    <row r="57" spans="2:302" s="36" customFormat="1" ht="16.5" customHeight="1" x14ac:dyDescent="0.35">
      <c r="B57" s="36" t="s">
        <v>929</v>
      </c>
      <c r="C57" s="36" t="s">
        <v>325</v>
      </c>
      <c r="D57" s="36" t="s">
        <v>925</v>
      </c>
      <c r="E57" s="36" t="s">
        <v>172</v>
      </c>
      <c r="F57" s="36" t="s">
        <v>932</v>
      </c>
      <c r="G57" s="36" t="s">
        <v>249</v>
      </c>
      <c r="H57" s="41">
        <f>934.7/2520.25</f>
        <v>0.37087590516813812</v>
      </c>
      <c r="J57" s="36" t="s">
        <v>933</v>
      </c>
      <c r="L57" s="3">
        <v>4</v>
      </c>
      <c r="M57" s="36" t="s">
        <v>955</v>
      </c>
      <c r="N57" s="36" t="s">
        <v>956</v>
      </c>
      <c r="P57" s="36" t="s">
        <v>622</v>
      </c>
      <c r="Q57" s="36" t="s">
        <v>622</v>
      </c>
      <c r="R57" s="36" t="s">
        <v>956</v>
      </c>
      <c r="T57" s="36" t="s">
        <v>622</v>
      </c>
      <c r="U57" s="36" t="s">
        <v>622</v>
      </c>
      <c r="X57" s="8">
        <f t="shared" si="20"/>
        <v>1</v>
      </c>
      <c r="Y57" s="1">
        <f t="shared" si="21"/>
        <v>0.45473853812387455</v>
      </c>
      <c r="AC57" s="83">
        <v>1607</v>
      </c>
      <c r="AD57" s="36" t="s">
        <v>958</v>
      </c>
      <c r="AG57" s="83">
        <v>1050.77</v>
      </c>
      <c r="AH57" s="36" t="s">
        <v>958</v>
      </c>
      <c r="AK57" s="83">
        <v>761.36</v>
      </c>
      <c r="AL57" s="36" t="s">
        <v>958</v>
      </c>
      <c r="AN57" s="8">
        <f t="shared" si="22"/>
        <v>1</v>
      </c>
      <c r="AO57" s="1">
        <f t="shared" si="23"/>
        <v>0.4077122473460626</v>
      </c>
      <c r="AS57" s="36">
        <v>1629.34</v>
      </c>
      <c r="AT57" s="36" t="s">
        <v>937</v>
      </c>
      <c r="AW57" s="83">
        <v>1179.5</v>
      </c>
      <c r="AX57" s="36" t="s">
        <v>958</v>
      </c>
      <c r="BA57" s="83">
        <v>822.5</v>
      </c>
      <c r="BB57" s="36" t="s">
        <v>958</v>
      </c>
      <c r="BD57" s="2">
        <f t="shared" si="24"/>
        <v>1</v>
      </c>
      <c r="BE57" s="8">
        <f t="shared" si="2"/>
        <v>1607</v>
      </c>
      <c r="BI57" s="83">
        <v>1607</v>
      </c>
      <c r="BJ57" s="36" t="s">
        <v>958</v>
      </c>
      <c r="BL57" s="2">
        <f t="shared" si="26"/>
        <v>1</v>
      </c>
      <c r="BM57" s="8">
        <f t="shared" si="27"/>
        <v>1629</v>
      </c>
      <c r="BQ57" s="83">
        <v>1629</v>
      </c>
      <c r="BR57" s="36" t="s">
        <v>958</v>
      </c>
      <c r="BT57" s="8">
        <f t="shared" si="29"/>
        <v>1</v>
      </c>
      <c r="BU57" s="36">
        <v>4</v>
      </c>
      <c r="BY57" s="36">
        <v>4</v>
      </c>
      <c r="BZ57" s="36" t="s">
        <v>258</v>
      </c>
      <c r="CB57" s="36">
        <v>1</v>
      </c>
      <c r="CC57" s="36" t="s">
        <v>133</v>
      </c>
      <c r="CF57" s="36" t="s">
        <v>133</v>
      </c>
      <c r="CG57" s="39" t="s">
        <v>698</v>
      </c>
      <c r="CH57" s="47" t="s">
        <v>960</v>
      </c>
      <c r="CJ57" s="8">
        <f t="shared" si="30"/>
        <v>2</v>
      </c>
      <c r="CK57" s="12">
        <f t="shared" si="31"/>
        <v>0.54387056627255759</v>
      </c>
      <c r="CO57" s="83">
        <v>874</v>
      </c>
      <c r="CP57" s="36" t="s">
        <v>958</v>
      </c>
      <c r="CS57" s="83">
        <v>1607</v>
      </c>
      <c r="CT57" s="36" t="s">
        <v>958</v>
      </c>
      <c r="CV57" s="8">
        <f t="shared" si="33"/>
        <v>0</v>
      </c>
      <c r="CW57" s="8" t="str">
        <f t="shared" si="34"/>
        <v>数据缺失</v>
      </c>
      <c r="DA57" s="36" t="s">
        <v>37</v>
      </c>
      <c r="DD57" s="36">
        <v>0</v>
      </c>
      <c r="DE57" s="69" t="s">
        <v>37</v>
      </c>
      <c r="DI57" s="83">
        <v>1607</v>
      </c>
      <c r="DJ57" s="36" t="s">
        <v>956</v>
      </c>
      <c r="DM57" s="36" t="s">
        <v>37</v>
      </c>
      <c r="DP57" s="36">
        <v>2</v>
      </c>
      <c r="DQ57" s="36" t="s">
        <v>961</v>
      </c>
      <c r="DR57" s="36" t="s">
        <v>956</v>
      </c>
      <c r="DU57" s="41" t="s">
        <v>37</v>
      </c>
      <c r="DY57" s="41" t="s">
        <v>37</v>
      </c>
      <c r="EC57" s="41" t="s">
        <v>37</v>
      </c>
      <c r="EG57" s="41" t="s">
        <v>37</v>
      </c>
      <c r="EJ57" s="2">
        <f t="shared" si="39"/>
        <v>1</v>
      </c>
      <c r="EK57" s="8">
        <f t="shared" si="40"/>
        <v>2914</v>
      </c>
      <c r="EO57" s="36">
        <v>2914</v>
      </c>
      <c r="EP57" s="36" t="s">
        <v>956</v>
      </c>
      <c r="ER57" s="8">
        <f t="shared" si="41"/>
        <v>1</v>
      </c>
      <c r="ES57" s="6">
        <f t="shared" si="59"/>
        <v>1443</v>
      </c>
      <c r="EW57" s="36">
        <v>1443</v>
      </c>
      <c r="EX57" s="36" t="s">
        <v>956</v>
      </c>
      <c r="EZ57" s="8">
        <f t="shared" si="42"/>
        <v>0</v>
      </c>
      <c r="FA57" s="8" t="str">
        <f t="shared" si="43"/>
        <v>数据缺失</v>
      </c>
      <c r="FE57" s="83" t="s">
        <v>37</v>
      </c>
      <c r="FH57" s="36">
        <v>2</v>
      </c>
      <c r="FI57" s="36" t="s">
        <v>961</v>
      </c>
      <c r="FJ57" s="36" t="s">
        <v>956</v>
      </c>
      <c r="FM57" s="36" t="s">
        <v>37</v>
      </c>
      <c r="FQ57" s="36" t="s">
        <v>37</v>
      </c>
      <c r="FU57" s="36" t="s">
        <v>37</v>
      </c>
      <c r="FY57" s="36" t="s">
        <v>37</v>
      </c>
      <c r="GB57" s="36">
        <v>3</v>
      </c>
      <c r="GC57" s="36" t="s">
        <v>1252</v>
      </c>
      <c r="GG57" s="36" t="s">
        <v>1252</v>
      </c>
      <c r="GH57" s="36" t="s">
        <v>956</v>
      </c>
      <c r="GJ57" s="8">
        <f t="shared" si="44"/>
        <v>4</v>
      </c>
      <c r="GK57" s="1">
        <f t="shared" si="45"/>
        <v>4.6185980688661305E-3</v>
      </c>
      <c r="GN57" s="36">
        <f>7.99+3.65</f>
        <v>11.64</v>
      </c>
      <c r="GO57" s="36" t="s">
        <v>962</v>
      </c>
      <c r="GP57" s="36" t="s">
        <v>956</v>
      </c>
      <c r="GS57" s="38">
        <v>2520.2452836207999</v>
      </c>
      <c r="GT57" s="36" t="s">
        <v>144</v>
      </c>
      <c r="GV57" s="8">
        <f t="shared" si="46"/>
        <v>2</v>
      </c>
      <c r="GW57" s="1">
        <f t="shared" si="47"/>
        <v>0.32220299914109779</v>
      </c>
      <c r="HA57" s="36">
        <v>1184.67</v>
      </c>
      <c r="HB57" s="36" t="s">
        <v>956</v>
      </c>
      <c r="HE57" s="38">
        <v>3676.7814177956002</v>
      </c>
      <c r="HF57" s="39" t="s">
        <v>144</v>
      </c>
      <c r="HH57" s="36">
        <f t="shared" si="60"/>
        <v>1</v>
      </c>
      <c r="HI57" s="1">
        <f t="shared" si="49"/>
        <v>0.13756357154982415</v>
      </c>
      <c r="HM57" s="36">
        <v>38.99</v>
      </c>
      <c r="HN57" s="36" t="s">
        <v>956</v>
      </c>
      <c r="HQ57" s="83">
        <v>283.43259455049997</v>
      </c>
      <c r="HR57" s="36" t="s">
        <v>144</v>
      </c>
      <c r="HT57" s="8">
        <f t="shared" si="50"/>
        <v>2</v>
      </c>
      <c r="HU57" s="10">
        <f t="shared" si="51"/>
        <v>0.16163254356335435</v>
      </c>
      <c r="HY57" s="36">
        <v>132.55000000000001</v>
      </c>
      <c r="HZ57" s="36" t="s">
        <v>964</v>
      </c>
      <c r="IC57" s="36">
        <v>820.07</v>
      </c>
      <c r="ID57" s="36" t="s">
        <v>144</v>
      </c>
      <c r="IR57" s="3">
        <f>IF(IS57="数据缺失",0,IF(IS57&lt;0%,0,IF(IS57&lt;=100%,4,IF(IS57&lt;200%,3,IF(IS57&lt;300%,2,1)))))</f>
        <v>2</v>
      </c>
      <c r="IS57" s="1">
        <f t="shared" si="53"/>
        <v>2.7782910184322107</v>
      </c>
      <c r="IW57" s="83">
        <v>1305</v>
      </c>
      <c r="IX57" s="36" t="s">
        <v>956</v>
      </c>
      <c r="JA57" s="38">
        <v>469.71321267000002</v>
      </c>
      <c r="JB57" s="36" t="s">
        <v>144</v>
      </c>
      <c r="JD57" s="36">
        <f t="shared" si="61"/>
        <v>0</v>
      </c>
      <c r="JE57" s="31" t="s">
        <v>887</v>
      </c>
      <c r="JI57" s="36">
        <v>154.05000000000001</v>
      </c>
      <c r="JJ57" s="36" t="s">
        <v>956</v>
      </c>
      <c r="JM57" s="31" t="s">
        <v>887</v>
      </c>
      <c r="JQ57" s="84">
        <v>1315.82</v>
      </c>
      <c r="JR57" s="36" t="s">
        <v>956</v>
      </c>
      <c r="JU57" s="84">
        <v>800.25</v>
      </c>
      <c r="JV57" s="36" t="s">
        <v>956</v>
      </c>
      <c r="JX57" s="36">
        <v>2</v>
      </c>
      <c r="JY57" s="36" t="s">
        <v>685</v>
      </c>
      <c r="KB57" s="36">
        <v>3</v>
      </c>
      <c r="KC57" s="36" t="s">
        <v>685</v>
      </c>
      <c r="KD57" s="36" t="s">
        <v>956</v>
      </c>
      <c r="KF57" s="8">
        <f t="shared" si="56"/>
        <v>1</v>
      </c>
      <c r="KG57" s="1">
        <f t="shared" si="57"/>
        <v>2.435528678227164E-2</v>
      </c>
      <c r="KK57" s="36">
        <v>11.44</v>
      </c>
      <c r="KL57" s="36" t="s">
        <v>956</v>
      </c>
      <c r="KM57" s="36" t="s">
        <v>965</v>
      </c>
      <c r="KO57" s="38">
        <v>469.71321267000002</v>
      </c>
      <c r="KP57" s="36" t="s">
        <v>144</v>
      </c>
    </row>
    <row r="58" spans="2:302" s="36" customFormat="1" ht="16.5" customHeight="1" x14ac:dyDescent="0.35">
      <c r="B58" s="36" t="s">
        <v>966</v>
      </c>
      <c r="C58" s="36" t="s">
        <v>325</v>
      </c>
      <c r="D58" s="36" t="s">
        <v>520</v>
      </c>
      <c r="E58" s="36" t="s">
        <v>172</v>
      </c>
      <c r="F58" s="36" t="s">
        <v>968</v>
      </c>
      <c r="G58" s="36" t="s">
        <v>174</v>
      </c>
      <c r="H58" s="86">
        <v>1</v>
      </c>
      <c r="L58" s="85">
        <v>2</v>
      </c>
      <c r="M58" s="36" t="s">
        <v>969</v>
      </c>
      <c r="P58" s="60" t="s">
        <v>110</v>
      </c>
      <c r="Q58" s="36" t="s">
        <v>971</v>
      </c>
      <c r="R58" s="36" t="s">
        <v>130</v>
      </c>
      <c r="T58" s="60" t="s">
        <v>113</v>
      </c>
      <c r="U58" s="41">
        <v>0.4168</v>
      </c>
      <c r="X58" s="8">
        <f t="shared" si="20"/>
        <v>1</v>
      </c>
      <c r="Y58" s="1">
        <f t="shared" si="21"/>
        <v>0.36129486013714962</v>
      </c>
      <c r="AC58" s="83">
        <v>27.72</v>
      </c>
      <c r="AD58" s="36" t="s">
        <v>130</v>
      </c>
      <c r="AG58" s="83">
        <v>24.73</v>
      </c>
      <c r="AH58" s="36" t="s">
        <v>130</v>
      </c>
      <c r="AK58" s="83">
        <v>15.44</v>
      </c>
      <c r="AL58" s="36" t="s">
        <v>130</v>
      </c>
      <c r="AN58" s="8">
        <f t="shared" si="22"/>
        <v>2</v>
      </c>
      <c r="AO58" s="1">
        <f t="shared" si="23"/>
        <v>0.19245280408599649</v>
      </c>
      <c r="AS58" s="83">
        <v>18.55</v>
      </c>
      <c r="AT58" s="36" t="s">
        <v>130</v>
      </c>
      <c r="AW58" s="83">
        <v>17.510000000000002</v>
      </c>
      <c r="AX58" s="36" t="s">
        <v>130</v>
      </c>
      <c r="BA58" s="83">
        <v>13.21</v>
      </c>
      <c r="BB58" s="36" t="s">
        <v>130</v>
      </c>
      <c r="BD58" s="2">
        <f t="shared" si="24"/>
        <v>5</v>
      </c>
      <c r="BE58" s="8">
        <f t="shared" si="2"/>
        <v>27.72</v>
      </c>
      <c r="BI58" s="83">
        <v>27.72</v>
      </c>
      <c r="BJ58" s="36" t="s">
        <v>130</v>
      </c>
      <c r="BL58" s="2">
        <f t="shared" si="26"/>
        <v>5</v>
      </c>
      <c r="BM58" s="8">
        <f t="shared" si="27"/>
        <v>18.55</v>
      </c>
      <c r="BQ58" s="83">
        <v>18.55</v>
      </c>
      <c r="BR58" s="36" t="s">
        <v>130</v>
      </c>
      <c r="BT58" s="102">
        <f t="shared" si="29"/>
        <v>4</v>
      </c>
      <c r="BU58" s="103">
        <f>BY58</f>
        <v>354</v>
      </c>
      <c r="BV58" s="103"/>
      <c r="BW58" s="103"/>
      <c r="BX58" s="103"/>
      <c r="BY58" s="103">
        <v>354</v>
      </c>
      <c r="BZ58" s="36" t="s">
        <v>234</v>
      </c>
      <c r="CB58" s="36">
        <v>1</v>
      </c>
      <c r="CC58" s="36" t="s">
        <v>133</v>
      </c>
      <c r="CF58" s="36" t="s">
        <v>133</v>
      </c>
      <c r="CG58" s="36" t="s">
        <v>976</v>
      </c>
      <c r="CH58" s="36" t="s">
        <v>130</v>
      </c>
      <c r="CJ58" s="8">
        <f t="shared" si="30"/>
        <v>2</v>
      </c>
      <c r="CK58" s="12">
        <f t="shared" si="31"/>
        <v>0</v>
      </c>
      <c r="CO58" s="83">
        <v>0</v>
      </c>
      <c r="CP58" s="36" t="s">
        <v>130</v>
      </c>
      <c r="CS58" s="83">
        <v>27.72</v>
      </c>
      <c r="CT58" s="36" t="s">
        <v>130</v>
      </c>
      <c r="CV58" s="8">
        <f t="shared" si="33"/>
        <v>0</v>
      </c>
      <c r="CW58" s="8" t="str">
        <f t="shared" si="34"/>
        <v>数据缺失</v>
      </c>
      <c r="DA58" s="36" t="s">
        <v>37</v>
      </c>
      <c r="DD58" s="36">
        <v>0</v>
      </c>
      <c r="DE58" s="69" t="s">
        <v>37</v>
      </c>
      <c r="DI58" s="83">
        <v>18.55</v>
      </c>
      <c r="DJ58" s="36" t="s">
        <v>130</v>
      </c>
      <c r="DM58" s="36" t="s">
        <v>37</v>
      </c>
      <c r="DP58" s="36">
        <v>5</v>
      </c>
      <c r="DQ58" s="6" t="s">
        <v>977</v>
      </c>
      <c r="DR58" s="36" t="s">
        <v>130</v>
      </c>
      <c r="DU58" s="41" t="s">
        <v>37</v>
      </c>
      <c r="DY58" s="41" t="s">
        <v>37</v>
      </c>
      <c r="EC58" s="41" t="s">
        <v>37</v>
      </c>
      <c r="EG58" s="41" t="s">
        <v>37</v>
      </c>
      <c r="EJ58" s="2">
        <f t="shared" si="39"/>
        <v>0</v>
      </c>
      <c r="EK58" s="8" t="str">
        <f t="shared" si="40"/>
        <v>数据缺失</v>
      </c>
      <c r="EO58" s="36" t="s">
        <v>37</v>
      </c>
      <c r="ER58" s="8">
        <f t="shared" si="41"/>
        <v>2</v>
      </c>
      <c r="ES58" s="6">
        <f t="shared" si="59"/>
        <v>50.59</v>
      </c>
      <c r="EW58" s="83">
        <v>50.59</v>
      </c>
      <c r="EX58" s="36" t="s">
        <v>130</v>
      </c>
      <c r="EZ58" s="8">
        <f t="shared" si="42"/>
        <v>2</v>
      </c>
      <c r="FA58" s="8">
        <f t="shared" si="43"/>
        <v>117.79</v>
      </c>
      <c r="FE58" s="83">
        <v>117.79</v>
      </c>
      <c r="FF58" s="36" t="s">
        <v>130</v>
      </c>
      <c r="FH58" s="36">
        <v>5</v>
      </c>
      <c r="FI58" s="36" t="s">
        <v>978</v>
      </c>
      <c r="FM58" s="36" t="s">
        <v>37</v>
      </c>
      <c r="FQ58" s="36" t="s">
        <v>37</v>
      </c>
      <c r="FU58" s="36" t="s">
        <v>37</v>
      </c>
      <c r="FY58" s="36" t="s">
        <v>37</v>
      </c>
      <c r="GB58" s="36">
        <v>2</v>
      </c>
      <c r="GC58" s="36" t="s">
        <v>979</v>
      </c>
      <c r="GG58" s="36" t="s">
        <v>979</v>
      </c>
      <c r="GH58" s="36" t="s">
        <v>130</v>
      </c>
      <c r="GJ58" s="8">
        <f t="shared" si="44"/>
        <v>3</v>
      </c>
      <c r="GK58" s="1">
        <f t="shared" si="45"/>
        <v>9.1448968110221726E-2</v>
      </c>
      <c r="GN58" s="36">
        <v>2.79</v>
      </c>
      <c r="GO58" s="36" t="s">
        <v>980</v>
      </c>
      <c r="GP58" s="36" t="s">
        <v>130</v>
      </c>
      <c r="GS58" s="38">
        <v>30.508818827100001</v>
      </c>
      <c r="GT58" s="36" t="s">
        <v>144</v>
      </c>
      <c r="GV58" s="8">
        <f t="shared" si="46"/>
        <v>2</v>
      </c>
      <c r="GW58" s="1">
        <f t="shared" si="47"/>
        <v>0.29821875146160004</v>
      </c>
      <c r="HA58" s="36">
        <v>56.92</v>
      </c>
      <c r="HB58" s="36" t="s">
        <v>146</v>
      </c>
      <c r="HE58" s="38">
        <v>190.86660285790001</v>
      </c>
      <c r="HF58" s="39" t="s">
        <v>144</v>
      </c>
      <c r="HH58" s="36">
        <f t="shared" si="60"/>
        <v>1</v>
      </c>
      <c r="HI58" s="1">
        <f t="shared" si="49"/>
        <v>0.12779502663682613</v>
      </c>
      <c r="HM58" s="36">
        <v>3.17</v>
      </c>
      <c r="HN58" s="36" t="s">
        <v>146</v>
      </c>
      <c r="HQ58" s="83">
        <v>24.805347151799999</v>
      </c>
      <c r="HR58" s="36" t="s">
        <v>144</v>
      </c>
      <c r="HT58" s="8">
        <f t="shared" si="50"/>
        <v>4</v>
      </c>
      <c r="HU58" s="10">
        <f t="shared" si="51"/>
        <v>0</v>
      </c>
      <c r="HY58" s="36">
        <v>0</v>
      </c>
      <c r="HZ58" s="36" t="s">
        <v>146</v>
      </c>
      <c r="IC58" s="36">
        <v>64.260000000000005</v>
      </c>
      <c r="ID58" s="36" t="s">
        <v>144</v>
      </c>
      <c r="IR58" s="3">
        <f>IF(IS58="数据缺失",0,IF(IS58&lt;0%,0,IF(IS58&lt;=100%,4,IF(IS58&lt;200%,3,IF(IS58&lt;300%,2,1)))))</f>
        <v>1</v>
      </c>
      <c r="IS58" s="1">
        <f t="shared" si="53"/>
        <v>3.7582438354370025</v>
      </c>
      <c r="IW58" s="83">
        <v>120.03</v>
      </c>
      <c r="IX58" s="36" t="s">
        <v>146</v>
      </c>
      <c r="JA58" s="38">
        <v>31.9377893654</v>
      </c>
      <c r="JB58" s="36" t="s">
        <v>144</v>
      </c>
      <c r="JD58" s="36">
        <f t="shared" si="61"/>
        <v>4</v>
      </c>
      <c r="JE58" s="5">
        <f t="shared" ref="JE58:JE65" si="62">JI58/JM58/(JQ58+JU58)*2</f>
        <v>8.6794310438635128E-2</v>
      </c>
      <c r="JI58" s="36">
        <v>2.0099999999999998</v>
      </c>
      <c r="JJ58" s="36" t="s">
        <v>130</v>
      </c>
      <c r="JM58" s="83">
        <v>0.26</v>
      </c>
      <c r="JN58" s="36" t="s">
        <v>130</v>
      </c>
      <c r="JQ58" s="36">
        <v>116.73</v>
      </c>
      <c r="JR58" s="36" t="s">
        <v>130</v>
      </c>
      <c r="JU58" s="36">
        <v>61.41</v>
      </c>
      <c r="JV58" s="36" t="s">
        <v>130</v>
      </c>
      <c r="JX58" s="36">
        <v>2</v>
      </c>
      <c r="JY58" s="36" t="s">
        <v>981</v>
      </c>
      <c r="KB58" s="36">
        <v>15</v>
      </c>
      <c r="KC58" s="36" t="s">
        <v>981</v>
      </c>
      <c r="KD58" s="36" t="s">
        <v>130</v>
      </c>
      <c r="KF58" s="8">
        <f t="shared" si="56"/>
        <v>1</v>
      </c>
      <c r="KG58" s="1">
        <f t="shared" si="57"/>
        <v>1.2524348364365582E-3</v>
      </c>
      <c r="KK58" s="36">
        <v>0.04</v>
      </c>
      <c r="KL58" s="36" t="s">
        <v>146</v>
      </c>
      <c r="KO58" s="38">
        <v>31.9377893654</v>
      </c>
      <c r="KP58" s="36" t="s">
        <v>144</v>
      </c>
    </row>
    <row r="59" spans="2:302" s="36" customFormat="1" ht="16.5" customHeight="1" x14ac:dyDescent="0.35">
      <c r="B59" s="36" t="s">
        <v>982</v>
      </c>
      <c r="C59" s="39" t="s">
        <v>196</v>
      </c>
      <c r="D59" s="36" t="s">
        <v>983</v>
      </c>
      <c r="E59" s="36" t="s">
        <v>172</v>
      </c>
      <c r="F59" s="36" t="s">
        <v>984</v>
      </c>
      <c r="G59" s="36" t="s">
        <v>199</v>
      </c>
      <c r="H59" s="40">
        <v>0.36549999999999999</v>
      </c>
      <c r="L59" s="3">
        <v>2</v>
      </c>
      <c r="M59" s="36" t="s">
        <v>985</v>
      </c>
      <c r="P59" s="60" t="s">
        <v>110</v>
      </c>
      <c r="Q59" s="36" t="s">
        <v>987</v>
      </c>
      <c r="R59" s="39" t="s">
        <v>988</v>
      </c>
      <c r="T59" s="36" t="s">
        <v>203</v>
      </c>
      <c r="U59" s="86">
        <v>0.53</v>
      </c>
      <c r="X59" s="8">
        <f t="shared" si="20"/>
        <v>1</v>
      </c>
      <c r="Y59" s="1">
        <f t="shared" si="21"/>
        <v>1.2748378983822968</v>
      </c>
      <c r="Z59" s="39"/>
      <c r="AA59" s="39"/>
      <c r="AB59" s="39"/>
      <c r="AC59" s="39">
        <v>44.88</v>
      </c>
      <c r="AD59" s="39" t="s">
        <v>988</v>
      </c>
      <c r="AE59" s="39"/>
      <c r="AF59" s="39"/>
      <c r="AG59" s="39">
        <v>24.71</v>
      </c>
      <c r="AH59" s="39" t="s">
        <v>988</v>
      </c>
      <c r="AI59" s="39"/>
      <c r="AJ59" s="39"/>
      <c r="AK59" s="39">
        <v>9.0399999999999991</v>
      </c>
      <c r="AL59" s="39" t="s">
        <v>988</v>
      </c>
      <c r="AN59" s="8">
        <f t="shared" si="22"/>
        <v>1</v>
      </c>
      <c r="AO59" s="1">
        <f t="shared" si="23"/>
        <v>0.81141676048679245</v>
      </c>
      <c r="AP59" s="39"/>
      <c r="AQ59" s="39"/>
      <c r="AR59" s="39"/>
      <c r="AS59" s="39">
        <v>26.93</v>
      </c>
      <c r="AT59" s="39" t="s">
        <v>988</v>
      </c>
      <c r="AU59" s="39"/>
      <c r="AV59" s="39"/>
      <c r="AW59" s="39">
        <v>18.39</v>
      </c>
      <c r="AX59" s="39" t="s">
        <v>988</v>
      </c>
      <c r="BA59" s="39">
        <v>8.52</v>
      </c>
      <c r="BB59" s="39" t="s">
        <v>988</v>
      </c>
      <c r="BD59" s="2">
        <f t="shared" si="24"/>
        <v>5</v>
      </c>
      <c r="BE59" s="8">
        <f t="shared" si="2"/>
        <v>44.88</v>
      </c>
      <c r="BF59" s="39"/>
      <c r="BG59" s="39"/>
      <c r="BH59" s="39"/>
      <c r="BI59" s="39">
        <v>44.88</v>
      </c>
      <c r="BJ59" s="39" t="s">
        <v>988</v>
      </c>
      <c r="BL59" s="2">
        <f t="shared" si="26"/>
        <v>5</v>
      </c>
      <c r="BM59" s="8">
        <f t="shared" si="27"/>
        <v>26.93</v>
      </c>
      <c r="BN59" s="39"/>
      <c r="BO59" s="39"/>
      <c r="BP59" s="39"/>
      <c r="BQ59" s="39">
        <v>26.93</v>
      </c>
      <c r="BR59" s="39" t="s">
        <v>988</v>
      </c>
      <c r="BT59" s="8">
        <f t="shared" si="29"/>
        <v>5</v>
      </c>
      <c r="BU59" s="36" t="str">
        <f>BY59</f>
        <v>未上榜</v>
      </c>
      <c r="BY59" s="36" t="s">
        <v>975</v>
      </c>
      <c r="BZ59" s="47" t="s">
        <v>991</v>
      </c>
      <c r="CB59" s="39">
        <v>3</v>
      </c>
      <c r="CC59" s="39" t="s">
        <v>135</v>
      </c>
      <c r="CD59" s="39"/>
      <c r="CE59" s="39"/>
      <c r="CF59" s="39" t="s">
        <v>135</v>
      </c>
      <c r="CG59" s="39" t="s">
        <v>993</v>
      </c>
      <c r="CH59" s="39" t="s">
        <v>994</v>
      </c>
      <c r="CI59" s="39" t="s">
        <v>995</v>
      </c>
      <c r="CJ59" s="8">
        <f t="shared" si="30"/>
        <v>1</v>
      </c>
      <c r="CK59" s="12">
        <f t="shared" si="31"/>
        <v>2.6492869875222818</v>
      </c>
      <c r="CL59" s="39"/>
      <c r="CM59" s="39"/>
      <c r="CN59" s="39"/>
      <c r="CO59" s="39">
        <v>118.9</v>
      </c>
      <c r="CP59" s="39" t="s">
        <v>988</v>
      </c>
      <c r="CQ59" s="39"/>
      <c r="CR59" s="39"/>
      <c r="CS59" s="39">
        <v>44.88</v>
      </c>
      <c r="CT59" s="39" t="s">
        <v>988</v>
      </c>
      <c r="CV59" s="8">
        <f t="shared" si="33"/>
        <v>4</v>
      </c>
      <c r="CW59" s="8">
        <f t="shared" si="34"/>
        <v>185.25</v>
      </c>
      <c r="CX59" s="39"/>
      <c r="CY59" s="39"/>
      <c r="CZ59" s="39"/>
      <c r="DA59" s="39">
        <v>185.25</v>
      </c>
      <c r="DB59" s="39" t="s">
        <v>988</v>
      </c>
      <c r="DD59" s="39">
        <f t="shared" ref="DD59:DD64" si="63">IF(DE59="数据缺失",0,IF(DE59&lt;0,0,IF(DE59&lt;2,3,IF(DE59&lt;=5,1,2))))</f>
        <v>2</v>
      </c>
      <c r="DE59" s="15">
        <f t="shared" si="36"/>
        <v>6.8789454140363908</v>
      </c>
      <c r="DF59" s="39"/>
      <c r="DG59" s="39"/>
      <c r="DH59" s="39"/>
      <c r="DI59" s="39">
        <v>26.93</v>
      </c>
      <c r="DJ59" s="39" t="s">
        <v>988</v>
      </c>
      <c r="DK59" s="39"/>
      <c r="DL59" s="39"/>
      <c r="DM59" s="39">
        <v>185.25</v>
      </c>
      <c r="DN59" s="39" t="s">
        <v>988</v>
      </c>
      <c r="DP59" s="39">
        <v>2</v>
      </c>
      <c r="DQ59" s="39" t="s">
        <v>996</v>
      </c>
      <c r="DR59" s="39"/>
      <c r="DS59" s="39"/>
      <c r="DT59" s="39"/>
      <c r="DU59" s="40">
        <v>0.47139999999999999</v>
      </c>
      <c r="DV59" s="39" t="s">
        <v>988</v>
      </c>
      <c r="DW59" s="39"/>
      <c r="DX59" s="39"/>
      <c r="DY59" s="40">
        <v>0.52859999999999996</v>
      </c>
      <c r="DZ59" s="39" t="s">
        <v>988</v>
      </c>
      <c r="EA59" s="39"/>
      <c r="EB59" s="39"/>
      <c r="EC59" s="40">
        <v>0</v>
      </c>
      <c r="ED59" s="39" t="s">
        <v>988</v>
      </c>
      <c r="EE59" s="39"/>
      <c r="EF59" s="39"/>
      <c r="EG59" s="40">
        <v>0</v>
      </c>
      <c r="EH59" s="39" t="s">
        <v>988</v>
      </c>
      <c r="EJ59" s="2">
        <f t="shared" si="39"/>
        <v>1</v>
      </c>
      <c r="EK59" s="8">
        <f t="shared" si="40"/>
        <v>146.38999999999999</v>
      </c>
      <c r="EL59" s="39"/>
      <c r="EM59" s="39"/>
      <c r="EN59" s="39"/>
      <c r="EO59" s="39">
        <v>146.38999999999999</v>
      </c>
      <c r="EP59" s="39" t="s">
        <v>988</v>
      </c>
      <c r="ER59" s="8">
        <f t="shared" si="41"/>
        <v>3</v>
      </c>
      <c r="ES59" s="6">
        <f t="shared" si="59"/>
        <v>20.83</v>
      </c>
      <c r="ET59" s="39"/>
      <c r="EU59" s="39"/>
      <c r="EV59" s="39"/>
      <c r="EW59" s="39">
        <v>20.83</v>
      </c>
      <c r="EX59" s="39" t="s">
        <v>988</v>
      </c>
      <c r="EZ59" s="8">
        <f t="shared" si="42"/>
        <v>2</v>
      </c>
      <c r="FA59" s="8">
        <f t="shared" si="43"/>
        <v>124.34</v>
      </c>
      <c r="FB59" s="39"/>
      <c r="FC59" s="39"/>
      <c r="FD59" s="39"/>
      <c r="FE59" s="39">
        <v>124.34</v>
      </c>
      <c r="FF59" s="39" t="s">
        <v>988</v>
      </c>
      <c r="FG59" s="39"/>
      <c r="FH59" s="39">
        <v>2</v>
      </c>
      <c r="FI59" s="39" t="s">
        <v>997</v>
      </c>
      <c r="FJ59" s="39"/>
      <c r="FK59" s="39"/>
      <c r="FL59" s="39"/>
      <c r="FM59" s="40">
        <v>0.44690000000000002</v>
      </c>
      <c r="FN59" s="39" t="s">
        <v>988</v>
      </c>
      <c r="FO59" s="39"/>
      <c r="FP59" s="39"/>
      <c r="FQ59" s="39">
        <v>48.21</v>
      </c>
      <c r="FR59" s="39" t="s">
        <v>988</v>
      </c>
      <c r="FS59" s="39"/>
      <c r="FT59" s="39"/>
      <c r="FU59" s="39">
        <v>0</v>
      </c>
      <c r="FV59" s="39" t="s">
        <v>988</v>
      </c>
      <c r="FW59" s="39"/>
      <c r="FX59" s="39"/>
      <c r="FY59" s="40">
        <v>7.0999999999999994E-2</v>
      </c>
      <c r="FZ59" s="39" t="s">
        <v>988</v>
      </c>
      <c r="GB59" s="36">
        <v>3</v>
      </c>
      <c r="GC59" s="36" t="s">
        <v>998</v>
      </c>
      <c r="GG59" s="36" t="s">
        <v>998</v>
      </c>
      <c r="GH59" s="39" t="s">
        <v>994</v>
      </c>
      <c r="GJ59" s="8">
        <f t="shared" si="44"/>
        <v>4</v>
      </c>
      <c r="GK59" s="1">
        <f t="shared" si="45"/>
        <v>2.5847894403596989E-3</v>
      </c>
      <c r="GN59" s="36">
        <v>0.12</v>
      </c>
      <c r="GO59" s="36" t="s">
        <v>999</v>
      </c>
      <c r="GP59" s="39" t="s">
        <v>994</v>
      </c>
      <c r="GS59" s="69">
        <v>46.425445000000003</v>
      </c>
      <c r="GT59" s="39" t="s">
        <v>144</v>
      </c>
      <c r="GV59" s="8">
        <f t="shared" si="46"/>
        <v>1</v>
      </c>
      <c r="GW59" s="1">
        <f t="shared" si="47"/>
        <v>0.10536914592113823</v>
      </c>
      <c r="GX59" s="39"/>
      <c r="GY59" s="39"/>
      <c r="GZ59" s="39"/>
      <c r="HA59" s="69">
        <v>38.013204999999999</v>
      </c>
      <c r="HB59" s="39" t="s">
        <v>994</v>
      </c>
      <c r="HC59" s="39"/>
      <c r="HD59" s="39"/>
      <c r="HE59" s="69">
        <v>360.762201</v>
      </c>
      <c r="HF59" s="39" t="s">
        <v>144</v>
      </c>
      <c r="HH59" s="39">
        <f t="shared" si="60"/>
        <v>1</v>
      </c>
      <c r="HI59" s="1">
        <f t="shared" si="49"/>
        <v>0.10584700641599738</v>
      </c>
      <c r="HJ59" s="39"/>
      <c r="HK59" s="39"/>
      <c r="HL59" s="39"/>
      <c r="HM59" s="69">
        <v>2.7132049999999999</v>
      </c>
      <c r="HN59" s="39" t="s">
        <v>994</v>
      </c>
      <c r="HO59" s="39"/>
      <c r="HP59" s="39"/>
      <c r="HQ59" s="78">
        <v>25.633271000000001</v>
      </c>
      <c r="HR59" s="39" t="s">
        <v>144</v>
      </c>
      <c r="HT59" s="8">
        <f t="shared" si="50"/>
        <v>4</v>
      </c>
      <c r="HU59" s="10">
        <f t="shared" si="51"/>
        <v>3.2081228861002911E-2</v>
      </c>
      <c r="HV59" s="39"/>
      <c r="HW59" s="39"/>
      <c r="HX59" s="39"/>
      <c r="HY59" s="39">
        <v>1.9</v>
      </c>
      <c r="HZ59" s="39" t="s">
        <v>994</v>
      </c>
      <c r="IA59" s="39"/>
      <c r="IB59" s="39"/>
      <c r="IC59" s="69">
        <v>59.224663999999997</v>
      </c>
      <c r="ID59" s="39" t="s">
        <v>144</v>
      </c>
      <c r="IR59" s="3" t="str">
        <f>IF(IS59&gt;=300%,"1",IF(IS59&gt;=200%,"2",IF(IS59&gt;=100%,"3",IF(IS59&gt;=0%,"4",IF(IS59=数据缺失,"0")))))</f>
        <v>2</v>
      </c>
      <c r="IS59" s="1">
        <f t="shared" si="53"/>
        <v>2.7852708811669817</v>
      </c>
      <c r="IW59" s="36">
        <v>158</v>
      </c>
      <c r="IX59" s="36" t="s">
        <v>988</v>
      </c>
      <c r="JA59" s="38">
        <v>56.726978000000003</v>
      </c>
      <c r="JB59" s="39" t="s">
        <v>144</v>
      </c>
      <c r="JD59" s="39">
        <f t="shared" si="61"/>
        <v>3</v>
      </c>
      <c r="JE59" s="43">
        <f t="shared" si="62"/>
        <v>6.4695833970730712E-2</v>
      </c>
      <c r="JI59" s="36">
        <v>16.239999999999998</v>
      </c>
      <c r="JJ59" s="36" t="s">
        <v>988</v>
      </c>
      <c r="JM59" s="36">
        <v>2.88</v>
      </c>
      <c r="JN59" s="36" t="s">
        <v>988</v>
      </c>
      <c r="JQ59" s="36">
        <v>119.43</v>
      </c>
      <c r="JR59" s="36" t="s">
        <v>988</v>
      </c>
      <c r="JU59" s="36">
        <v>54.89</v>
      </c>
      <c r="JV59" s="36" t="s">
        <v>988</v>
      </c>
      <c r="JX59" s="36">
        <v>2</v>
      </c>
      <c r="JY59" s="36" t="s">
        <v>1001</v>
      </c>
      <c r="KB59" s="36">
        <v>9</v>
      </c>
      <c r="KC59" s="36" t="str">
        <f>JY59</f>
        <v>天职国际会计师事务所（特殊普通合伙）</v>
      </c>
      <c r="KD59" s="36" t="s">
        <v>994</v>
      </c>
      <c r="KF59" s="8">
        <f t="shared" si="56"/>
        <v>2</v>
      </c>
      <c r="KG59" s="1">
        <f t="shared" si="57"/>
        <v>0.38940907446189005</v>
      </c>
      <c r="KH59" s="39"/>
      <c r="KI59" s="39"/>
      <c r="KJ59" s="39"/>
      <c r="KK59" s="39">
        <v>22.09</v>
      </c>
      <c r="KL59" s="39" t="s">
        <v>988</v>
      </c>
      <c r="KM59" s="39" t="s">
        <v>1002</v>
      </c>
      <c r="KN59" s="39"/>
      <c r="KO59" s="69">
        <v>56.726978000000003</v>
      </c>
      <c r="KP59" s="39" t="s">
        <v>144</v>
      </c>
    </row>
    <row r="60" spans="2:302" s="36" customFormat="1" ht="16.5" customHeight="1" x14ac:dyDescent="0.35">
      <c r="B60" s="36" t="s">
        <v>1003</v>
      </c>
      <c r="C60" s="39" t="s">
        <v>196</v>
      </c>
      <c r="D60" s="36" t="s">
        <v>983</v>
      </c>
      <c r="E60" s="36" t="s">
        <v>172</v>
      </c>
      <c r="F60" s="36" t="s">
        <v>1005</v>
      </c>
      <c r="G60" s="36" t="s">
        <v>199</v>
      </c>
      <c r="H60" s="41">
        <v>0.99809999999999999</v>
      </c>
      <c r="L60" s="3">
        <v>4</v>
      </c>
      <c r="M60" s="36" t="s">
        <v>1006</v>
      </c>
      <c r="P60" s="60" t="s">
        <v>670</v>
      </c>
      <c r="Q60" s="36" t="s">
        <v>1008</v>
      </c>
      <c r="R60" s="36" t="s">
        <v>877</v>
      </c>
      <c r="T60" s="36" t="s">
        <v>129</v>
      </c>
      <c r="U60" s="41">
        <v>0.30120000000000002</v>
      </c>
      <c r="X60" s="14">
        <f t="shared" si="20"/>
        <v>5</v>
      </c>
      <c r="Y60" s="43">
        <f t="shared" si="21"/>
        <v>-0.16233062330623305</v>
      </c>
      <c r="Z60" s="39"/>
      <c r="AA60" s="39"/>
      <c r="AB60" s="39"/>
      <c r="AC60" s="39">
        <v>130</v>
      </c>
      <c r="AD60" s="39" t="s">
        <v>1009</v>
      </c>
      <c r="AE60" s="39"/>
      <c r="AF60" s="39"/>
      <c r="AG60" s="39">
        <v>225</v>
      </c>
      <c r="AH60" s="39" t="s">
        <v>1010</v>
      </c>
      <c r="AI60" s="39"/>
      <c r="AJ60" s="39"/>
      <c r="AK60" s="39">
        <v>205</v>
      </c>
      <c r="AL60" s="39" t="s">
        <v>1010</v>
      </c>
      <c r="AN60" s="14">
        <f t="shared" si="22"/>
        <v>5</v>
      </c>
      <c r="AO60" s="43">
        <f t="shared" si="23"/>
        <v>-0.26025369978858348</v>
      </c>
      <c r="AP60" s="39"/>
      <c r="AQ60" s="39"/>
      <c r="AR60" s="39"/>
      <c r="AS60" s="39">
        <v>60</v>
      </c>
      <c r="AT60" s="39" t="s">
        <v>1010</v>
      </c>
      <c r="AU60" s="39"/>
      <c r="AV60" s="39"/>
      <c r="AW60" s="39">
        <v>86</v>
      </c>
      <c r="AX60" s="39" t="s">
        <v>1010</v>
      </c>
      <c r="AY60" s="39"/>
      <c r="AZ60" s="39"/>
      <c r="BA60" s="39">
        <v>110</v>
      </c>
      <c r="BB60" s="39" t="s">
        <v>1010</v>
      </c>
      <c r="BD60" s="42">
        <f t="shared" si="24"/>
        <v>3</v>
      </c>
      <c r="BE60" s="14">
        <f t="shared" si="2"/>
        <v>130</v>
      </c>
      <c r="BF60" s="39"/>
      <c r="BG60" s="39"/>
      <c r="BH60" s="39"/>
      <c r="BI60" s="39">
        <v>130</v>
      </c>
      <c r="BJ60" s="39" t="s">
        <v>1010</v>
      </c>
      <c r="BK60" s="39"/>
      <c r="BL60" s="42">
        <f t="shared" si="26"/>
        <v>4</v>
      </c>
      <c r="BM60" s="14">
        <f t="shared" si="27"/>
        <v>60</v>
      </c>
      <c r="BN60" s="39"/>
      <c r="BO60" s="39"/>
      <c r="BP60" s="39"/>
      <c r="BQ60" s="39">
        <v>60</v>
      </c>
      <c r="BR60" s="39" t="s">
        <v>1010</v>
      </c>
      <c r="BT60" s="14">
        <f t="shared" si="29"/>
        <v>2</v>
      </c>
      <c r="BU60" s="39">
        <v>34</v>
      </c>
      <c r="BV60" s="39"/>
      <c r="BW60" s="39"/>
      <c r="BX60" s="39"/>
      <c r="BY60" s="39">
        <v>34</v>
      </c>
      <c r="BZ60" s="39" t="s">
        <v>398</v>
      </c>
      <c r="CB60" s="39">
        <v>1</v>
      </c>
      <c r="CC60" s="39" t="str">
        <f>CF60</f>
        <v>一级</v>
      </c>
      <c r="CD60" s="39"/>
      <c r="CE60" s="39"/>
      <c r="CF60" s="39" t="s">
        <v>132</v>
      </c>
      <c r="CG60" s="39" t="s">
        <v>1011</v>
      </c>
      <c r="CH60" s="39" t="s">
        <v>1012</v>
      </c>
      <c r="CJ60" s="14">
        <f t="shared" si="30"/>
        <v>2</v>
      </c>
      <c r="CK60" s="97">
        <f t="shared" si="31"/>
        <v>1.2307692307692308</v>
      </c>
      <c r="CL60" s="39"/>
      <c r="CM60" s="39"/>
      <c r="CN60" s="39"/>
      <c r="CO60" s="39">
        <v>160</v>
      </c>
      <c r="CP60" s="39" t="s">
        <v>1010</v>
      </c>
      <c r="CQ60" s="39"/>
      <c r="CR60" s="39"/>
      <c r="CS60" s="39">
        <v>130</v>
      </c>
      <c r="CT60" s="39" t="s">
        <v>1010</v>
      </c>
      <c r="CV60" s="14">
        <f t="shared" si="33"/>
        <v>3</v>
      </c>
      <c r="CW60" s="14">
        <f t="shared" si="34"/>
        <v>833</v>
      </c>
      <c r="CX60" s="39"/>
      <c r="CY60" s="39"/>
      <c r="CZ60" s="39"/>
      <c r="DA60" s="39">
        <v>833</v>
      </c>
      <c r="DB60" s="39" t="s">
        <v>1010</v>
      </c>
      <c r="DD60" s="39">
        <f t="shared" si="63"/>
        <v>2</v>
      </c>
      <c r="DE60" s="154">
        <f t="shared" si="36"/>
        <v>13.883333333333333</v>
      </c>
      <c r="DF60" s="39"/>
      <c r="DG60" s="39"/>
      <c r="DH60" s="39"/>
      <c r="DI60" s="39">
        <v>60</v>
      </c>
      <c r="DJ60" s="39" t="s">
        <v>1009</v>
      </c>
      <c r="DK60" s="39"/>
      <c r="DL60" s="39"/>
      <c r="DM60" s="39">
        <v>833</v>
      </c>
      <c r="DN60" s="39" t="s">
        <v>1010</v>
      </c>
      <c r="DP60" s="36">
        <v>2</v>
      </c>
      <c r="DQ60" s="87" t="s">
        <v>1013</v>
      </c>
      <c r="DR60" s="39" t="s">
        <v>1014</v>
      </c>
      <c r="DU60" s="41" t="s">
        <v>37</v>
      </c>
      <c r="DY60" s="41" t="s">
        <v>37</v>
      </c>
      <c r="EC60" s="41" t="s">
        <v>37</v>
      </c>
      <c r="EG60" s="41" t="s">
        <v>37</v>
      </c>
      <c r="EJ60" s="42">
        <f t="shared" si="39"/>
        <v>1</v>
      </c>
      <c r="EK60" s="14">
        <f t="shared" si="40"/>
        <v>115</v>
      </c>
      <c r="EL60" s="39"/>
      <c r="EM60" s="39"/>
      <c r="EN60" s="39"/>
      <c r="EO60" s="39">
        <v>115</v>
      </c>
      <c r="EP60" s="39" t="s">
        <v>1010</v>
      </c>
      <c r="ER60" s="14">
        <f t="shared" si="41"/>
        <v>1</v>
      </c>
      <c r="ES60" s="6">
        <f t="shared" si="59"/>
        <v>132</v>
      </c>
      <c r="ET60" s="39"/>
      <c r="EU60" s="39"/>
      <c r="EV60" s="39"/>
      <c r="EW60" s="39">
        <v>132</v>
      </c>
      <c r="EX60" s="39" t="s">
        <v>1010</v>
      </c>
      <c r="EZ60" s="14">
        <f t="shared" si="42"/>
        <v>0</v>
      </c>
      <c r="FA60" s="14" t="str">
        <f t="shared" si="43"/>
        <v>数据缺失</v>
      </c>
      <c r="FE60" s="36" t="s">
        <v>37</v>
      </c>
      <c r="FH60" s="36">
        <v>1</v>
      </c>
      <c r="FI60" s="36" t="s">
        <v>1015</v>
      </c>
      <c r="FJ60" s="39" t="s">
        <v>1010</v>
      </c>
      <c r="FM60" s="36" t="s">
        <v>37</v>
      </c>
      <c r="FQ60" s="36" t="s">
        <v>37</v>
      </c>
      <c r="FU60" s="36" t="s">
        <v>37</v>
      </c>
      <c r="FY60" s="36" t="s">
        <v>37</v>
      </c>
      <c r="GB60" s="36">
        <v>2</v>
      </c>
      <c r="GC60" s="36" t="s">
        <v>1016</v>
      </c>
      <c r="GG60" s="36" t="s">
        <v>1016</v>
      </c>
      <c r="GH60" s="39" t="s">
        <v>1010</v>
      </c>
      <c r="GJ60" s="14">
        <f t="shared" si="44"/>
        <v>3</v>
      </c>
      <c r="GK60" s="43">
        <f t="shared" si="45"/>
        <v>5.4862328400145335E-2</v>
      </c>
      <c r="GN60" s="88">
        <v>12.089399999999999</v>
      </c>
      <c r="GO60" s="39" t="s">
        <v>1017</v>
      </c>
      <c r="GP60" s="39" t="s">
        <v>1010</v>
      </c>
      <c r="GS60" s="38">
        <v>220.35885738979999</v>
      </c>
      <c r="GT60" s="36" t="s">
        <v>144</v>
      </c>
      <c r="GV60" s="14">
        <f t="shared" si="46"/>
        <v>2</v>
      </c>
      <c r="GW60" s="43">
        <f t="shared" si="47"/>
        <v>0.31021147227608425</v>
      </c>
      <c r="GX60" s="39"/>
      <c r="GY60" s="39"/>
      <c r="GZ60" s="39"/>
      <c r="HA60" s="69">
        <v>271.70628599999998</v>
      </c>
      <c r="HB60" s="36" t="s">
        <v>1012</v>
      </c>
      <c r="HC60" s="39"/>
      <c r="HD60" s="39"/>
      <c r="HE60" s="69">
        <v>875.87439628339996</v>
      </c>
      <c r="HF60" s="39" t="s">
        <v>144</v>
      </c>
      <c r="HH60" s="39">
        <f t="shared" si="60"/>
        <v>1</v>
      </c>
      <c r="HI60" s="43">
        <f t="shared" si="49"/>
        <v>0</v>
      </c>
      <c r="HJ60" s="39"/>
      <c r="HK60" s="39"/>
      <c r="HL60" s="39"/>
      <c r="HM60" s="39">
        <v>0</v>
      </c>
      <c r="HN60" s="39" t="s">
        <v>877</v>
      </c>
      <c r="HO60" s="39"/>
      <c r="HP60" s="39"/>
      <c r="HQ60" s="78">
        <v>80.619196113699999</v>
      </c>
      <c r="HR60" s="39" t="s">
        <v>144</v>
      </c>
      <c r="HT60" s="14">
        <f t="shared" si="50"/>
        <v>4</v>
      </c>
      <c r="HU60" s="98">
        <f t="shared" si="51"/>
        <v>1.9670882552231289E-2</v>
      </c>
      <c r="HY60" s="36">
        <v>5.08</v>
      </c>
      <c r="HZ60" s="36" t="s">
        <v>877</v>
      </c>
      <c r="IA60" s="36" t="s">
        <v>1002</v>
      </c>
      <c r="IC60" s="69">
        <v>258.24972451090002</v>
      </c>
      <c r="ID60" s="39" t="s">
        <v>144</v>
      </c>
      <c r="IR60" s="33">
        <f>IF(IS60="数据缺失",0,IF(IS60&lt;0%,0,IF(IS60&lt;=100%,4,IF(IS60&lt;200%,3,IF(IS60&lt;300%,2,1)))))</f>
        <v>3</v>
      </c>
      <c r="IS60" s="32">
        <f>IW60/JA60</f>
        <v>1.6863869299915129</v>
      </c>
      <c r="IT60" s="29"/>
      <c r="IU60" s="29"/>
      <c r="IV60" s="29"/>
      <c r="IW60" s="29">
        <v>452</v>
      </c>
      <c r="IX60" s="29" t="s">
        <v>224</v>
      </c>
      <c r="IY60" s="29" t="s">
        <v>1229</v>
      </c>
      <c r="IZ60" s="29"/>
      <c r="JA60" s="34">
        <v>268.02864275180002</v>
      </c>
      <c r="JB60" s="29" t="s">
        <v>144</v>
      </c>
      <c r="JC60" s="31"/>
      <c r="JD60" s="29">
        <f t="shared" si="61"/>
        <v>3</v>
      </c>
      <c r="JE60" s="32">
        <f t="shared" si="62"/>
        <v>7.8714770649385354E-2</v>
      </c>
      <c r="JF60" s="29"/>
      <c r="JG60" s="29"/>
      <c r="JH60" s="29"/>
      <c r="JI60" s="29">
        <v>51.27</v>
      </c>
      <c r="JJ60" s="29" t="s">
        <v>1009</v>
      </c>
      <c r="JK60" s="29"/>
      <c r="JL60" s="29"/>
      <c r="JM60" s="29">
        <v>1.9</v>
      </c>
      <c r="JN60" s="29" t="s">
        <v>1009</v>
      </c>
      <c r="JO60" s="29"/>
      <c r="JP60" s="29"/>
      <c r="JQ60" s="29">
        <v>383.58</v>
      </c>
      <c r="JR60" s="29" t="s">
        <v>1009</v>
      </c>
      <c r="JS60" s="31"/>
      <c r="JT60" s="31"/>
      <c r="JU60" s="31">
        <v>302.04000000000002</v>
      </c>
      <c r="JV60" s="31" t="s">
        <v>1009</v>
      </c>
      <c r="JW60" s="31"/>
      <c r="JX60" s="31">
        <v>2</v>
      </c>
      <c r="JY60" s="31" t="s">
        <v>155</v>
      </c>
      <c r="JZ60" s="31"/>
      <c r="KA60" s="31"/>
      <c r="KB60" s="31">
        <v>3</v>
      </c>
      <c r="KC60" s="31" t="str">
        <f>JY60</f>
        <v>瑞华会计师事务所（特殊普通合伙）</v>
      </c>
      <c r="KD60" s="31" t="s">
        <v>395</v>
      </c>
      <c r="KE60" s="31"/>
      <c r="KF60" s="8">
        <f t="shared" si="56"/>
        <v>1</v>
      </c>
      <c r="KG60" s="1">
        <f t="shared" si="57"/>
        <v>0</v>
      </c>
      <c r="KH60" s="29"/>
      <c r="KI60" s="29"/>
      <c r="KJ60" s="29"/>
      <c r="KK60" s="29">
        <v>0</v>
      </c>
      <c r="KL60" s="29" t="s">
        <v>1232</v>
      </c>
      <c r="KM60" s="29"/>
      <c r="KN60" s="29"/>
      <c r="KO60" s="34">
        <v>268.02864275180002</v>
      </c>
      <c r="KP60" s="39" t="s">
        <v>144</v>
      </c>
    </row>
    <row r="61" spans="2:302" s="36" customFormat="1" ht="16.5" customHeight="1" x14ac:dyDescent="0.35">
      <c r="B61" s="36" t="s">
        <v>1018</v>
      </c>
      <c r="C61" s="39" t="s">
        <v>196</v>
      </c>
      <c r="D61" s="36" t="s">
        <v>170</v>
      </c>
      <c r="E61" s="36" t="s">
        <v>172</v>
      </c>
      <c r="F61" s="36" t="s">
        <v>1019</v>
      </c>
      <c r="G61" s="36" t="s">
        <v>174</v>
      </c>
      <c r="H61" s="41">
        <v>0.95640000000000003</v>
      </c>
      <c r="L61" s="42">
        <v>3</v>
      </c>
      <c r="M61" s="39" t="s">
        <v>1020</v>
      </c>
      <c r="N61" s="39"/>
      <c r="O61" s="39"/>
      <c r="P61" s="39" t="s">
        <v>126</v>
      </c>
      <c r="Q61" s="39" t="s">
        <v>1021</v>
      </c>
      <c r="R61" s="36" t="s">
        <v>1022</v>
      </c>
      <c r="T61" s="36" t="s">
        <v>203</v>
      </c>
      <c r="U61" s="41">
        <v>0.748</v>
      </c>
      <c r="X61" s="8">
        <f t="shared" si="20"/>
        <v>3</v>
      </c>
      <c r="Y61" s="1">
        <f t="shared" si="21"/>
        <v>4.4134897360703793E-2</v>
      </c>
      <c r="Z61" s="39"/>
      <c r="AA61" s="39"/>
      <c r="AB61" s="39"/>
      <c r="AC61" s="39">
        <v>191.85</v>
      </c>
      <c r="AD61" s="39" t="s">
        <v>1023</v>
      </c>
      <c r="AE61" s="39"/>
      <c r="AF61" s="39"/>
      <c r="AG61" s="39">
        <v>186</v>
      </c>
      <c r="AH61" s="39" t="s">
        <v>1023</v>
      </c>
      <c r="AK61" s="39">
        <v>176</v>
      </c>
      <c r="AL61" s="39" t="s">
        <v>1023</v>
      </c>
      <c r="AN61" s="8">
        <f t="shared" si="22"/>
        <v>5</v>
      </c>
      <c r="AO61" s="1">
        <f t="shared" si="23"/>
        <v>-0.15647326261095476</v>
      </c>
      <c r="AP61" s="39"/>
      <c r="AQ61" s="39"/>
      <c r="AR61" s="39"/>
      <c r="AS61" s="39">
        <v>212</v>
      </c>
      <c r="AT61" s="39" t="s">
        <v>1023</v>
      </c>
      <c r="AU61" s="39"/>
      <c r="AV61" s="39"/>
      <c r="AW61" s="39">
        <v>248</v>
      </c>
      <c r="AX61" s="39" t="s">
        <v>1023</v>
      </c>
      <c r="AY61" s="39"/>
      <c r="AZ61" s="39"/>
      <c r="BA61" s="39">
        <v>298</v>
      </c>
      <c r="BB61" s="39" t="s">
        <v>1023</v>
      </c>
      <c r="BD61" s="2">
        <f t="shared" si="24"/>
        <v>3</v>
      </c>
      <c r="BE61" s="8">
        <f t="shared" si="2"/>
        <v>191.85</v>
      </c>
      <c r="BF61" s="39"/>
      <c r="BG61" s="39"/>
      <c r="BH61" s="39"/>
      <c r="BI61" s="39">
        <v>191.85</v>
      </c>
      <c r="BJ61" s="39" t="s">
        <v>1023</v>
      </c>
      <c r="BK61" s="39"/>
      <c r="BL61" s="2">
        <f t="shared" si="26"/>
        <v>3</v>
      </c>
      <c r="BM61" s="8">
        <f t="shared" si="27"/>
        <v>212</v>
      </c>
      <c r="BN61" s="39"/>
      <c r="BO61" s="39"/>
      <c r="BP61" s="39"/>
      <c r="BQ61" s="39">
        <v>212</v>
      </c>
      <c r="BR61" s="39" t="s">
        <v>1023</v>
      </c>
      <c r="BT61" s="8">
        <f t="shared" si="29"/>
        <v>3</v>
      </c>
      <c r="BU61" s="39">
        <v>102</v>
      </c>
      <c r="BV61" s="39"/>
      <c r="BW61" s="39"/>
      <c r="BX61" s="39"/>
      <c r="BY61" s="39">
        <v>102</v>
      </c>
      <c r="BZ61" s="39" t="s">
        <v>234</v>
      </c>
      <c r="CA61" s="39" t="s">
        <v>1025</v>
      </c>
      <c r="CB61" s="39">
        <v>1</v>
      </c>
      <c r="CC61" s="39" t="str">
        <f>CF61</f>
        <v>一级</v>
      </c>
      <c r="CD61" s="39"/>
      <c r="CE61" s="39"/>
      <c r="CF61" s="39" t="s">
        <v>132</v>
      </c>
      <c r="CG61" s="39" t="s">
        <v>1026</v>
      </c>
      <c r="CH61" s="39" t="s">
        <v>1022</v>
      </c>
      <c r="CI61" s="39" t="s">
        <v>1027</v>
      </c>
      <c r="CJ61" s="8">
        <f t="shared" si="30"/>
        <v>0</v>
      </c>
      <c r="CK61" s="39" t="s">
        <v>37</v>
      </c>
      <c r="CL61" s="39"/>
      <c r="CM61" s="39"/>
      <c r="CN61" s="39"/>
      <c r="CO61" s="39" t="s">
        <v>37</v>
      </c>
      <c r="CP61" s="39"/>
      <c r="CQ61" s="39"/>
      <c r="CR61" s="39"/>
      <c r="CS61" s="39">
        <v>191.85</v>
      </c>
      <c r="CT61" s="39" t="s">
        <v>1023</v>
      </c>
      <c r="CV61" s="8">
        <f t="shared" si="33"/>
        <v>0</v>
      </c>
      <c r="CW61" s="8" t="str">
        <f t="shared" si="34"/>
        <v>数据缺失</v>
      </c>
      <c r="CX61" s="39"/>
      <c r="CY61" s="39"/>
      <c r="CZ61" s="39"/>
      <c r="DA61" s="39" t="s">
        <v>37</v>
      </c>
      <c r="DB61" s="39"/>
      <c r="DC61" s="39"/>
      <c r="DD61" s="39">
        <f t="shared" si="63"/>
        <v>0</v>
      </c>
      <c r="DE61" s="69" t="s">
        <v>37</v>
      </c>
      <c r="DF61" s="39"/>
      <c r="DG61" s="39"/>
      <c r="DH61" s="39"/>
      <c r="DI61" s="39">
        <v>212</v>
      </c>
      <c r="DJ61" s="39" t="s">
        <v>1023</v>
      </c>
      <c r="DM61" s="39" t="s">
        <v>37</v>
      </c>
      <c r="DN61" s="39"/>
      <c r="DO61" s="39"/>
      <c r="DP61" s="39">
        <v>6</v>
      </c>
      <c r="DQ61" s="39" t="s">
        <v>1028</v>
      </c>
      <c r="DR61" s="39" t="s">
        <v>1023</v>
      </c>
      <c r="DS61" s="39"/>
      <c r="DT61" s="39"/>
      <c r="DU61" s="40" t="s">
        <v>37</v>
      </c>
      <c r="DV61" s="39"/>
      <c r="DW61" s="39"/>
      <c r="DX61" s="39"/>
      <c r="DY61" s="40" t="s">
        <v>37</v>
      </c>
      <c r="DZ61" s="39"/>
      <c r="EA61" s="39"/>
      <c r="EB61" s="39"/>
      <c r="EC61" s="40" t="s">
        <v>37</v>
      </c>
      <c r="ED61" s="39"/>
      <c r="EE61" s="39"/>
      <c r="EF61" s="39"/>
      <c r="EG61" s="40" t="s">
        <v>37</v>
      </c>
      <c r="EJ61" s="2">
        <f t="shared" si="39"/>
        <v>0</v>
      </c>
      <c r="EK61" s="8" t="str">
        <f t="shared" si="40"/>
        <v>数据缺失</v>
      </c>
      <c r="EO61" s="36" t="s">
        <v>37</v>
      </c>
      <c r="ER61" s="8">
        <f t="shared" si="41"/>
        <v>0</v>
      </c>
      <c r="ES61" s="6" t="str">
        <f t="shared" si="59"/>
        <v>数据缺失</v>
      </c>
      <c r="EW61" s="36" t="s">
        <v>37</v>
      </c>
      <c r="EZ61" s="8">
        <f t="shared" si="42"/>
        <v>0</v>
      </c>
      <c r="FA61" s="8" t="str">
        <f t="shared" si="43"/>
        <v>数据缺失</v>
      </c>
      <c r="FB61" s="39" t="s">
        <v>1023</v>
      </c>
      <c r="FC61" s="39"/>
      <c r="FD61" s="39"/>
      <c r="FE61" s="39" t="s">
        <v>37</v>
      </c>
      <c r="FF61" s="39"/>
      <c r="FG61" s="39"/>
      <c r="FH61" s="39">
        <v>5</v>
      </c>
      <c r="FI61" s="39" t="s">
        <v>37</v>
      </c>
      <c r="FJ61" s="39"/>
      <c r="FK61" s="39"/>
      <c r="FL61" s="39"/>
      <c r="FM61" s="39" t="s">
        <v>37</v>
      </c>
      <c r="FN61" s="39"/>
      <c r="FO61" s="39"/>
      <c r="FP61" s="39"/>
      <c r="FQ61" s="39" t="s">
        <v>37</v>
      </c>
      <c r="FR61" s="39"/>
      <c r="FS61" s="39"/>
      <c r="FT61" s="39"/>
      <c r="FU61" s="39" t="s">
        <v>37</v>
      </c>
      <c r="FV61" s="39"/>
      <c r="FW61" s="39"/>
      <c r="FX61" s="39"/>
      <c r="FY61" s="39" t="s">
        <v>37</v>
      </c>
      <c r="GB61" s="36">
        <v>2</v>
      </c>
      <c r="GC61" s="36" t="s">
        <v>1029</v>
      </c>
      <c r="GG61" s="36" t="s">
        <v>1029</v>
      </c>
      <c r="GH61" s="36" t="s">
        <v>1022</v>
      </c>
      <c r="GJ61" s="8">
        <f t="shared" si="44"/>
        <v>4</v>
      </c>
      <c r="GK61" s="1">
        <f t="shared" si="45"/>
        <v>0</v>
      </c>
      <c r="GN61" s="36">
        <v>0</v>
      </c>
      <c r="GO61" s="36" t="s">
        <v>921</v>
      </c>
      <c r="GP61" s="36" t="s">
        <v>1022</v>
      </c>
      <c r="GS61" s="38">
        <v>155.67391699999999</v>
      </c>
      <c r="GT61" s="36" t="s">
        <v>144</v>
      </c>
      <c r="GV61" s="8">
        <f t="shared" si="46"/>
        <v>0</v>
      </c>
      <c r="GW61" s="6" t="s">
        <v>37</v>
      </c>
      <c r="GX61" s="39"/>
      <c r="GY61" s="39"/>
      <c r="GZ61" s="39"/>
      <c r="HA61" s="39" t="s">
        <v>37</v>
      </c>
      <c r="HB61" s="39"/>
      <c r="HC61" s="39"/>
      <c r="HD61" s="39"/>
      <c r="HE61" s="69">
        <v>607.83140400000002</v>
      </c>
      <c r="HF61" s="39" t="s">
        <v>144</v>
      </c>
      <c r="HH61" s="36">
        <f t="shared" si="60"/>
        <v>2</v>
      </c>
      <c r="HI61" s="1">
        <f t="shared" si="49"/>
        <v>0.24630549526984671</v>
      </c>
      <c r="HM61" s="36">
        <v>22.19</v>
      </c>
      <c r="HN61" s="36" t="s">
        <v>1023</v>
      </c>
      <c r="HQ61" s="83">
        <v>90.091372000000007</v>
      </c>
      <c r="HR61" s="39" t="s">
        <v>144</v>
      </c>
      <c r="HT61" s="8">
        <f t="shared" si="50"/>
        <v>0</v>
      </c>
      <c r="HU61" s="39" t="s">
        <v>37</v>
      </c>
      <c r="HV61" s="39"/>
      <c r="HW61" s="39"/>
      <c r="HX61" s="39"/>
      <c r="HY61" s="39" t="s">
        <v>37</v>
      </c>
      <c r="HZ61" s="39"/>
      <c r="IA61" s="39"/>
      <c r="IB61" s="39"/>
      <c r="IC61" s="69">
        <v>95.680305000000004</v>
      </c>
      <c r="ID61" s="39" t="s">
        <v>144</v>
      </c>
      <c r="IR61" s="42">
        <f>IF(IS61="数据缺失",0,IF(IS61&lt;0%,0,IF(IS61&lt;=100%,4,IF(IS61&lt;200%,3,IF(IS61&lt;300%,2,1)))))</f>
        <v>0</v>
      </c>
      <c r="IS61" s="39" t="s">
        <v>37</v>
      </c>
      <c r="IT61" s="39"/>
      <c r="IU61" s="39"/>
      <c r="IV61" s="39"/>
      <c r="IW61" s="39" t="s">
        <v>37</v>
      </c>
      <c r="IX61" s="39"/>
      <c r="IY61" s="39"/>
      <c r="IZ61" s="39"/>
      <c r="JA61" s="69">
        <v>68.934830000000005</v>
      </c>
      <c r="JB61" s="39" t="s">
        <v>144</v>
      </c>
      <c r="JD61" s="39">
        <f t="shared" si="61"/>
        <v>1</v>
      </c>
      <c r="JE61" s="43">
        <f t="shared" si="62"/>
        <v>2.6120027485622116E-2</v>
      </c>
      <c r="JF61" s="39"/>
      <c r="JG61" s="39"/>
      <c r="JH61" s="39"/>
      <c r="JI61" s="39">
        <v>25.86</v>
      </c>
      <c r="JJ61" s="39" t="s">
        <v>1022</v>
      </c>
      <c r="JK61" s="39"/>
      <c r="JL61" s="39"/>
      <c r="JM61" s="39">
        <v>3.98</v>
      </c>
      <c r="JN61" s="39" t="s">
        <v>1022</v>
      </c>
      <c r="JO61" s="39"/>
      <c r="JP61" s="39"/>
      <c r="JQ61" s="39">
        <v>322.88</v>
      </c>
      <c r="JR61" s="39" t="s">
        <v>1022</v>
      </c>
      <c r="JS61" s="39"/>
      <c r="JT61" s="39"/>
      <c r="JU61" s="39">
        <v>174.63</v>
      </c>
      <c r="JV61" s="39" t="s">
        <v>1022</v>
      </c>
      <c r="JX61" s="39">
        <v>2</v>
      </c>
      <c r="JY61" s="58" t="s">
        <v>1030</v>
      </c>
      <c r="JZ61" s="39"/>
      <c r="KA61" s="39"/>
      <c r="KB61" s="39">
        <v>8</v>
      </c>
      <c r="KC61" s="58" t="s">
        <v>1030</v>
      </c>
      <c r="KD61" s="39" t="s">
        <v>1022</v>
      </c>
      <c r="KF61" s="8">
        <f t="shared" si="56"/>
        <v>0</v>
      </c>
      <c r="KG61" s="39" t="s">
        <v>37</v>
      </c>
      <c r="KH61" s="39"/>
      <c r="KI61" s="39"/>
      <c r="KJ61" s="39"/>
      <c r="KK61" s="39" t="s">
        <v>37</v>
      </c>
      <c r="KL61" s="39"/>
      <c r="KM61" s="39"/>
      <c r="KN61" s="39"/>
      <c r="KO61" s="69">
        <v>68.934830000000005</v>
      </c>
      <c r="KP61" s="39" t="s">
        <v>144</v>
      </c>
    </row>
    <row r="62" spans="2:302" s="36" customFormat="1" ht="16.5" customHeight="1" x14ac:dyDescent="0.35">
      <c r="B62" s="36" t="s">
        <v>1031</v>
      </c>
      <c r="C62" s="39" t="s">
        <v>196</v>
      </c>
      <c r="D62" s="36" t="s">
        <v>170</v>
      </c>
      <c r="E62" s="36" t="s">
        <v>172</v>
      </c>
      <c r="F62" s="36" t="s">
        <v>1035</v>
      </c>
      <c r="G62" s="36" t="s">
        <v>174</v>
      </c>
      <c r="H62" s="86">
        <f>73.27/73.36</f>
        <v>0.99877317339149396</v>
      </c>
      <c r="L62" s="3">
        <v>4</v>
      </c>
      <c r="M62" s="36" t="s">
        <v>1036</v>
      </c>
      <c r="P62" s="36" t="s">
        <v>118</v>
      </c>
      <c r="Q62" s="36" t="s">
        <v>1038</v>
      </c>
      <c r="R62" s="36" t="s">
        <v>1039</v>
      </c>
      <c r="T62" s="36" t="s">
        <v>203</v>
      </c>
      <c r="U62" s="41">
        <v>0.70299999999999996</v>
      </c>
      <c r="X62" s="8">
        <f t="shared" si="20"/>
        <v>3</v>
      </c>
      <c r="Y62" s="1">
        <f t="shared" si="21"/>
        <v>3.2625301527740569E-2</v>
      </c>
      <c r="Z62" s="39"/>
      <c r="AA62" s="39"/>
      <c r="AB62" s="39"/>
      <c r="AC62" s="39">
        <v>86.95</v>
      </c>
      <c r="AD62" s="39" t="s">
        <v>339</v>
      </c>
      <c r="AE62" s="39"/>
      <c r="AF62" s="39"/>
      <c r="AG62" s="39">
        <v>91</v>
      </c>
      <c r="AH62" s="39" t="s">
        <v>339</v>
      </c>
      <c r="AI62" s="39"/>
      <c r="AJ62" s="39"/>
      <c r="AK62" s="39">
        <v>82</v>
      </c>
      <c r="AL62" s="39" t="s">
        <v>1041</v>
      </c>
      <c r="AN62" s="8">
        <f t="shared" si="22"/>
        <v>3</v>
      </c>
      <c r="AO62" s="1">
        <f t="shared" si="23"/>
        <v>5.880491663624185E-3</v>
      </c>
      <c r="AP62" s="39"/>
      <c r="AQ62" s="39"/>
      <c r="AR62" s="39"/>
      <c r="AS62" s="39">
        <v>81.08</v>
      </c>
      <c r="AT62" s="39" t="s">
        <v>339</v>
      </c>
      <c r="AU62" s="39"/>
      <c r="AV62" s="39"/>
      <c r="AW62" s="39">
        <v>99</v>
      </c>
      <c r="AX62" s="39" t="s">
        <v>339</v>
      </c>
      <c r="AY62" s="39"/>
      <c r="AZ62" s="39"/>
      <c r="BA62" s="39">
        <v>83</v>
      </c>
      <c r="BB62" s="39" t="s">
        <v>1041</v>
      </c>
      <c r="BD62" s="2">
        <f t="shared" si="24"/>
        <v>4</v>
      </c>
      <c r="BE62" s="8">
        <f t="shared" si="2"/>
        <v>86.95</v>
      </c>
      <c r="BF62" s="39"/>
      <c r="BG62" s="39"/>
      <c r="BH62" s="39"/>
      <c r="BI62" s="39">
        <v>86.95</v>
      </c>
      <c r="BJ62" s="39" t="s">
        <v>339</v>
      </c>
      <c r="BK62" s="39"/>
      <c r="BL62" s="2">
        <f t="shared" si="26"/>
        <v>4</v>
      </c>
      <c r="BM62" s="8">
        <f t="shared" si="27"/>
        <v>81.08</v>
      </c>
      <c r="BN62" s="39"/>
      <c r="BO62" s="39"/>
      <c r="BP62" s="39"/>
      <c r="BQ62" s="39">
        <v>81.08</v>
      </c>
      <c r="BR62" s="39" t="s">
        <v>339</v>
      </c>
      <c r="BT62" s="8">
        <f t="shared" si="29"/>
        <v>2</v>
      </c>
      <c r="BU62" s="39">
        <v>46</v>
      </c>
      <c r="BV62" s="39"/>
      <c r="BW62" s="39"/>
      <c r="BX62" s="39"/>
      <c r="BY62" s="39">
        <v>46</v>
      </c>
      <c r="BZ62" s="39" t="s">
        <v>234</v>
      </c>
      <c r="CB62" s="39">
        <v>1</v>
      </c>
      <c r="CC62" s="39" t="str">
        <f>CF62</f>
        <v>一级</v>
      </c>
      <c r="CD62" s="39"/>
      <c r="CE62" s="39"/>
      <c r="CF62" s="39" t="s">
        <v>132</v>
      </c>
      <c r="CG62" s="39" t="s">
        <v>1042</v>
      </c>
      <c r="CH62" s="39" t="s">
        <v>1039</v>
      </c>
      <c r="CJ62" s="8">
        <f t="shared" si="30"/>
        <v>2</v>
      </c>
      <c r="CK62" s="12">
        <f t="shared" si="31"/>
        <v>0.25957446808510637</v>
      </c>
      <c r="CL62" s="39"/>
      <c r="CM62" s="39"/>
      <c r="CN62" s="39"/>
      <c r="CO62" s="39">
        <v>22.57</v>
      </c>
      <c r="CP62" s="39" t="s">
        <v>339</v>
      </c>
      <c r="CQ62" s="39"/>
      <c r="CR62" s="39"/>
      <c r="CS62" s="39">
        <v>86.95</v>
      </c>
      <c r="CT62" s="39" t="s">
        <v>339</v>
      </c>
      <c r="CV62" s="8">
        <f t="shared" si="33"/>
        <v>5</v>
      </c>
      <c r="CW62" s="8">
        <f t="shared" si="34"/>
        <v>60.34</v>
      </c>
      <c r="CX62" s="39"/>
      <c r="CY62" s="39"/>
      <c r="CZ62" s="39"/>
      <c r="DA62" s="89">
        <v>60.34</v>
      </c>
      <c r="DB62" s="39" t="s">
        <v>339</v>
      </c>
      <c r="DD62" s="39">
        <f t="shared" si="63"/>
        <v>3</v>
      </c>
      <c r="DE62" s="15">
        <f t="shared" si="36"/>
        <v>0.74420325604341397</v>
      </c>
      <c r="DF62" s="39"/>
      <c r="DG62" s="39"/>
      <c r="DH62" s="39"/>
      <c r="DI62" s="39">
        <v>81.08</v>
      </c>
      <c r="DJ62" s="39" t="s">
        <v>339</v>
      </c>
      <c r="DK62" s="39"/>
      <c r="DL62" s="39"/>
      <c r="DM62" s="89">
        <f>DA62</f>
        <v>60.34</v>
      </c>
      <c r="DN62" s="39" t="s">
        <v>339</v>
      </c>
      <c r="DP62" s="36">
        <v>4</v>
      </c>
      <c r="DQ62" s="36" t="s">
        <v>1045</v>
      </c>
      <c r="DU62" s="41">
        <v>0.1105</v>
      </c>
      <c r="DV62" s="36" t="s">
        <v>339</v>
      </c>
      <c r="DY62" s="41">
        <v>0.45529999999999998</v>
      </c>
      <c r="DZ62" s="36" t="s">
        <v>339</v>
      </c>
      <c r="EC62" s="41">
        <v>0.43419999999999997</v>
      </c>
      <c r="ED62" s="36" t="s">
        <v>339</v>
      </c>
      <c r="EG62" s="41">
        <v>0</v>
      </c>
      <c r="EH62" s="36" t="s">
        <v>339</v>
      </c>
      <c r="EJ62" s="2">
        <f t="shared" si="39"/>
        <v>3</v>
      </c>
      <c r="EK62" s="8">
        <f t="shared" si="40"/>
        <v>42</v>
      </c>
      <c r="EL62" s="39"/>
      <c r="EM62" s="39"/>
      <c r="EN62" s="39"/>
      <c r="EO62" s="39">
        <v>42</v>
      </c>
      <c r="EP62" s="39" t="s">
        <v>339</v>
      </c>
      <c r="EQ62" s="39"/>
      <c r="ER62" s="8">
        <f t="shared" si="41"/>
        <v>1</v>
      </c>
      <c r="ES62" s="6">
        <f t="shared" si="59"/>
        <v>109</v>
      </c>
      <c r="ET62" s="39"/>
      <c r="EU62" s="39"/>
      <c r="EV62" s="39"/>
      <c r="EW62" s="39">
        <v>109</v>
      </c>
      <c r="EX62" s="39" t="s">
        <v>339</v>
      </c>
      <c r="EZ62" s="8">
        <f t="shared" si="42"/>
        <v>1</v>
      </c>
      <c r="FA62" s="8">
        <f t="shared" si="43"/>
        <v>231.2</v>
      </c>
      <c r="FB62" s="39"/>
      <c r="FC62" s="39"/>
      <c r="FD62" s="39"/>
      <c r="FE62" s="39">
        <v>231.2</v>
      </c>
      <c r="FF62" s="39" t="s">
        <v>322</v>
      </c>
      <c r="FH62" s="39">
        <v>4</v>
      </c>
      <c r="FI62" s="39" t="s">
        <v>1049</v>
      </c>
      <c r="FJ62" s="39"/>
      <c r="FK62" s="39"/>
      <c r="FL62" s="39"/>
      <c r="FM62" s="40">
        <v>2.5999999999999999E-3</v>
      </c>
      <c r="FN62" s="39" t="s">
        <v>322</v>
      </c>
      <c r="FO62" s="39"/>
      <c r="FP62" s="39"/>
      <c r="FQ62" s="40">
        <v>0.49280000000000002</v>
      </c>
      <c r="FR62" s="39" t="s">
        <v>339</v>
      </c>
      <c r="FS62" s="39"/>
      <c r="FT62" s="39"/>
      <c r="FU62" s="40">
        <v>0.42980000000000002</v>
      </c>
      <c r="FV62" s="39" t="s">
        <v>322</v>
      </c>
      <c r="FW62" s="39"/>
      <c r="FX62" s="39"/>
      <c r="FY62" s="40">
        <v>7.4800000000000005E-2</v>
      </c>
      <c r="FZ62" s="39" t="s">
        <v>322</v>
      </c>
      <c r="GB62" s="39">
        <v>2</v>
      </c>
      <c r="GC62" s="39" t="str">
        <f>GG62</f>
        <v>售房收入：98.52%</v>
      </c>
      <c r="GD62" s="39"/>
      <c r="GE62" s="39"/>
      <c r="GF62" s="39"/>
      <c r="GG62" s="39" t="s">
        <v>1051</v>
      </c>
      <c r="GH62" s="39" t="s">
        <v>339</v>
      </c>
      <c r="GJ62" s="8">
        <f t="shared" si="44"/>
        <v>4</v>
      </c>
      <c r="GK62" s="1">
        <f t="shared" si="45"/>
        <v>1.4721880391395572E-2</v>
      </c>
      <c r="GL62" s="39"/>
      <c r="GM62" s="39"/>
      <c r="GN62" s="39">
        <v>1.08</v>
      </c>
      <c r="GO62" s="39" t="s">
        <v>1053</v>
      </c>
      <c r="GP62" s="39" t="s">
        <v>322</v>
      </c>
      <c r="GS62" s="38">
        <v>73.360193894199995</v>
      </c>
      <c r="GT62" s="36" t="s">
        <v>144</v>
      </c>
      <c r="GV62" s="8">
        <f t="shared" si="46"/>
        <v>2</v>
      </c>
      <c r="GW62" s="1">
        <f t="shared" si="47"/>
        <v>0.3796916068175743</v>
      </c>
      <c r="GX62" s="39"/>
      <c r="GY62" s="39"/>
      <c r="GZ62" s="39"/>
      <c r="HA62" s="69">
        <v>86.478769999999997</v>
      </c>
      <c r="HB62" s="39" t="s">
        <v>146</v>
      </c>
      <c r="HC62" s="39"/>
      <c r="HD62" s="39"/>
      <c r="HE62" s="69">
        <v>227.76055210919998</v>
      </c>
      <c r="HF62" s="39" t="s">
        <v>144</v>
      </c>
      <c r="HH62" s="39">
        <f t="shared" si="60"/>
        <v>1</v>
      </c>
      <c r="HI62" s="1">
        <f t="shared" si="49"/>
        <v>0.15666229662850964</v>
      </c>
      <c r="HJ62" s="39"/>
      <c r="HK62" s="39"/>
      <c r="HL62" s="39"/>
      <c r="HM62" s="69">
        <v>3.33325</v>
      </c>
      <c r="HN62" s="39" t="s">
        <v>146</v>
      </c>
      <c r="HO62" s="39"/>
      <c r="HP62" s="39"/>
      <c r="HQ62" s="78">
        <v>21.2766573179</v>
      </c>
      <c r="HR62" s="39" t="s">
        <v>144</v>
      </c>
      <c r="HT62" s="8">
        <f t="shared" si="50"/>
        <v>4</v>
      </c>
      <c r="HU62" s="10">
        <f t="shared" si="51"/>
        <v>0</v>
      </c>
      <c r="HV62" s="39"/>
      <c r="HW62" s="39"/>
      <c r="HX62" s="39"/>
      <c r="HY62" s="39">
        <v>0</v>
      </c>
      <c r="HZ62" s="39" t="s">
        <v>146</v>
      </c>
      <c r="IA62" s="39"/>
      <c r="IB62" s="39"/>
      <c r="IC62" s="39">
        <v>23.895</v>
      </c>
      <c r="ID62" s="39" t="s">
        <v>144</v>
      </c>
      <c r="IR62" s="3" t="str">
        <f>IF(IS62&gt;=300%,"1",IF(IS62&gt;=200%,"2",IF(IS62&gt;=100%,"3",IF(IS62&gt;=0%,"4",IF(IS62=数据缺失,"0")))))</f>
        <v>2</v>
      </c>
      <c r="IS62" s="1">
        <f t="shared" si="53"/>
        <v>2.2123099081662532</v>
      </c>
      <c r="IW62" s="36">
        <v>83.6</v>
      </c>
      <c r="IX62" s="36" t="s">
        <v>339</v>
      </c>
      <c r="JA62" s="69">
        <v>37.788557421999997</v>
      </c>
      <c r="JB62" s="39" t="s">
        <v>144</v>
      </c>
      <c r="JD62" s="39">
        <f t="shared" si="61"/>
        <v>3</v>
      </c>
      <c r="JE62" s="43">
        <f t="shared" si="62"/>
        <v>6.1602217679836473E-2</v>
      </c>
      <c r="JF62" s="39"/>
      <c r="JG62" s="39"/>
      <c r="JH62" s="39"/>
      <c r="JI62" s="39">
        <v>3.19</v>
      </c>
      <c r="JJ62" s="39" t="s">
        <v>339</v>
      </c>
      <c r="JK62" s="39"/>
      <c r="JL62" s="39"/>
      <c r="JM62" s="39">
        <v>0.71</v>
      </c>
      <c r="JN62" s="39" t="s">
        <v>339</v>
      </c>
      <c r="JO62" s="39"/>
      <c r="JP62" s="39"/>
      <c r="JQ62" s="39">
        <v>78.069999999999993</v>
      </c>
      <c r="JR62" s="39" t="s">
        <v>339</v>
      </c>
      <c r="JU62" s="39">
        <v>67.8</v>
      </c>
      <c r="JV62" s="39" t="s">
        <v>339</v>
      </c>
      <c r="JX62" s="39">
        <v>2</v>
      </c>
      <c r="JY62" s="39" t="s">
        <v>1057</v>
      </c>
      <c r="JZ62" s="39"/>
      <c r="KA62" s="39"/>
      <c r="KB62" s="39">
        <v>23</v>
      </c>
      <c r="KC62" s="39" t="s">
        <v>1057</v>
      </c>
      <c r="KD62" s="39" t="s">
        <v>339</v>
      </c>
      <c r="KF62" s="8">
        <f t="shared" si="56"/>
        <v>4</v>
      </c>
      <c r="KG62" s="1">
        <f t="shared" si="57"/>
        <v>1.8333592157626559</v>
      </c>
      <c r="KH62" s="39"/>
      <c r="KI62" s="39"/>
      <c r="KJ62" s="39"/>
      <c r="KK62" s="39">
        <v>69.28</v>
      </c>
      <c r="KL62" s="39" t="s">
        <v>146</v>
      </c>
      <c r="KO62" s="69">
        <v>37.788557421999997</v>
      </c>
      <c r="KP62" s="39" t="s">
        <v>144</v>
      </c>
    </row>
    <row r="63" spans="2:302" s="36" customFormat="1" ht="16.5" customHeight="1" x14ac:dyDescent="0.35">
      <c r="B63" s="36" t="s">
        <v>1058</v>
      </c>
      <c r="C63" s="39" t="s">
        <v>196</v>
      </c>
      <c r="D63" s="36" t="s">
        <v>170</v>
      </c>
      <c r="E63" s="36" t="s">
        <v>172</v>
      </c>
      <c r="F63" s="36" t="s">
        <v>1059</v>
      </c>
      <c r="G63" s="36" t="s">
        <v>174</v>
      </c>
      <c r="H63" s="40">
        <v>0.91539999999999999</v>
      </c>
      <c r="I63" s="90"/>
      <c r="J63" s="90"/>
      <c r="L63" s="3">
        <v>4</v>
      </c>
      <c r="M63" s="36" t="s">
        <v>1060</v>
      </c>
      <c r="P63" s="36" t="s">
        <v>114</v>
      </c>
      <c r="Q63" s="36" t="s">
        <v>1062</v>
      </c>
      <c r="R63" s="36" t="s">
        <v>339</v>
      </c>
      <c r="T63" s="36" t="s">
        <v>129</v>
      </c>
      <c r="U63" s="41">
        <v>0.35120000000000001</v>
      </c>
      <c r="X63" s="8">
        <f t="shared" si="20"/>
        <v>3</v>
      </c>
      <c r="Y63" s="1">
        <f t="shared" si="21"/>
        <v>7.1865671146149876E-2</v>
      </c>
      <c r="Z63" s="39"/>
      <c r="AA63" s="39"/>
      <c r="AB63" s="39"/>
      <c r="AC63" s="39">
        <v>80.38</v>
      </c>
      <c r="AD63" s="39" t="s">
        <v>1063</v>
      </c>
      <c r="AE63" s="39"/>
      <c r="AF63" s="39"/>
      <c r="AG63" s="39">
        <v>70.27</v>
      </c>
      <c r="AH63" s="39" t="s">
        <v>1063</v>
      </c>
      <c r="AI63" s="39"/>
      <c r="AJ63" s="39"/>
      <c r="AK63" s="39">
        <v>70.28</v>
      </c>
      <c r="AL63" s="39" t="s">
        <v>1064</v>
      </c>
      <c r="AN63" s="8">
        <f t="shared" si="22"/>
        <v>2</v>
      </c>
      <c r="AO63" s="1">
        <f t="shared" si="23"/>
        <v>0.17264718038306184</v>
      </c>
      <c r="AP63" s="39"/>
      <c r="AQ63" s="39"/>
      <c r="AR63" s="39"/>
      <c r="AS63" s="39">
        <v>94.86</v>
      </c>
      <c r="AT63" s="39" t="s">
        <v>1065</v>
      </c>
      <c r="AU63" s="39"/>
      <c r="AV63" s="39"/>
      <c r="AW63" s="39">
        <v>74.83</v>
      </c>
      <c r="AX63" s="39" t="s">
        <v>1065</v>
      </c>
      <c r="AY63" s="39"/>
      <c r="AZ63" s="39"/>
      <c r="BA63" s="39">
        <v>69.44</v>
      </c>
      <c r="BB63" s="39" t="s">
        <v>1066</v>
      </c>
      <c r="BD63" s="2">
        <f t="shared" si="24"/>
        <v>4</v>
      </c>
      <c r="BE63" s="8">
        <f t="shared" si="2"/>
        <v>80.38</v>
      </c>
      <c r="BF63" s="39"/>
      <c r="BG63" s="39"/>
      <c r="BH63" s="39"/>
      <c r="BI63" s="39">
        <v>80.38</v>
      </c>
      <c r="BJ63" s="39" t="s">
        <v>1065</v>
      </c>
      <c r="BK63" s="39"/>
      <c r="BL63" s="2">
        <f t="shared" si="26"/>
        <v>4</v>
      </c>
      <c r="BM63" s="8">
        <f t="shared" si="27"/>
        <v>94.86</v>
      </c>
      <c r="BN63" s="39"/>
      <c r="BO63" s="39"/>
      <c r="BP63" s="39"/>
      <c r="BQ63" s="39">
        <v>94.86</v>
      </c>
      <c r="BR63" s="39" t="s">
        <v>1065</v>
      </c>
      <c r="BT63" s="8">
        <f t="shared" si="29"/>
        <v>2</v>
      </c>
      <c r="BU63" s="39">
        <v>51</v>
      </c>
      <c r="BV63" s="39"/>
      <c r="BW63" s="39"/>
      <c r="BX63" s="39"/>
      <c r="BY63" s="39">
        <v>51</v>
      </c>
      <c r="BZ63" s="39" t="s">
        <v>234</v>
      </c>
      <c r="CB63" s="39">
        <v>1</v>
      </c>
      <c r="CC63" s="39" t="str">
        <f>CF63</f>
        <v>一级</v>
      </c>
      <c r="CD63" s="39"/>
      <c r="CE63" s="39"/>
      <c r="CF63" s="39" t="s">
        <v>132</v>
      </c>
      <c r="CG63" s="39" t="s">
        <v>1067</v>
      </c>
      <c r="CH63" s="39" t="s">
        <v>1068</v>
      </c>
      <c r="CJ63" s="8">
        <f t="shared" si="30"/>
        <v>2</v>
      </c>
      <c r="CK63" s="12">
        <f t="shared" si="31"/>
        <v>0.15264991291366012</v>
      </c>
      <c r="CL63" s="39"/>
      <c r="CM63" s="39"/>
      <c r="CN63" s="39"/>
      <c r="CO63" s="39">
        <v>12.27</v>
      </c>
      <c r="CP63" s="39" t="s">
        <v>1063</v>
      </c>
      <c r="CQ63" s="39" t="s">
        <v>1069</v>
      </c>
      <c r="CR63" s="39"/>
      <c r="CS63" s="39">
        <v>80.38</v>
      </c>
      <c r="CT63" s="36" t="s">
        <v>339</v>
      </c>
      <c r="CV63" s="8">
        <f t="shared" si="33"/>
        <v>4</v>
      </c>
      <c r="CW63" s="8">
        <f t="shared" si="34"/>
        <v>359.62</v>
      </c>
      <c r="CX63" s="39"/>
      <c r="CY63" s="39"/>
      <c r="CZ63" s="39"/>
      <c r="DA63" s="39">
        <v>359.62</v>
      </c>
      <c r="DB63" s="39" t="s">
        <v>339</v>
      </c>
      <c r="DC63" s="39" t="s">
        <v>1070</v>
      </c>
      <c r="DD63" s="39">
        <f t="shared" si="63"/>
        <v>1</v>
      </c>
      <c r="DE63" s="15">
        <f t="shared" si="36"/>
        <v>3.7910605102255959</v>
      </c>
      <c r="DF63" s="39"/>
      <c r="DG63" s="39"/>
      <c r="DH63" s="39"/>
      <c r="DI63" s="39">
        <v>94.86</v>
      </c>
      <c r="DJ63" s="39" t="s">
        <v>1065</v>
      </c>
      <c r="DK63" s="39"/>
      <c r="DL63" s="39"/>
      <c r="DM63" s="39">
        <v>359.62</v>
      </c>
      <c r="DN63" s="39" t="s">
        <v>339</v>
      </c>
      <c r="DO63" s="39" t="s">
        <v>1070</v>
      </c>
      <c r="DP63" s="36">
        <v>6</v>
      </c>
      <c r="DQ63" s="36" t="s">
        <v>1072</v>
      </c>
      <c r="DS63" s="36" t="s">
        <v>1073</v>
      </c>
      <c r="DU63" s="41">
        <v>0</v>
      </c>
      <c r="DV63" s="36" t="s">
        <v>1063</v>
      </c>
      <c r="DY63" s="41">
        <v>0.38059999999999999</v>
      </c>
      <c r="DZ63" s="36" t="s">
        <v>1063</v>
      </c>
      <c r="EC63" s="41">
        <v>4.5699999999999998E-2</v>
      </c>
      <c r="ED63" s="36" t="s">
        <v>1063</v>
      </c>
      <c r="EG63" s="41">
        <v>0.5736</v>
      </c>
      <c r="EH63" s="36" t="s">
        <v>339</v>
      </c>
      <c r="EJ63" s="2">
        <f t="shared" si="39"/>
        <v>1</v>
      </c>
      <c r="EK63" s="8">
        <f t="shared" si="40"/>
        <v>117.87</v>
      </c>
      <c r="EL63" s="39"/>
      <c r="EM63" s="39"/>
      <c r="EN63" s="39"/>
      <c r="EO63" s="39">
        <v>117.87</v>
      </c>
      <c r="EP63" s="39" t="s">
        <v>339</v>
      </c>
      <c r="ER63" s="8">
        <f t="shared" si="41"/>
        <v>1</v>
      </c>
      <c r="ES63" s="6">
        <f t="shared" si="59"/>
        <v>131.46</v>
      </c>
      <c r="ET63" s="39"/>
      <c r="EU63" s="39"/>
      <c r="EV63" s="39"/>
      <c r="EW63" s="39">
        <v>131.46</v>
      </c>
      <c r="EX63" s="39" t="s">
        <v>1063</v>
      </c>
      <c r="EZ63" s="8">
        <f t="shared" si="42"/>
        <v>1</v>
      </c>
      <c r="FA63" s="8">
        <f t="shared" si="43"/>
        <v>643.42999999999995</v>
      </c>
      <c r="FE63" s="58">
        <v>643.42999999999995</v>
      </c>
      <c r="FF63" s="36" t="s">
        <v>339</v>
      </c>
      <c r="FG63" s="36" t="s">
        <v>1074</v>
      </c>
      <c r="FH63" s="36">
        <v>4</v>
      </c>
      <c r="FI63" s="36" t="s">
        <v>1075</v>
      </c>
      <c r="FJ63" s="36" t="s">
        <v>1063</v>
      </c>
      <c r="FK63" s="36" t="s">
        <v>1074</v>
      </c>
      <c r="FM63" s="36">
        <v>0</v>
      </c>
      <c r="FN63" s="36" t="s">
        <v>339</v>
      </c>
      <c r="FQ63" s="41">
        <v>0.48749999999999999</v>
      </c>
      <c r="FR63" s="36" t="s">
        <v>339</v>
      </c>
      <c r="FU63" s="41">
        <v>5.6300000000000003E-2</v>
      </c>
      <c r="FV63" s="36" t="s">
        <v>339</v>
      </c>
      <c r="FY63" s="41">
        <v>0.45619999999999999</v>
      </c>
      <c r="FZ63" s="36" t="s">
        <v>339</v>
      </c>
      <c r="GB63" s="36">
        <v>2</v>
      </c>
      <c r="GC63" s="90" t="s">
        <v>1076</v>
      </c>
      <c r="GG63" s="90" t="s">
        <v>1076</v>
      </c>
      <c r="GH63" s="39" t="s">
        <v>339</v>
      </c>
      <c r="GJ63" s="8">
        <f t="shared" si="44"/>
        <v>4</v>
      </c>
      <c r="GK63" s="1">
        <f t="shared" si="45"/>
        <v>3.5407032157271666E-2</v>
      </c>
      <c r="GL63" s="39"/>
      <c r="GM63" s="39"/>
      <c r="GN63" s="39">
        <v>3.22</v>
      </c>
      <c r="GO63" s="39" t="s">
        <v>1078</v>
      </c>
      <c r="GP63" s="39" t="s">
        <v>339</v>
      </c>
      <c r="GS63" s="69">
        <v>90.942386407800001</v>
      </c>
      <c r="GT63" s="39" t="s">
        <v>144</v>
      </c>
      <c r="GV63" s="8">
        <f t="shared" si="46"/>
        <v>2</v>
      </c>
      <c r="GW63" s="1">
        <f t="shared" si="47"/>
        <v>0.27987339529421235</v>
      </c>
      <c r="GX63" s="39"/>
      <c r="GY63" s="39"/>
      <c r="GZ63" s="39"/>
      <c r="HA63" s="38">
        <v>70.985923999999997</v>
      </c>
      <c r="HB63" s="39" t="s">
        <v>146</v>
      </c>
      <c r="HC63" s="39"/>
      <c r="HD63" s="39"/>
      <c r="HE63" s="69">
        <v>253.63584103939999</v>
      </c>
      <c r="HF63" s="39" t="s">
        <v>144</v>
      </c>
      <c r="HH63" s="39">
        <f t="shared" si="60"/>
        <v>1</v>
      </c>
      <c r="HI63" s="1">
        <f t="shared" si="49"/>
        <v>0.1615923208997751</v>
      </c>
      <c r="HJ63" s="39"/>
      <c r="HK63" s="39"/>
      <c r="HL63" s="39"/>
      <c r="HM63" s="69">
        <v>3.7414360000000002</v>
      </c>
      <c r="HN63" s="39" t="s">
        <v>146</v>
      </c>
      <c r="HO63" s="39"/>
      <c r="HP63" s="39"/>
      <c r="HQ63" s="78">
        <v>23.153550732900001</v>
      </c>
      <c r="HR63" s="39" t="s">
        <v>144</v>
      </c>
      <c r="HT63" s="8">
        <f t="shared" si="50"/>
        <v>3</v>
      </c>
      <c r="HU63" s="10">
        <f t="shared" si="51"/>
        <v>9.3120656173933739E-2</v>
      </c>
      <c r="HV63" s="39"/>
      <c r="HW63" s="39"/>
      <c r="HX63" s="39"/>
      <c r="HY63" s="69">
        <v>4.9850000000000003</v>
      </c>
      <c r="HZ63" s="39" t="s">
        <v>146</v>
      </c>
      <c r="IA63" s="39"/>
      <c r="IB63" s="39"/>
      <c r="IC63" s="69">
        <v>53.532698381000003</v>
      </c>
      <c r="ID63" s="39" t="s">
        <v>144</v>
      </c>
      <c r="IR63" s="42">
        <f>IF(IS63="数据缺失",0,IF(IS63&lt;0%,0,IF(IS63&lt;=100%,4,IF(IS63&lt;200%,3,IF(IS63&lt;300%,2,1)))))</f>
        <v>2</v>
      </c>
      <c r="IS63" s="1">
        <f t="shared" si="53"/>
        <v>2.3034429354201693</v>
      </c>
      <c r="IT63" s="39"/>
      <c r="IU63" s="39"/>
      <c r="IV63" s="39"/>
      <c r="IW63" s="39">
        <v>140.82</v>
      </c>
      <c r="IX63" s="39" t="s">
        <v>146</v>
      </c>
      <c r="IY63" s="39"/>
      <c r="IZ63" s="39"/>
      <c r="JA63" s="69">
        <v>61.134572875500005</v>
      </c>
      <c r="JB63" s="39" t="s">
        <v>144</v>
      </c>
      <c r="JD63" s="39">
        <f t="shared" si="61"/>
        <v>4</v>
      </c>
      <c r="JE63" s="43">
        <f t="shared" si="62"/>
        <v>9.3353710845367338E-2</v>
      </c>
      <c r="JF63" s="39"/>
      <c r="JG63" s="39"/>
      <c r="JH63" s="39"/>
      <c r="JI63" s="39">
        <v>13.2</v>
      </c>
      <c r="JJ63" s="39" t="s">
        <v>1063</v>
      </c>
      <c r="JK63" s="39"/>
      <c r="JL63" s="39"/>
      <c r="JM63" s="36">
        <v>1.37</v>
      </c>
      <c r="JN63" s="39" t="s">
        <v>1063</v>
      </c>
      <c r="JO63" s="39"/>
      <c r="JP63" s="39"/>
      <c r="JQ63" s="39">
        <v>112.57</v>
      </c>
      <c r="JR63" s="39" t="s">
        <v>1063</v>
      </c>
      <c r="JS63" s="39"/>
      <c r="JT63" s="39"/>
      <c r="JU63" s="39">
        <v>93.85</v>
      </c>
      <c r="JV63" s="39" t="s">
        <v>1063</v>
      </c>
      <c r="JX63" s="36">
        <v>2</v>
      </c>
      <c r="JY63" s="36" t="s">
        <v>504</v>
      </c>
      <c r="KB63" s="36">
        <v>11</v>
      </c>
      <c r="KC63" s="36" t="str">
        <f>JY63</f>
        <v>致同会计师事务所（特殊普通合伙）</v>
      </c>
      <c r="KD63" s="36" t="s">
        <v>146</v>
      </c>
      <c r="KF63" s="8">
        <f t="shared" si="56"/>
        <v>3</v>
      </c>
      <c r="KG63" s="1">
        <f t="shared" si="57"/>
        <v>0.8973645748981004</v>
      </c>
      <c r="KH63" s="39"/>
      <c r="KI63" s="39"/>
      <c r="KJ63" s="39"/>
      <c r="KK63" s="39">
        <v>54.86</v>
      </c>
      <c r="KL63" s="39" t="s">
        <v>146</v>
      </c>
      <c r="KM63" s="36" t="s">
        <v>1079</v>
      </c>
      <c r="KN63" s="39"/>
      <c r="KO63" s="69">
        <v>61.134572875500005</v>
      </c>
      <c r="KP63" s="39" t="s">
        <v>144</v>
      </c>
    </row>
    <row r="64" spans="2:302" s="36" customFormat="1" ht="16.5" customHeight="1" x14ac:dyDescent="0.35">
      <c r="B64" s="36" t="s">
        <v>1058</v>
      </c>
      <c r="C64" s="39" t="s">
        <v>196</v>
      </c>
      <c r="D64" s="36" t="s">
        <v>170</v>
      </c>
      <c r="E64" s="36" t="s">
        <v>172</v>
      </c>
      <c r="F64" s="36" t="s">
        <v>1059</v>
      </c>
      <c r="G64" s="36" t="s">
        <v>199</v>
      </c>
      <c r="H64" s="91">
        <v>0.9</v>
      </c>
      <c r="I64" s="88"/>
      <c r="J64" s="90"/>
      <c r="L64" s="42">
        <v>4</v>
      </c>
      <c r="M64" s="39" t="s">
        <v>1083</v>
      </c>
      <c r="N64" s="39"/>
      <c r="O64" s="39"/>
      <c r="P64" s="39" t="s">
        <v>864</v>
      </c>
      <c r="Q64" s="39" t="s">
        <v>1062</v>
      </c>
      <c r="R64" s="39" t="s">
        <v>1064</v>
      </c>
      <c r="T64" s="36" t="s">
        <v>129</v>
      </c>
      <c r="U64" s="86">
        <v>0.3382</v>
      </c>
      <c r="X64" s="8">
        <f t="shared" si="20"/>
        <v>3</v>
      </c>
      <c r="Y64" s="1">
        <f t="shared" si="21"/>
        <v>9.5825074420697001E-2</v>
      </c>
      <c r="Z64" s="39"/>
      <c r="AA64" s="39"/>
      <c r="AB64" s="39"/>
      <c r="AC64" s="39">
        <v>70.27</v>
      </c>
      <c r="AD64" s="39" t="s">
        <v>1065</v>
      </c>
      <c r="AE64" s="39"/>
      <c r="AF64" s="39"/>
      <c r="AG64" s="39">
        <v>70.28</v>
      </c>
      <c r="AH64" s="39" t="s">
        <v>1066</v>
      </c>
      <c r="AI64" s="39"/>
      <c r="AJ64" s="39"/>
      <c r="AK64" s="39">
        <v>58.97</v>
      </c>
      <c r="AL64" s="39" t="s">
        <v>1066</v>
      </c>
      <c r="AN64" s="8">
        <f t="shared" si="22"/>
        <v>2</v>
      </c>
      <c r="AO64" s="1">
        <f t="shared" si="23"/>
        <v>0.11393057663227305</v>
      </c>
      <c r="AP64" s="39"/>
      <c r="AQ64" s="39"/>
      <c r="AR64" s="39"/>
      <c r="AS64" s="39">
        <v>74.83</v>
      </c>
      <c r="AT64" s="39" t="s">
        <v>1065</v>
      </c>
      <c r="AU64" s="39"/>
      <c r="AV64" s="39"/>
      <c r="AW64" s="39">
        <v>69.44</v>
      </c>
      <c r="AX64" s="39" t="s">
        <v>1066</v>
      </c>
      <c r="AY64" s="39"/>
      <c r="AZ64" s="39"/>
      <c r="BA64" s="39">
        <v>60.37</v>
      </c>
      <c r="BB64" s="39" t="s">
        <v>1066</v>
      </c>
      <c r="BD64" s="2">
        <f t="shared" si="24"/>
        <v>4</v>
      </c>
      <c r="BE64" s="8">
        <f t="shared" si="2"/>
        <v>70.27</v>
      </c>
      <c r="BF64" s="39"/>
      <c r="BG64" s="39"/>
      <c r="BH64" s="39"/>
      <c r="BI64" s="39">
        <v>70.27</v>
      </c>
      <c r="BJ64" s="39" t="s">
        <v>1065</v>
      </c>
      <c r="BK64" s="39"/>
      <c r="BL64" s="2">
        <f t="shared" si="26"/>
        <v>4</v>
      </c>
      <c r="BM64" s="8">
        <f t="shared" si="27"/>
        <v>74.83</v>
      </c>
      <c r="BN64" s="39"/>
      <c r="BO64" s="39"/>
      <c r="BP64" s="39"/>
      <c r="BQ64" s="39">
        <v>74.83</v>
      </c>
      <c r="BR64" s="39" t="s">
        <v>1065</v>
      </c>
      <c r="BT64" s="8">
        <f t="shared" si="29"/>
        <v>2</v>
      </c>
      <c r="BU64" s="39">
        <v>52</v>
      </c>
      <c r="BV64" s="39"/>
      <c r="BW64" s="39"/>
      <c r="BX64" s="39"/>
      <c r="BY64" s="39">
        <v>52</v>
      </c>
      <c r="BZ64" s="39" t="s">
        <v>398</v>
      </c>
      <c r="CB64" s="39">
        <v>1</v>
      </c>
      <c r="CC64" s="39" t="str">
        <f>CF64</f>
        <v>一级</v>
      </c>
      <c r="CD64" s="39"/>
      <c r="CE64" s="39"/>
      <c r="CF64" s="39" t="s">
        <v>132</v>
      </c>
      <c r="CG64" s="39" t="s">
        <v>1085</v>
      </c>
      <c r="CH64" s="39" t="s">
        <v>1068</v>
      </c>
      <c r="CJ64" s="8">
        <f t="shared" si="30"/>
        <v>2</v>
      </c>
      <c r="CK64" s="12">
        <f t="shared" si="31"/>
        <v>0.24633556282908781</v>
      </c>
      <c r="CL64" s="39"/>
      <c r="CM64" s="39"/>
      <c r="CN64" s="39"/>
      <c r="CO64" s="39">
        <v>17.309999999999999</v>
      </c>
      <c r="CP64" s="39" t="s">
        <v>1064</v>
      </c>
      <c r="CQ64" s="39"/>
      <c r="CR64" s="39"/>
      <c r="CS64" s="39">
        <v>70.27</v>
      </c>
      <c r="CT64" s="39" t="s">
        <v>1065</v>
      </c>
      <c r="CV64" s="8">
        <f t="shared" si="33"/>
        <v>4</v>
      </c>
      <c r="CW64" s="8">
        <f t="shared" si="34"/>
        <v>370.26</v>
      </c>
      <c r="CX64" s="39"/>
      <c r="CY64" s="39"/>
      <c r="CZ64" s="39"/>
      <c r="DA64" s="39">
        <v>370.26</v>
      </c>
      <c r="DB64" s="39" t="s">
        <v>1064</v>
      </c>
      <c r="DC64" s="39"/>
      <c r="DD64" s="39">
        <f t="shared" si="63"/>
        <v>1</v>
      </c>
      <c r="DE64" s="15">
        <f t="shared" si="36"/>
        <v>4.9480155018040897</v>
      </c>
      <c r="DF64" s="39"/>
      <c r="DG64" s="39"/>
      <c r="DH64" s="39"/>
      <c r="DI64" s="39">
        <v>74.83</v>
      </c>
      <c r="DJ64" s="39" t="s">
        <v>1065</v>
      </c>
      <c r="DK64" s="39"/>
      <c r="DL64" s="39"/>
      <c r="DM64" s="39">
        <v>370.26</v>
      </c>
      <c r="DN64" s="39" t="s">
        <v>1064</v>
      </c>
      <c r="DP64" s="36">
        <v>4</v>
      </c>
      <c r="DQ64" s="36" t="s">
        <v>1089</v>
      </c>
      <c r="DU64" s="41">
        <v>0</v>
      </c>
      <c r="DV64" s="36" t="s">
        <v>1064</v>
      </c>
      <c r="DY64" s="41">
        <v>0.46339999999999998</v>
      </c>
      <c r="DZ64" s="36" t="s">
        <v>1064</v>
      </c>
      <c r="EC64" s="41">
        <v>6.9000000000000006E-2</v>
      </c>
      <c r="ED64" s="36" t="s">
        <v>1064</v>
      </c>
      <c r="EG64" s="41">
        <v>0.46760000000000002</v>
      </c>
      <c r="EH64" s="36" t="s">
        <v>1064</v>
      </c>
      <c r="EJ64" s="2">
        <f t="shared" si="39"/>
        <v>1</v>
      </c>
      <c r="EK64" s="8">
        <f t="shared" si="40"/>
        <v>139.80000000000001</v>
      </c>
      <c r="EL64" s="39"/>
      <c r="EM64" s="39"/>
      <c r="EN64" s="39"/>
      <c r="EO64" s="39">
        <v>139.80000000000001</v>
      </c>
      <c r="EP64" s="39" t="s">
        <v>1065</v>
      </c>
      <c r="EQ64" s="39"/>
      <c r="ER64" s="8">
        <f t="shared" si="41"/>
        <v>2</v>
      </c>
      <c r="ES64" s="6">
        <f t="shared" si="59"/>
        <v>77.77</v>
      </c>
      <c r="ET64" s="39"/>
      <c r="EU64" s="39"/>
      <c r="EV64" s="39"/>
      <c r="EW64" s="39">
        <v>77.77</v>
      </c>
      <c r="EX64" s="39" t="s">
        <v>1065</v>
      </c>
      <c r="EZ64" s="8">
        <f t="shared" si="42"/>
        <v>1</v>
      </c>
      <c r="FA64" s="8">
        <f t="shared" si="43"/>
        <v>651.44000000000005</v>
      </c>
      <c r="FE64" s="36">
        <v>651.44000000000005</v>
      </c>
      <c r="FF64" s="36" t="s">
        <v>339</v>
      </c>
      <c r="FH64" s="39">
        <v>3</v>
      </c>
      <c r="FI64" s="39" t="s">
        <v>1091</v>
      </c>
      <c r="FJ64" s="39"/>
      <c r="FK64" s="39"/>
      <c r="FL64" s="39"/>
      <c r="FM64" s="50">
        <v>0</v>
      </c>
      <c r="FN64" s="39" t="s">
        <v>1064</v>
      </c>
      <c r="FO64" s="39"/>
      <c r="FP64" s="39"/>
      <c r="FQ64" s="40">
        <v>0.56979999999999997</v>
      </c>
      <c r="FR64" s="39" t="s">
        <v>1064</v>
      </c>
      <c r="FS64" s="39"/>
      <c r="FT64" s="39"/>
      <c r="FU64" s="40">
        <v>5.5E-2</v>
      </c>
      <c r="FV64" s="39" t="s">
        <v>1064</v>
      </c>
      <c r="FW64" s="39"/>
      <c r="FX64" s="39"/>
      <c r="FY64" s="40">
        <v>0.37509999999999999</v>
      </c>
      <c r="FZ64" s="39" t="s">
        <v>1064</v>
      </c>
      <c r="GB64" s="39">
        <v>2</v>
      </c>
      <c r="GC64" s="90" t="s">
        <v>1092</v>
      </c>
      <c r="GD64" s="39"/>
      <c r="GE64" s="39"/>
      <c r="GF64" s="39"/>
      <c r="GG64" s="90" t="s">
        <v>1093</v>
      </c>
      <c r="GH64" s="39" t="s">
        <v>1065</v>
      </c>
      <c r="GJ64" s="8">
        <f t="shared" si="44"/>
        <v>4</v>
      </c>
      <c r="GK64" s="1">
        <f t="shared" si="45"/>
        <v>3.9510354030601699E-2</v>
      </c>
      <c r="GL64" s="39"/>
      <c r="GM64" s="39"/>
      <c r="GN64" s="39">
        <v>2.77</v>
      </c>
      <c r="GO64" s="39" t="s">
        <v>1094</v>
      </c>
      <c r="GP64" s="39" t="s">
        <v>1065</v>
      </c>
      <c r="GS64" s="38">
        <v>70.108204999999998</v>
      </c>
      <c r="GT64" s="36" t="s">
        <v>144</v>
      </c>
      <c r="GV64" s="8">
        <f t="shared" si="46"/>
        <v>2</v>
      </c>
      <c r="GW64" s="1">
        <f t="shared" si="47"/>
        <v>0.33122992556792258</v>
      </c>
      <c r="HA64" s="38">
        <v>80.650478000000007</v>
      </c>
      <c r="HB64" s="36" t="s">
        <v>1068</v>
      </c>
      <c r="HE64" s="38">
        <v>243.487897</v>
      </c>
      <c r="HF64" s="36" t="s">
        <v>1096</v>
      </c>
      <c r="HH64" s="36">
        <f t="shared" ref="HH64:HH70" si="64">IF(HI64="数据缺失",0,IF(HI64&lt;20%,1,IF(HI64&lt;40%,2,IF(HI64&lt;60%,3,IF(HI64&lt;80%,4,IF(HI64&lt;=100%,5,0))))))</f>
        <v>1</v>
      </c>
      <c r="HI64" s="1">
        <f t="shared" si="49"/>
        <v>0.14696879138279009</v>
      </c>
      <c r="HM64" s="38">
        <v>2.8521450000000002</v>
      </c>
      <c r="HN64" s="36" t="s">
        <v>1068</v>
      </c>
      <c r="HQ64" s="83">
        <v>19.406466999999999</v>
      </c>
      <c r="HR64" s="36" t="s">
        <v>336</v>
      </c>
      <c r="HT64" s="8">
        <f t="shared" si="50"/>
        <v>2</v>
      </c>
      <c r="HU64" s="10">
        <f t="shared" si="51"/>
        <v>0.18095629009295131</v>
      </c>
      <c r="HY64" s="36">
        <v>12.8</v>
      </c>
      <c r="HZ64" s="36" t="s">
        <v>1068</v>
      </c>
      <c r="IC64" s="36">
        <v>70.735314000000002</v>
      </c>
      <c r="ID64" s="39" t="s">
        <v>144</v>
      </c>
      <c r="IR64" s="42">
        <f>IF(IS64="数据缺失",0,IF(IS64&lt;0%,0,IF(IS64&lt;=100%,4,IF(IS64&lt;200%,3,IF(IS64&lt;300%,2,1)))))</f>
        <v>3</v>
      </c>
      <c r="IS64" s="1">
        <f t="shared" si="53"/>
        <v>1.9669986934309249</v>
      </c>
      <c r="IT64" s="39"/>
      <c r="IU64" s="39"/>
      <c r="IV64" s="39"/>
      <c r="IW64" s="39">
        <v>119.34</v>
      </c>
      <c r="IX64" s="39" t="s">
        <v>1064</v>
      </c>
      <c r="IY64" s="39"/>
      <c r="IZ64" s="39"/>
      <c r="JA64" s="69">
        <v>60.671112999999998</v>
      </c>
      <c r="JB64" s="39" t="s">
        <v>144</v>
      </c>
      <c r="JD64" s="39">
        <f t="shared" si="61"/>
        <v>4</v>
      </c>
      <c r="JE64" s="43">
        <f t="shared" si="62"/>
        <v>9.8777459795544184E-2</v>
      </c>
      <c r="JI64" s="36">
        <v>13.14</v>
      </c>
      <c r="JJ64" s="36" t="s">
        <v>339</v>
      </c>
      <c r="JM64" s="36">
        <v>1.62</v>
      </c>
      <c r="JN64" s="39" t="s">
        <v>1065</v>
      </c>
      <c r="JQ64" s="36">
        <v>89.57</v>
      </c>
      <c r="JR64" s="39" t="s">
        <v>1065</v>
      </c>
      <c r="JU64" s="36">
        <v>74.66</v>
      </c>
      <c r="JV64" s="39" t="s">
        <v>1065</v>
      </c>
      <c r="JX64" s="36">
        <v>2</v>
      </c>
      <c r="JY64" s="36" t="s">
        <v>504</v>
      </c>
      <c r="KB64" s="36">
        <v>10</v>
      </c>
      <c r="KC64" s="36" t="str">
        <f>JY64</f>
        <v>致同会计师事务所（特殊普通合伙）</v>
      </c>
      <c r="KD64" s="36" t="s">
        <v>1068</v>
      </c>
      <c r="KF64" s="8">
        <f t="shared" si="56"/>
        <v>1</v>
      </c>
      <c r="KG64" s="1">
        <f t="shared" si="57"/>
        <v>4.4502232883052604E-3</v>
      </c>
      <c r="KH64" s="39"/>
      <c r="KI64" s="39"/>
      <c r="KJ64" s="39"/>
      <c r="KK64" s="39">
        <v>0.27</v>
      </c>
      <c r="KL64" s="39" t="s">
        <v>1068</v>
      </c>
      <c r="KM64" s="39"/>
      <c r="KN64" s="39"/>
      <c r="KO64" s="69">
        <v>60.671112999999998</v>
      </c>
      <c r="KP64" s="39" t="s">
        <v>144</v>
      </c>
    </row>
    <row r="65" spans="2:302" s="36" customFormat="1" ht="16.5" customHeight="1" x14ac:dyDescent="0.35">
      <c r="B65" s="36" t="s">
        <v>1102</v>
      </c>
      <c r="C65" s="39" t="s">
        <v>196</v>
      </c>
      <c r="D65" s="36" t="s">
        <v>170</v>
      </c>
      <c r="E65" s="36" t="s">
        <v>172</v>
      </c>
      <c r="F65" s="36" t="s">
        <v>1103</v>
      </c>
      <c r="G65" s="36" t="s">
        <v>174</v>
      </c>
      <c r="H65" s="40">
        <v>0.87190000000000001</v>
      </c>
      <c r="I65" s="88"/>
      <c r="J65" s="90"/>
      <c r="L65" s="42">
        <v>3</v>
      </c>
      <c r="M65" s="39" t="s">
        <v>1104</v>
      </c>
      <c r="N65" s="39"/>
      <c r="O65" s="39"/>
      <c r="P65" s="39" t="s">
        <v>864</v>
      </c>
      <c r="Q65" s="39" t="s">
        <v>1105</v>
      </c>
      <c r="R65" s="36" t="s">
        <v>1106</v>
      </c>
      <c r="T65" s="36" t="s">
        <v>709</v>
      </c>
      <c r="U65" s="86">
        <v>1</v>
      </c>
      <c r="X65" s="8">
        <f t="shared" si="20"/>
        <v>0</v>
      </c>
      <c r="Y65" s="39" t="s">
        <v>37</v>
      </c>
      <c r="Z65" s="39"/>
      <c r="AA65" s="39"/>
      <c r="AB65" s="39"/>
      <c r="AC65" s="39" t="s">
        <v>37</v>
      </c>
      <c r="AD65" s="39"/>
      <c r="AE65" s="39"/>
      <c r="AF65" s="39"/>
      <c r="AG65" s="39" t="s">
        <v>37</v>
      </c>
      <c r="AH65" s="39"/>
      <c r="AI65" s="39"/>
      <c r="AJ65" s="39"/>
      <c r="AK65" s="39" t="s">
        <v>37</v>
      </c>
      <c r="AL65" s="39"/>
      <c r="AM65" s="39"/>
      <c r="AN65" s="8">
        <f t="shared" si="22"/>
        <v>0</v>
      </c>
      <c r="AO65" s="39" t="s">
        <v>37</v>
      </c>
      <c r="AP65" s="39"/>
      <c r="AQ65" s="39"/>
      <c r="AR65" s="39"/>
      <c r="AS65" s="39" t="s">
        <v>37</v>
      </c>
      <c r="AT65" s="39"/>
      <c r="AU65" s="39"/>
      <c r="AV65" s="39"/>
      <c r="AW65" s="39" t="s">
        <v>37</v>
      </c>
      <c r="AX65" s="39"/>
      <c r="AY65" s="39"/>
      <c r="AZ65" s="39"/>
      <c r="BA65" s="39" t="s">
        <v>37</v>
      </c>
      <c r="BD65" s="2">
        <f t="shared" si="24"/>
        <v>0</v>
      </c>
      <c r="BE65" s="8" t="str">
        <f t="shared" si="2"/>
        <v>数据缺失</v>
      </c>
      <c r="BF65" s="39"/>
      <c r="BG65" s="39"/>
      <c r="BH65" s="39"/>
      <c r="BI65" s="39" t="s">
        <v>37</v>
      </c>
      <c r="BL65" s="2">
        <f t="shared" si="26"/>
        <v>0</v>
      </c>
      <c r="BM65" s="8" t="str">
        <f t="shared" si="27"/>
        <v>数据缺失</v>
      </c>
      <c r="BN65" s="39"/>
      <c r="BO65" s="39"/>
      <c r="BP65" s="39"/>
      <c r="BQ65" s="39" t="s">
        <v>37</v>
      </c>
      <c r="BT65" s="8">
        <f t="shared" si="29"/>
        <v>5</v>
      </c>
      <c r="BU65" s="36" t="str">
        <f>BY65</f>
        <v>未上榜</v>
      </c>
      <c r="BY65" s="36" t="s">
        <v>975</v>
      </c>
      <c r="BZ65" s="39" t="s">
        <v>234</v>
      </c>
      <c r="CB65" s="36">
        <v>2</v>
      </c>
      <c r="CC65" s="36" t="s">
        <v>134</v>
      </c>
      <c r="CF65" s="36" t="s">
        <v>134</v>
      </c>
      <c r="CG65" s="36" t="s">
        <v>1176</v>
      </c>
      <c r="CH65" s="36" t="s">
        <v>1246</v>
      </c>
      <c r="CJ65" s="8">
        <f t="shared" si="30"/>
        <v>0</v>
      </c>
      <c r="CK65" s="39" t="s">
        <v>37</v>
      </c>
      <c r="CO65" s="36">
        <v>7.4</v>
      </c>
      <c r="CP65" s="36" t="s">
        <v>1107</v>
      </c>
      <c r="CS65" s="36" t="str">
        <f>AC65</f>
        <v>数据缺失</v>
      </c>
      <c r="CV65" s="8">
        <f t="shared" si="33"/>
        <v>5</v>
      </c>
      <c r="CW65" s="8">
        <f t="shared" si="34"/>
        <v>20.6</v>
      </c>
      <c r="DA65" s="36">
        <v>20.6</v>
      </c>
      <c r="DB65" s="36" t="s">
        <v>1107</v>
      </c>
      <c r="DD65" s="39">
        <f t="shared" ref="DD65:DD70" si="65">IF(DE65="数据缺失",0,IF(DE65&lt;0,0,IF(DE65&lt;2,3,IF(DE65&lt;=5,1,2))))</f>
        <v>0</v>
      </c>
      <c r="DE65" s="69" t="s">
        <v>37</v>
      </c>
      <c r="DF65" s="39"/>
      <c r="DG65" s="39"/>
      <c r="DH65" s="39"/>
      <c r="DI65" s="39" t="s">
        <v>37</v>
      </c>
      <c r="DJ65" s="39"/>
      <c r="DK65" s="39"/>
      <c r="DL65" s="39"/>
      <c r="DM65" s="39">
        <v>20.6</v>
      </c>
      <c r="DN65" s="36" t="s">
        <v>1107</v>
      </c>
      <c r="DO65" s="36" t="s">
        <v>1108</v>
      </c>
      <c r="DP65" s="36">
        <v>3</v>
      </c>
      <c r="DQ65" s="36" t="s">
        <v>1109</v>
      </c>
      <c r="DS65" s="58" t="s">
        <v>1110</v>
      </c>
      <c r="DU65" s="41">
        <v>0</v>
      </c>
      <c r="DV65" s="36" t="s">
        <v>1107</v>
      </c>
      <c r="DY65" s="41">
        <v>1</v>
      </c>
      <c r="DZ65" s="36" t="s">
        <v>1107</v>
      </c>
      <c r="EC65" s="41">
        <v>0</v>
      </c>
      <c r="ED65" s="36" t="s">
        <v>1107</v>
      </c>
      <c r="EG65" s="41">
        <v>0</v>
      </c>
      <c r="EH65" s="36" t="s">
        <v>1107</v>
      </c>
      <c r="EJ65" s="2">
        <f t="shared" si="39"/>
        <v>0</v>
      </c>
      <c r="EK65" s="8" t="str">
        <f t="shared" si="40"/>
        <v>数据缺失</v>
      </c>
      <c r="EL65" s="39"/>
      <c r="EM65" s="39"/>
      <c r="EN65" s="39"/>
      <c r="EO65" s="39" t="s">
        <v>37</v>
      </c>
      <c r="EP65" s="39"/>
      <c r="EQ65" s="39"/>
      <c r="ER65" s="8">
        <f t="shared" si="41"/>
        <v>0</v>
      </c>
      <c r="ES65" s="6" t="str">
        <f t="shared" si="59"/>
        <v>数据缺失</v>
      </c>
      <c r="ET65" s="39"/>
      <c r="EU65" s="39"/>
      <c r="EV65" s="39"/>
      <c r="EW65" s="39" t="s">
        <v>37</v>
      </c>
      <c r="EZ65" s="8">
        <f t="shared" si="42"/>
        <v>1</v>
      </c>
      <c r="FA65" s="8">
        <f t="shared" si="43"/>
        <v>360.24</v>
      </c>
      <c r="FB65" s="39"/>
      <c r="FC65" s="39"/>
      <c r="FD65" s="39"/>
      <c r="FE65" s="39">
        <v>360.24</v>
      </c>
      <c r="FF65" s="36" t="s">
        <v>1107</v>
      </c>
      <c r="FG65" s="36" t="s">
        <v>1108</v>
      </c>
      <c r="FH65" s="36">
        <v>3</v>
      </c>
      <c r="FI65" s="36" t="s">
        <v>1109</v>
      </c>
      <c r="FK65" s="36" t="s">
        <v>1107</v>
      </c>
      <c r="FL65" s="36" t="s">
        <v>1108</v>
      </c>
      <c r="FM65" s="36">
        <v>0</v>
      </c>
      <c r="FN65" s="36" t="s">
        <v>1111</v>
      </c>
      <c r="FQ65" s="86">
        <v>1</v>
      </c>
      <c r="FR65" s="36" t="s">
        <v>1111</v>
      </c>
      <c r="FU65" s="36">
        <v>0</v>
      </c>
      <c r="FV65" s="36" t="s">
        <v>1111</v>
      </c>
      <c r="FY65" s="36">
        <v>0</v>
      </c>
      <c r="FZ65" s="36" t="s">
        <v>1111</v>
      </c>
      <c r="GB65" s="39">
        <v>1</v>
      </c>
      <c r="GC65" s="39" t="str">
        <f>GG65</f>
        <v>房地产销售：87.03%</v>
      </c>
      <c r="GD65" s="39"/>
      <c r="GE65" s="39"/>
      <c r="GF65" s="39"/>
      <c r="GG65" s="39" t="s">
        <v>1112</v>
      </c>
      <c r="GH65" s="36" t="s">
        <v>1106</v>
      </c>
      <c r="GJ65" s="8">
        <f t="shared" si="44"/>
        <v>4</v>
      </c>
      <c r="GK65" s="1">
        <f t="shared" si="45"/>
        <v>0</v>
      </c>
      <c r="GN65" s="36">
        <v>0</v>
      </c>
      <c r="GO65" s="36" t="s">
        <v>921</v>
      </c>
      <c r="GP65" s="36" t="s">
        <v>1106</v>
      </c>
      <c r="GS65" s="69">
        <v>18.176643342799998</v>
      </c>
      <c r="GT65" s="39" t="s">
        <v>144</v>
      </c>
      <c r="GV65" s="8">
        <f t="shared" si="46"/>
        <v>1</v>
      </c>
      <c r="GW65" s="1">
        <f t="shared" si="47"/>
        <v>1.8615524324062837E-2</v>
      </c>
      <c r="GX65" s="39"/>
      <c r="GY65" s="39"/>
      <c r="GZ65" s="39"/>
      <c r="HA65" s="69">
        <v>10.175751999999999</v>
      </c>
      <c r="HB65" s="39" t="s">
        <v>1111</v>
      </c>
      <c r="HC65" s="39"/>
      <c r="HD65" s="39"/>
      <c r="HE65" s="69">
        <v>546.62720334160008</v>
      </c>
      <c r="HF65" s="39" t="s">
        <v>144</v>
      </c>
      <c r="HH65" s="39">
        <f t="shared" si="64"/>
        <v>1</v>
      </c>
      <c r="HI65" s="1">
        <f t="shared" si="49"/>
        <v>2.7396590461618724E-2</v>
      </c>
      <c r="HJ65" s="39"/>
      <c r="HK65" s="39"/>
      <c r="HL65" s="39"/>
      <c r="HM65" s="69">
        <v>3.5865764800000002</v>
      </c>
      <c r="HN65" s="39" t="s">
        <v>1113</v>
      </c>
      <c r="HO65" s="39"/>
      <c r="HP65" s="39"/>
      <c r="HQ65" s="78">
        <v>130.91324210670001</v>
      </c>
      <c r="HR65" s="39" t="s">
        <v>144</v>
      </c>
      <c r="HT65" s="8">
        <f t="shared" si="50"/>
        <v>3</v>
      </c>
      <c r="HU65" s="10">
        <f t="shared" si="51"/>
        <v>6.8588356282022728E-2</v>
      </c>
      <c r="HV65" s="39"/>
      <c r="HW65" s="39"/>
      <c r="HX65" s="39"/>
      <c r="HY65" s="39">
        <v>2.4900000000000002</v>
      </c>
      <c r="HZ65" s="39" t="s">
        <v>1113</v>
      </c>
      <c r="IA65" s="39"/>
      <c r="IB65" s="39"/>
      <c r="IC65" s="69">
        <v>36.303538019800001</v>
      </c>
      <c r="ID65" s="39" t="s">
        <v>144</v>
      </c>
      <c r="IR65" s="3" t="str">
        <f>IF(IS65&gt;=300%,"1",IF(IS65&gt;=200%,"2",IF(IS65&gt;=100%,"3",IF(IS65&gt;=0%,"4",IF(IS65=数据缺失,"0")))))</f>
        <v>4</v>
      </c>
      <c r="IS65" s="1">
        <f t="shared" si="53"/>
        <v>0.74823698024275653</v>
      </c>
      <c r="IW65" s="38">
        <v>130.699985</v>
      </c>
      <c r="IX65" s="36" t="s">
        <v>1106</v>
      </c>
      <c r="JA65" s="38">
        <v>174.67725927900003</v>
      </c>
      <c r="JB65" s="39" t="s">
        <v>144</v>
      </c>
      <c r="JD65" s="39">
        <f t="shared" ref="JD65:JD70" si="66">IF(JE65="数据缺失",0,IF(JE65&lt;0%,0,IF(JE65&lt;4%,1,IF(JE65&lt;6%,2,IF(JE65&lt;8%,3,4)))))</f>
        <v>2</v>
      </c>
      <c r="JE65" s="43">
        <f t="shared" si="62"/>
        <v>5.8073334985022186E-2</v>
      </c>
      <c r="JF65" s="39"/>
      <c r="JG65" s="39"/>
      <c r="JH65" s="39"/>
      <c r="JI65" s="39">
        <v>2.578398</v>
      </c>
      <c r="JJ65" s="39" t="s">
        <v>1107</v>
      </c>
      <c r="JK65" s="39"/>
      <c r="JL65" s="39"/>
      <c r="JM65" s="39">
        <v>0.2</v>
      </c>
      <c r="JN65" s="39" t="s">
        <v>1107</v>
      </c>
      <c r="JO65" s="39"/>
      <c r="JP65" s="39"/>
      <c r="JQ65" s="39">
        <v>203.23</v>
      </c>
      <c r="JR65" s="39" t="s">
        <v>1107</v>
      </c>
      <c r="JS65" s="39"/>
      <c r="JT65" s="39"/>
      <c r="JU65" s="39">
        <v>240.76</v>
      </c>
      <c r="JV65" s="39" t="s">
        <v>1107</v>
      </c>
      <c r="JX65" s="36">
        <v>2</v>
      </c>
      <c r="JY65" s="36" t="s">
        <v>1116</v>
      </c>
      <c r="KB65" s="36">
        <v>19</v>
      </c>
      <c r="KC65" s="36" t="str">
        <f>JY65</f>
        <v>中兴华会计师事务所（特殊普通合伙）</v>
      </c>
      <c r="KD65" s="39" t="s">
        <v>1107</v>
      </c>
      <c r="KF65" s="8">
        <f t="shared" si="56"/>
        <v>2</v>
      </c>
      <c r="KG65" s="1">
        <f t="shared" si="57"/>
        <v>0.23798484228334624</v>
      </c>
      <c r="KH65" s="39"/>
      <c r="KI65" s="39"/>
      <c r="KJ65" s="39"/>
      <c r="KK65" s="39">
        <v>41.570540000000001</v>
      </c>
      <c r="KL65" s="39" t="s">
        <v>1111</v>
      </c>
      <c r="KM65" s="39"/>
      <c r="KN65" s="39"/>
      <c r="KO65" s="69">
        <v>174.67725927900003</v>
      </c>
      <c r="KP65" s="39" t="s">
        <v>144</v>
      </c>
    </row>
    <row r="66" spans="2:302" s="39" customFormat="1" ht="16.5" customHeight="1" x14ac:dyDescent="0.35">
      <c r="B66" s="39" t="s">
        <v>1117</v>
      </c>
      <c r="C66" s="39" t="s">
        <v>196</v>
      </c>
      <c r="D66" s="36" t="s">
        <v>170</v>
      </c>
      <c r="E66" s="36" t="s">
        <v>172</v>
      </c>
      <c r="F66" s="36" t="s">
        <v>1118</v>
      </c>
      <c r="G66" s="36" t="s">
        <v>174</v>
      </c>
      <c r="H66" s="40">
        <v>0.63900000000000001</v>
      </c>
      <c r="L66" s="3">
        <v>4</v>
      </c>
      <c r="M66" s="36" t="s">
        <v>1119</v>
      </c>
      <c r="N66" s="36"/>
      <c r="O66" s="36"/>
      <c r="P66" s="36" t="s">
        <v>114</v>
      </c>
      <c r="Q66" s="36" t="s">
        <v>1120</v>
      </c>
      <c r="R66" s="39" t="s">
        <v>1121</v>
      </c>
      <c r="S66" s="36"/>
      <c r="T66" s="36" t="s">
        <v>129</v>
      </c>
      <c r="U66" s="41">
        <v>0.34649999999999997</v>
      </c>
      <c r="X66" s="8">
        <f t="shared" si="20"/>
        <v>1</v>
      </c>
      <c r="Y66" s="1">
        <f t="shared" si="21"/>
        <v>0.32893455596011822</v>
      </c>
      <c r="AC66" s="39">
        <v>37.69</v>
      </c>
      <c r="AD66" s="39" t="s">
        <v>1121</v>
      </c>
      <c r="AG66" s="39">
        <v>24.34</v>
      </c>
      <c r="AH66" s="39" t="s">
        <v>1121</v>
      </c>
      <c r="AK66" s="39">
        <v>21.94</v>
      </c>
      <c r="AL66" s="39" t="s">
        <v>1122</v>
      </c>
      <c r="AN66" s="8">
        <f t="shared" si="22"/>
        <v>2</v>
      </c>
      <c r="AO66" s="1">
        <f t="shared" si="23"/>
        <v>0.12757620013759166</v>
      </c>
      <c r="AS66" s="39">
        <v>32.369999999999997</v>
      </c>
      <c r="AT66" s="39" t="s">
        <v>1121</v>
      </c>
      <c r="AW66" s="39">
        <v>21.99</v>
      </c>
      <c r="AX66" s="39" t="s">
        <v>1121</v>
      </c>
      <c r="BA66" s="39">
        <v>28.08</v>
      </c>
      <c r="BB66" s="39" t="s">
        <v>1122</v>
      </c>
      <c r="BD66" s="2">
        <f t="shared" si="24"/>
        <v>5</v>
      </c>
      <c r="BE66" s="8">
        <f t="shared" si="2"/>
        <v>37.69</v>
      </c>
      <c r="BI66" s="39">
        <v>37.69</v>
      </c>
      <c r="BJ66" s="39" t="s">
        <v>1121</v>
      </c>
      <c r="BL66" s="2">
        <f t="shared" si="26"/>
        <v>5</v>
      </c>
      <c r="BM66" s="8">
        <f t="shared" si="27"/>
        <v>32.369999999999997</v>
      </c>
      <c r="BQ66" s="39">
        <v>32.369999999999997</v>
      </c>
      <c r="BR66" s="39" t="s">
        <v>1121</v>
      </c>
      <c r="BT66" s="8">
        <f t="shared" si="29"/>
        <v>3</v>
      </c>
      <c r="BU66" s="39">
        <v>261</v>
      </c>
      <c r="BY66" s="39">
        <v>261</v>
      </c>
      <c r="BZ66" s="39" t="s">
        <v>234</v>
      </c>
      <c r="CB66" s="39">
        <v>1</v>
      </c>
      <c r="CC66" s="39" t="str">
        <f>CF66</f>
        <v>一级</v>
      </c>
      <c r="CF66" s="39" t="s">
        <v>132</v>
      </c>
      <c r="CG66" s="39" t="s">
        <v>1026</v>
      </c>
      <c r="CH66" s="39" t="s">
        <v>1123</v>
      </c>
      <c r="CI66" s="39" t="s">
        <v>1124</v>
      </c>
      <c r="CJ66" s="8">
        <f t="shared" si="30"/>
        <v>2</v>
      </c>
      <c r="CK66" s="12">
        <f t="shared" si="31"/>
        <v>0.27593526134253121</v>
      </c>
      <c r="CO66" s="39">
        <v>10.4</v>
      </c>
      <c r="CP66" s="39" t="s">
        <v>1121</v>
      </c>
      <c r="CS66" s="39">
        <v>37.69</v>
      </c>
      <c r="CT66" s="39" t="s">
        <v>1121</v>
      </c>
      <c r="CV66" s="8">
        <f t="shared" si="33"/>
        <v>0</v>
      </c>
      <c r="CW66" s="8" t="str">
        <f t="shared" si="34"/>
        <v>数据缺失</v>
      </c>
      <c r="CX66" s="36"/>
      <c r="CY66" s="36"/>
      <c r="CZ66" s="36"/>
      <c r="DA66" s="36" t="s">
        <v>37</v>
      </c>
      <c r="DD66" s="36">
        <f t="shared" si="65"/>
        <v>0</v>
      </c>
      <c r="DE66" s="69" t="s">
        <v>37</v>
      </c>
      <c r="DF66" s="36"/>
      <c r="DG66" s="36"/>
      <c r="DH66" s="36"/>
      <c r="DI66" s="37">
        <f>BQ66</f>
        <v>32.369999999999997</v>
      </c>
      <c r="DJ66" s="36" t="str">
        <f>BR66</f>
        <v>评级20160624</v>
      </c>
      <c r="DK66" s="36"/>
      <c r="DL66" s="36"/>
      <c r="DM66" s="92" t="str">
        <f>DA66</f>
        <v>数据缺失</v>
      </c>
      <c r="DP66" s="39">
        <v>5</v>
      </c>
      <c r="DQ66" s="39" t="s">
        <v>37</v>
      </c>
      <c r="DU66" s="40" t="s">
        <v>37</v>
      </c>
      <c r="DY66" s="40" t="s">
        <v>37</v>
      </c>
      <c r="EC66" s="40" t="s">
        <v>37</v>
      </c>
      <c r="EG66" s="40" t="s">
        <v>37</v>
      </c>
      <c r="EJ66" s="2">
        <f t="shared" si="39"/>
        <v>3</v>
      </c>
      <c r="EK66" s="8">
        <f t="shared" si="40"/>
        <v>37.15</v>
      </c>
      <c r="EL66" s="36"/>
      <c r="EM66" s="36"/>
      <c r="EN66" s="36"/>
      <c r="EO66" s="36">
        <v>37.15</v>
      </c>
      <c r="EP66" s="36" t="s">
        <v>1121</v>
      </c>
      <c r="EQ66" s="36"/>
      <c r="ER66" s="8">
        <f t="shared" si="41"/>
        <v>3</v>
      </c>
      <c r="ES66" s="6">
        <f t="shared" si="59"/>
        <v>47.15</v>
      </c>
      <c r="ET66" s="36"/>
      <c r="EU66" s="36"/>
      <c r="EV66" s="36"/>
      <c r="EW66" s="36">
        <v>47.15</v>
      </c>
      <c r="EX66" s="36" t="s">
        <v>1121</v>
      </c>
      <c r="EZ66" s="8">
        <f t="shared" si="42"/>
        <v>0</v>
      </c>
      <c r="FA66" s="8" t="str">
        <f t="shared" si="43"/>
        <v>数据缺失</v>
      </c>
      <c r="FB66" s="36"/>
      <c r="FC66" s="36"/>
      <c r="FD66" s="36"/>
      <c r="FE66" s="36" t="s">
        <v>37</v>
      </c>
      <c r="FF66" s="36"/>
      <c r="FG66" s="36"/>
      <c r="FH66" s="36">
        <v>5</v>
      </c>
      <c r="FI66" s="36" t="s">
        <v>37</v>
      </c>
      <c r="FJ66" s="36"/>
      <c r="FK66" s="36"/>
      <c r="FL66" s="36"/>
      <c r="FM66" s="36" t="s">
        <v>37</v>
      </c>
      <c r="FN66" s="36"/>
      <c r="FO66" s="36"/>
      <c r="FP66" s="36"/>
      <c r="FQ66" s="36" t="s">
        <v>37</v>
      </c>
      <c r="FR66" s="36"/>
      <c r="FS66" s="36"/>
      <c r="FT66" s="36"/>
      <c r="FU66" s="36" t="s">
        <v>37</v>
      </c>
      <c r="FV66" s="36"/>
      <c r="FW66" s="36"/>
      <c r="FX66" s="36"/>
      <c r="FY66" s="36" t="s">
        <v>37</v>
      </c>
      <c r="GB66" s="36">
        <v>1</v>
      </c>
      <c r="GC66" s="36" t="str">
        <f>GG66</f>
        <v xml:space="preserve">房地产开发销售占比63.90%  市政基础设施承建占比17.23%   </v>
      </c>
      <c r="GD66" s="36"/>
      <c r="GE66" s="36"/>
      <c r="GF66" s="36"/>
      <c r="GG66" s="36" t="s">
        <v>1125</v>
      </c>
      <c r="GH66" s="36" t="s">
        <v>1121</v>
      </c>
      <c r="GJ66" s="8">
        <f t="shared" si="44"/>
        <v>0</v>
      </c>
      <c r="GK66" s="6" t="s">
        <v>37</v>
      </c>
      <c r="GL66" s="36"/>
      <c r="GM66" s="36"/>
      <c r="GN66" s="39" t="s">
        <v>37</v>
      </c>
      <c r="GO66" s="39" t="s">
        <v>37</v>
      </c>
      <c r="GP66" s="36" t="s">
        <v>146</v>
      </c>
      <c r="GQ66" s="36"/>
      <c r="GR66" s="36"/>
      <c r="GS66" s="38">
        <v>38.381213470900001</v>
      </c>
      <c r="GT66" s="39" t="s">
        <v>144</v>
      </c>
      <c r="GV66" s="8">
        <f t="shared" si="46"/>
        <v>1</v>
      </c>
      <c r="GW66" s="1">
        <f t="shared" si="47"/>
        <v>1.4416566888237365E-3</v>
      </c>
      <c r="HA66" s="69">
        <v>0.32650000000000001</v>
      </c>
      <c r="HB66" s="39" t="s">
        <v>146</v>
      </c>
      <c r="HE66" s="69">
        <v>226.4755558873</v>
      </c>
      <c r="HF66" s="39" t="s">
        <v>144</v>
      </c>
      <c r="HH66" s="39">
        <f t="shared" si="64"/>
        <v>1</v>
      </c>
      <c r="HI66" s="1">
        <f t="shared" si="49"/>
        <v>2.6303164919770645E-2</v>
      </c>
      <c r="HM66" s="39">
        <v>0.32650000000000001</v>
      </c>
      <c r="HN66" s="39" t="s">
        <v>146</v>
      </c>
      <c r="HQ66" s="78">
        <v>12.412954904699999</v>
      </c>
      <c r="HR66" s="39" t="s">
        <v>144</v>
      </c>
      <c r="HT66" s="6">
        <f t="shared" si="50"/>
        <v>4</v>
      </c>
      <c r="HU66" s="36">
        <v>0</v>
      </c>
      <c r="HY66" s="39">
        <v>0</v>
      </c>
      <c r="HZ66" s="39" t="s">
        <v>146</v>
      </c>
      <c r="IC66" s="39">
        <v>0</v>
      </c>
      <c r="ID66" s="39" t="s">
        <v>144</v>
      </c>
      <c r="IR66" s="3" t="str">
        <f>IF(IS66&gt;=300%,"1",IF(IS66&gt;=200%,"2",IF(IS66&gt;=100%,"3",IF(IS66&gt;=0%,"4",IF(IS66=数据缺失,"0")))))</f>
        <v>4</v>
      </c>
      <c r="IS66" s="1">
        <f t="shared" si="53"/>
        <v>0.67864483590937097</v>
      </c>
      <c r="IT66" s="36"/>
      <c r="IU66" s="36"/>
      <c r="IV66" s="36"/>
      <c r="IW66" s="36">
        <v>64.3</v>
      </c>
      <c r="IX66" s="36" t="s">
        <v>1121</v>
      </c>
      <c r="IY66" s="36" t="s">
        <v>1128</v>
      </c>
      <c r="IZ66" s="36"/>
      <c r="JA66" s="38">
        <v>94.747645009099998</v>
      </c>
      <c r="JB66" s="39" t="s">
        <v>144</v>
      </c>
      <c r="JD66" s="36">
        <f t="shared" si="66"/>
        <v>0</v>
      </c>
      <c r="JE66" s="5" t="s">
        <v>37</v>
      </c>
      <c r="JF66" s="36"/>
      <c r="JG66" s="36"/>
      <c r="JH66" s="36"/>
      <c r="JI66" s="36">
        <v>13.2</v>
      </c>
      <c r="JJ66" s="36" t="s">
        <v>1121</v>
      </c>
      <c r="JK66" s="36"/>
      <c r="JL66" s="36"/>
      <c r="JM66" s="36" t="s">
        <v>887</v>
      </c>
      <c r="JN66" s="36"/>
      <c r="JO66" s="36"/>
      <c r="JP66" s="36"/>
      <c r="JQ66" s="36">
        <v>32.81</v>
      </c>
      <c r="JR66" s="36" t="s">
        <v>1121</v>
      </c>
      <c r="JU66" s="39">
        <v>46.89</v>
      </c>
      <c r="JV66" s="39" t="s">
        <v>1121</v>
      </c>
      <c r="JX66" s="39">
        <v>2</v>
      </c>
      <c r="JY66" s="39" t="s">
        <v>754</v>
      </c>
      <c r="KB66" s="39">
        <v>4</v>
      </c>
      <c r="KC66" s="39" t="s">
        <v>754</v>
      </c>
      <c r="KD66" s="39" t="s">
        <v>146</v>
      </c>
      <c r="KF66" s="8">
        <f t="shared" si="56"/>
        <v>2</v>
      </c>
      <c r="KG66" s="1">
        <f t="shared" si="57"/>
        <v>0.28296629428019038</v>
      </c>
      <c r="KK66" s="69">
        <v>26.810390000000002</v>
      </c>
      <c r="KL66" s="39" t="s">
        <v>146</v>
      </c>
      <c r="KM66" s="39" t="s">
        <v>1132</v>
      </c>
      <c r="KO66" s="69">
        <v>94.747645009099998</v>
      </c>
      <c r="KP66" s="39" t="s">
        <v>144</v>
      </c>
    </row>
    <row r="67" spans="2:302" s="39" customFormat="1" ht="16.5" customHeight="1" x14ac:dyDescent="0.35">
      <c r="B67" s="39" t="s">
        <v>1117</v>
      </c>
      <c r="C67" s="39" t="s">
        <v>196</v>
      </c>
      <c r="D67" s="36" t="s">
        <v>170</v>
      </c>
      <c r="E67" s="36" t="s">
        <v>172</v>
      </c>
      <c r="F67" s="36" t="s">
        <v>1118</v>
      </c>
      <c r="G67" s="36" t="s">
        <v>199</v>
      </c>
      <c r="H67" s="40">
        <v>0.54190000000000005</v>
      </c>
      <c r="L67" s="3">
        <v>4</v>
      </c>
      <c r="M67" s="36" t="s">
        <v>1119</v>
      </c>
      <c r="N67" s="36"/>
      <c r="O67" s="36"/>
      <c r="P67" s="36" t="s">
        <v>114</v>
      </c>
      <c r="Q67" s="36" t="s">
        <v>1120</v>
      </c>
      <c r="R67" s="36" t="s">
        <v>395</v>
      </c>
      <c r="S67" s="36"/>
      <c r="T67" s="36" t="s">
        <v>129</v>
      </c>
      <c r="U67" s="41">
        <v>0.34649999999999997</v>
      </c>
      <c r="V67" s="36"/>
      <c r="X67" s="8">
        <f t="shared" si="20"/>
        <v>3</v>
      </c>
      <c r="Y67" s="1">
        <f t="shared" si="21"/>
        <v>9.93818113678272E-2</v>
      </c>
      <c r="AC67" s="39">
        <v>24.34</v>
      </c>
      <c r="AD67" s="39" t="s">
        <v>1122</v>
      </c>
      <c r="AG67" s="39">
        <v>21.94</v>
      </c>
      <c r="AH67" s="39" t="s">
        <v>1121</v>
      </c>
      <c r="AK67" s="39">
        <v>20.14</v>
      </c>
      <c r="AL67" s="39" t="s">
        <v>1141</v>
      </c>
      <c r="AN67" s="8">
        <f t="shared" si="22"/>
        <v>5</v>
      </c>
      <c r="AO67" s="1">
        <f t="shared" si="23"/>
        <v>-0.17336115017785309</v>
      </c>
      <c r="AS67" s="39">
        <v>21.99</v>
      </c>
      <c r="AT67" s="39" t="s">
        <v>1122</v>
      </c>
      <c r="AW67" s="39">
        <v>28.08</v>
      </c>
      <c r="AX67" s="39" t="s">
        <v>1122</v>
      </c>
      <c r="BA67" s="39">
        <v>32.270000000000003</v>
      </c>
      <c r="BB67" s="39" t="s">
        <v>1142</v>
      </c>
      <c r="BD67" s="2">
        <f t="shared" si="24"/>
        <v>5</v>
      </c>
      <c r="BE67" s="8">
        <f t="shared" si="2"/>
        <v>24.34</v>
      </c>
      <c r="BI67" s="39">
        <v>24.34</v>
      </c>
      <c r="BJ67" s="39" t="s">
        <v>1122</v>
      </c>
      <c r="BL67" s="2">
        <f t="shared" si="26"/>
        <v>5</v>
      </c>
      <c r="BM67" s="8">
        <f t="shared" si="27"/>
        <v>21.99</v>
      </c>
      <c r="BQ67" s="39">
        <v>21.99</v>
      </c>
      <c r="BR67" s="39" t="s">
        <v>1122</v>
      </c>
      <c r="BT67" s="8">
        <f t="shared" si="29"/>
        <v>3</v>
      </c>
      <c r="BU67" s="39">
        <v>221</v>
      </c>
      <c r="BY67" s="39">
        <v>221</v>
      </c>
      <c r="BZ67" s="39" t="s">
        <v>398</v>
      </c>
      <c r="CA67" s="39" t="s">
        <v>1143</v>
      </c>
      <c r="CB67" s="36">
        <v>1</v>
      </c>
      <c r="CC67" s="36" t="str">
        <f>CF67</f>
        <v>一级</v>
      </c>
      <c r="CD67" s="36"/>
      <c r="CE67" s="36"/>
      <c r="CF67" s="36" t="s">
        <v>132</v>
      </c>
      <c r="CG67" s="36" t="s">
        <v>1144</v>
      </c>
      <c r="CH67" s="36" t="s">
        <v>1123</v>
      </c>
      <c r="CI67" s="39" t="s">
        <v>1124</v>
      </c>
      <c r="CJ67" s="8">
        <f t="shared" si="30"/>
        <v>0</v>
      </c>
      <c r="CK67" s="39" t="s">
        <v>37</v>
      </c>
      <c r="CO67" s="39" t="s">
        <v>37</v>
      </c>
      <c r="CS67" s="39">
        <v>24.34</v>
      </c>
      <c r="CT67" s="39" t="s">
        <v>1122</v>
      </c>
      <c r="CV67" s="8">
        <f t="shared" si="33"/>
        <v>0</v>
      </c>
      <c r="CW67" s="8" t="str">
        <f t="shared" si="34"/>
        <v>数据缺失</v>
      </c>
      <c r="DA67" s="39" t="s">
        <v>37</v>
      </c>
      <c r="DD67" s="39">
        <f t="shared" si="65"/>
        <v>0</v>
      </c>
      <c r="DE67" s="69" t="s">
        <v>37</v>
      </c>
      <c r="DI67" s="39">
        <v>21.99</v>
      </c>
      <c r="DJ67" s="39" t="s">
        <v>1122</v>
      </c>
      <c r="DM67" s="39" t="s">
        <v>37</v>
      </c>
      <c r="DP67" s="39">
        <v>5</v>
      </c>
      <c r="DQ67" s="39" t="s">
        <v>37</v>
      </c>
      <c r="DU67" s="40" t="s">
        <v>37</v>
      </c>
      <c r="DY67" s="40" t="s">
        <v>37</v>
      </c>
      <c r="EC67" s="40" t="s">
        <v>37</v>
      </c>
      <c r="EG67" s="40" t="s">
        <v>37</v>
      </c>
      <c r="EJ67" s="2">
        <f t="shared" si="39"/>
        <v>2</v>
      </c>
      <c r="EK67" s="8">
        <f t="shared" si="40"/>
        <v>89.79</v>
      </c>
      <c r="EO67" s="39">
        <v>89.79</v>
      </c>
      <c r="EP67" s="39" t="s">
        <v>1122</v>
      </c>
      <c r="ER67" s="8">
        <f t="shared" si="41"/>
        <v>3</v>
      </c>
      <c r="ES67" s="6">
        <f t="shared" si="59"/>
        <v>33.58</v>
      </c>
      <c r="EW67" s="39">
        <v>33.58</v>
      </c>
      <c r="EX67" s="39" t="s">
        <v>1122</v>
      </c>
      <c r="EZ67" s="8">
        <f t="shared" si="42"/>
        <v>3</v>
      </c>
      <c r="FA67" s="8">
        <f t="shared" si="43"/>
        <v>61.38</v>
      </c>
      <c r="FE67" s="39">
        <v>61.38</v>
      </c>
      <c r="FF67" s="39" t="s">
        <v>1123</v>
      </c>
      <c r="FH67" s="39">
        <v>2</v>
      </c>
      <c r="FI67" s="39" t="s">
        <v>1148</v>
      </c>
      <c r="FM67" s="50">
        <v>0</v>
      </c>
      <c r="FN67" s="39" t="s">
        <v>1123</v>
      </c>
      <c r="FQ67" s="50">
        <v>1</v>
      </c>
      <c r="FR67" s="39" t="s">
        <v>1123</v>
      </c>
      <c r="FU67" s="50">
        <v>0</v>
      </c>
      <c r="FV67" s="39" t="s">
        <v>1123</v>
      </c>
      <c r="FY67" s="50">
        <v>0</v>
      </c>
      <c r="FZ67" s="39" t="s">
        <v>1123</v>
      </c>
      <c r="GB67" s="39">
        <v>1</v>
      </c>
      <c r="GC67" s="39" t="str">
        <f>GG67</f>
        <v>房地产开发销售：54.19%；市政基础设施承建：23.34%</v>
      </c>
      <c r="GG67" s="39" t="s">
        <v>1150</v>
      </c>
      <c r="GH67" s="36" t="s">
        <v>395</v>
      </c>
      <c r="GJ67" s="8">
        <f t="shared" si="44"/>
        <v>0</v>
      </c>
      <c r="GK67" s="6" t="s">
        <v>37</v>
      </c>
      <c r="GN67" s="39" t="s">
        <v>37</v>
      </c>
      <c r="GO67" s="39" t="s">
        <v>37</v>
      </c>
      <c r="GS67" s="69">
        <v>32.420741063499996</v>
      </c>
      <c r="GT67" s="39" t="s">
        <v>144</v>
      </c>
      <c r="GV67" s="8">
        <f t="shared" si="46"/>
        <v>1</v>
      </c>
      <c r="GW67" s="1">
        <f t="shared" si="47"/>
        <v>9.0680505266754571E-2</v>
      </c>
      <c r="HA67" s="69">
        <v>18.46894429</v>
      </c>
      <c r="HB67" s="39" t="s">
        <v>395</v>
      </c>
      <c r="HE67" s="69">
        <v>203.67050487500001</v>
      </c>
      <c r="HF67" s="39" t="s">
        <v>144</v>
      </c>
      <c r="HH67" s="39">
        <f t="shared" si="64"/>
        <v>1</v>
      </c>
      <c r="HI67" s="1">
        <f t="shared" si="49"/>
        <v>4.9196405952278588E-2</v>
      </c>
      <c r="HM67" s="39">
        <v>0.50051000000000001</v>
      </c>
      <c r="HN67" s="39" t="s">
        <v>395</v>
      </c>
      <c r="HQ67" s="78">
        <v>10.1737106667</v>
      </c>
      <c r="HR67" s="39" t="s">
        <v>144</v>
      </c>
      <c r="HT67" s="8">
        <f t="shared" si="50"/>
        <v>4</v>
      </c>
      <c r="HU67" s="10">
        <f t="shared" si="51"/>
        <v>0</v>
      </c>
      <c r="HY67" s="39">
        <v>0</v>
      </c>
      <c r="HZ67" s="39" t="s">
        <v>395</v>
      </c>
      <c r="IC67" s="39">
        <v>2.52</v>
      </c>
      <c r="ID67" s="39" t="s">
        <v>144</v>
      </c>
      <c r="IR67" s="3" t="str">
        <f>IF(IS67&gt;=300%,"1",IF(IS67&gt;=200%,"2",IF(IS67&gt;=100%,"3",IF(IS67&gt;=0%,"4",IF(IS67=数据缺失,"0")))))</f>
        <v>4</v>
      </c>
      <c r="IS67" s="1">
        <f t="shared" si="53"/>
        <v>0.7535170416509428</v>
      </c>
      <c r="IT67" s="36"/>
      <c r="IU67" s="36"/>
      <c r="IV67" s="36"/>
      <c r="IW67" s="36">
        <v>65.59</v>
      </c>
      <c r="IX67" s="36" t="s">
        <v>1123</v>
      </c>
      <c r="IY67" s="36" t="s">
        <v>1152</v>
      </c>
      <c r="IZ67" s="36"/>
      <c r="JA67" s="38">
        <v>87.045144800300008</v>
      </c>
      <c r="JB67" s="39" t="s">
        <v>144</v>
      </c>
      <c r="JD67" s="36">
        <f t="shared" si="66"/>
        <v>4</v>
      </c>
      <c r="JE67" s="43">
        <f>JI67/JM67/(JQ67+JU67)*2</f>
        <v>0.13890310411884257</v>
      </c>
      <c r="JI67" s="39">
        <v>11.4</v>
      </c>
      <c r="JJ67" s="39" t="s">
        <v>1122</v>
      </c>
      <c r="JM67" s="39">
        <v>1.56</v>
      </c>
      <c r="JN67" s="39" t="s">
        <v>1153</v>
      </c>
      <c r="JQ67" s="39">
        <v>46.89</v>
      </c>
      <c r="JR67" s="39" t="s">
        <v>1122</v>
      </c>
      <c r="JU67" s="39">
        <v>58.33</v>
      </c>
      <c r="JV67" s="39" t="s">
        <v>1122</v>
      </c>
      <c r="JX67" s="39">
        <v>2</v>
      </c>
      <c r="JY67" s="39" t="s">
        <v>754</v>
      </c>
      <c r="KB67" s="39">
        <v>5</v>
      </c>
      <c r="KC67" s="39" t="s">
        <v>754</v>
      </c>
      <c r="KD67" s="39" t="s">
        <v>395</v>
      </c>
      <c r="KF67" s="8">
        <f t="shared" si="56"/>
        <v>1</v>
      </c>
      <c r="KG67" s="1">
        <f t="shared" si="57"/>
        <v>0.16564450588346089</v>
      </c>
      <c r="KK67" s="39">
        <v>14.41855</v>
      </c>
      <c r="KL67" s="39" t="s">
        <v>395</v>
      </c>
      <c r="KM67" s="39" t="s">
        <v>1154</v>
      </c>
      <c r="KO67" s="69">
        <v>87.045144800300008</v>
      </c>
      <c r="KP67" s="39" t="s">
        <v>144</v>
      </c>
    </row>
    <row r="68" spans="2:302" s="39" customFormat="1" ht="16.5" customHeight="1" x14ac:dyDescent="0.35">
      <c r="B68" s="39" t="s">
        <v>1117</v>
      </c>
      <c r="C68" s="39" t="s">
        <v>196</v>
      </c>
      <c r="D68" s="36" t="s">
        <v>983</v>
      </c>
      <c r="E68" s="36" t="s">
        <v>172</v>
      </c>
      <c r="F68" s="36" t="s">
        <v>1155</v>
      </c>
      <c r="G68" s="36" t="s">
        <v>249</v>
      </c>
      <c r="H68" s="40">
        <v>0.66190000000000004</v>
      </c>
      <c r="L68" s="3">
        <v>4</v>
      </c>
      <c r="M68" s="36" t="s">
        <v>1119</v>
      </c>
      <c r="N68" s="36"/>
      <c r="O68" s="36"/>
      <c r="P68" s="36" t="s">
        <v>114</v>
      </c>
      <c r="Q68" s="36" t="s">
        <v>1120</v>
      </c>
      <c r="R68" s="36" t="s">
        <v>1158</v>
      </c>
      <c r="S68" s="36"/>
      <c r="T68" s="36" t="s">
        <v>129</v>
      </c>
      <c r="U68" s="41">
        <v>0.34649999999999997</v>
      </c>
      <c r="X68" s="8">
        <f t="shared" si="20"/>
        <v>3</v>
      </c>
      <c r="Y68" s="1">
        <f t="shared" si="21"/>
        <v>9.6468011590102196E-2</v>
      </c>
      <c r="Z68" s="36"/>
      <c r="AA68" s="36"/>
      <c r="AB68" s="36"/>
      <c r="AC68" s="36">
        <v>21.94</v>
      </c>
      <c r="AD68" s="36" t="s">
        <v>1123</v>
      </c>
      <c r="AE68" s="36"/>
      <c r="AF68" s="36"/>
      <c r="AG68" s="36">
        <v>20.14</v>
      </c>
      <c r="AH68" s="36" t="s">
        <v>1123</v>
      </c>
      <c r="AI68" s="36"/>
      <c r="AJ68" s="36"/>
      <c r="AK68" s="36">
        <v>18.25</v>
      </c>
      <c r="AL68" s="36" t="s">
        <v>1123</v>
      </c>
      <c r="AN68" s="8">
        <f t="shared" si="22"/>
        <v>2</v>
      </c>
      <c r="AO68" s="1">
        <f t="shared" si="23"/>
        <v>0.25494690694117972</v>
      </c>
      <c r="AS68" s="39">
        <v>28.08</v>
      </c>
      <c r="AT68" s="39" t="s">
        <v>1122</v>
      </c>
      <c r="AW68" s="39">
        <v>32.270000000000003</v>
      </c>
      <c r="AX68" s="39" t="s">
        <v>1160</v>
      </c>
      <c r="BA68" s="39">
        <v>19.68</v>
      </c>
      <c r="BB68" s="39" t="s">
        <v>1123</v>
      </c>
      <c r="BD68" s="2">
        <f t="shared" si="24"/>
        <v>5</v>
      </c>
      <c r="BE68" s="8">
        <f>BI68</f>
        <v>21.94</v>
      </c>
      <c r="BI68" s="39">
        <v>21.94</v>
      </c>
      <c r="BJ68" s="39" t="s">
        <v>1122</v>
      </c>
      <c r="BL68" s="2">
        <f t="shared" si="26"/>
        <v>5</v>
      </c>
      <c r="BM68" s="8">
        <f t="shared" si="27"/>
        <v>28.08</v>
      </c>
      <c r="BQ68" s="39">
        <v>28.08</v>
      </c>
      <c r="BR68" s="39" t="s">
        <v>1122</v>
      </c>
      <c r="BT68" s="8">
        <f t="shared" si="29"/>
        <v>3</v>
      </c>
      <c r="BU68" s="39">
        <v>224</v>
      </c>
      <c r="BY68" s="39">
        <v>224</v>
      </c>
      <c r="BZ68" s="39" t="s">
        <v>1161</v>
      </c>
      <c r="CA68" s="39" t="s">
        <v>1143</v>
      </c>
      <c r="CB68" s="36">
        <v>1</v>
      </c>
      <c r="CC68" s="36" t="str">
        <f>CF68</f>
        <v>一级</v>
      </c>
      <c r="CD68" s="36"/>
      <c r="CE68" s="36"/>
      <c r="CF68" s="36" t="s">
        <v>132</v>
      </c>
      <c r="CG68" s="36" t="s">
        <v>1144</v>
      </c>
      <c r="CH68" s="36" t="s">
        <v>1123</v>
      </c>
      <c r="CI68" s="39" t="s">
        <v>1164</v>
      </c>
      <c r="CJ68" s="8">
        <f t="shared" si="30"/>
        <v>0</v>
      </c>
      <c r="CK68" s="39" t="s">
        <v>37</v>
      </c>
      <c r="CO68" s="39" t="s">
        <v>887</v>
      </c>
      <c r="CS68" s="39">
        <v>21.94</v>
      </c>
      <c r="CT68" s="39" t="s">
        <v>1122</v>
      </c>
      <c r="CV68" s="8">
        <f t="shared" si="33"/>
        <v>0</v>
      </c>
      <c r="CW68" s="8" t="str">
        <f t="shared" si="34"/>
        <v>数据缺失</v>
      </c>
      <c r="DA68" s="39" t="s">
        <v>887</v>
      </c>
      <c r="DD68" s="39">
        <f t="shared" si="65"/>
        <v>0</v>
      </c>
      <c r="DE68" s="69" t="s">
        <v>37</v>
      </c>
      <c r="DI68" s="39">
        <v>28.08</v>
      </c>
      <c r="DJ68" s="39" t="s">
        <v>1122</v>
      </c>
      <c r="DM68" s="39" t="s">
        <v>887</v>
      </c>
      <c r="DP68" s="39">
        <v>5</v>
      </c>
      <c r="DQ68" s="39" t="s">
        <v>887</v>
      </c>
      <c r="DU68" s="40" t="s">
        <v>887</v>
      </c>
      <c r="DY68" s="40" t="s">
        <v>887</v>
      </c>
      <c r="EC68" s="40" t="s">
        <v>887</v>
      </c>
      <c r="EG68" s="40" t="s">
        <v>887</v>
      </c>
      <c r="EJ68" s="2">
        <f t="shared" si="39"/>
        <v>3</v>
      </c>
      <c r="EK68" s="8">
        <f t="shared" si="40"/>
        <v>31.91</v>
      </c>
      <c r="EO68" s="39">
        <v>31.91</v>
      </c>
      <c r="EP68" s="39" t="s">
        <v>1122</v>
      </c>
      <c r="ER68" s="8">
        <f t="shared" si="41"/>
        <v>3</v>
      </c>
      <c r="ES68" s="6">
        <f t="shared" si="59"/>
        <v>38.43</v>
      </c>
      <c r="EW68" s="39">
        <v>38.43</v>
      </c>
      <c r="EX68" s="39" t="s">
        <v>1122</v>
      </c>
      <c r="EZ68" s="8">
        <f t="shared" si="42"/>
        <v>0</v>
      </c>
      <c r="FA68" s="8" t="str">
        <f t="shared" si="43"/>
        <v>数据缺失</v>
      </c>
      <c r="FE68" s="39" t="s">
        <v>37</v>
      </c>
      <c r="FH68" s="39">
        <v>5</v>
      </c>
      <c r="FI68" s="39" t="s">
        <v>887</v>
      </c>
      <c r="FM68" s="39" t="s">
        <v>37</v>
      </c>
      <c r="FQ68" s="39" t="s">
        <v>37</v>
      </c>
      <c r="FU68" s="39" t="s">
        <v>887</v>
      </c>
      <c r="FY68" s="39" t="s">
        <v>887</v>
      </c>
      <c r="GB68" s="36">
        <v>1</v>
      </c>
      <c r="GC68" s="36" t="str">
        <f>GG68</f>
        <v xml:space="preserve">房地产开发销售占比63.76%  市政基础设施承建占比17.61% </v>
      </c>
      <c r="GD68" s="36"/>
      <c r="GE68" s="36"/>
      <c r="GF68" s="36"/>
      <c r="GG68" s="36" t="s">
        <v>1166</v>
      </c>
      <c r="GH68" s="39" t="s">
        <v>1158</v>
      </c>
      <c r="GJ68" s="8">
        <f t="shared" si="44"/>
        <v>0</v>
      </c>
      <c r="GK68" s="6" t="s">
        <v>37</v>
      </c>
      <c r="GN68" s="39" t="s">
        <v>37</v>
      </c>
      <c r="GO68" s="39" t="s">
        <v>37</v>
      </c>
      <c r="GS68" s="69">
        <v>35.020068705699998</v>
      </c>
      <c r="GT68" s="39" t="s">
        <v>144</v>
      </c>
      <c r="GV68" s="8">
        <f t="shared" si="46"/>
        <v>0</v>
      </c>
      <c r="GW68" s="6" t="s">
        <v>37</v>
      </c>
      <c r="GX68" s="36"/>
      <c r="GY68" s="36"/>
      <c r="GZ68" s="36"/>
      <c r="HA68" s="36" t="s">
        <v>887</v>
      </c>
      <c r="HB68" s="36"/>
      <c r="HC68" s="36"/>
      <c r="HD68" s="36"/>
      <c r="HE68" s="38">
        <v>155.61918254829999</v>
      </c>
      <c r="HF68" s="39" t="s">
        <v>144</v>
      </c>
      <c r="HH68" s="39">
        <f t="shared" si="64"/>
        <v>1</v>
      </c>
      <c r="HI68" s="1">
        <f t="shared" si="49"/>
        <v>1.9587444504276973E-2</v>
      </c>
      <c r="HM68" s="39">
        <v>0.2</v>
      </c>
      <c r="HN68" s="39" t="s">
        <v>1158</v>
      </c>
      <c r="HQ68" s="78">
        <v>10.2106224197</v>
      </c>
      <c r="HR68" s="39" t="s">
        <v>144</v>
      </c>
      <c r="HT68" s="8">
        <f t="shared" si="50"/>
        <v>4</v>
      </c>
      <c r="HU68" s="10">
        <f t="shared" si="51"/>
        <v>0</v>
      </c>
      <c r="HY68" s="39">
        <v>0</v>
      </c>
      <c r="HZ68" s="39" t="s">
        <v>366</v>
      </c>
      <c r="IC68" s="39">
        <v>3.92875</v>
      </c>
      <c r="ID68" s="39" t="s">
        <v>144</v>
      </c>
      <c r="IR68" s="42">
        <f>IF(IS68="数据缺失",0,IF(IS68&lt;0%,0,IF(IS68&lt;=100%,4,IF(IS68&lt;200%,3,IF(IS68&lt;300%,2,1)))))</f>
        <v>0</v>
      </c>
      <c r="IS68" s="39" t="s">
        <v>37</v>
      </c>
      <c r="IW68" s="39" t="s">
        <v>887</v>
      </c>
      <c r="JA68" s="69">
        <v>53.874155007900001</v>
      </c>
      <c r="JB68" s="39" t="s">
        <v>144</v>
      </c>
      <c r="JD68" s="39">
        <f t="shared" si="66"/>
        <v>3</v>
      </c>
      <c r="JE68" s="43">
        <f>JI68/JM68/(JQ68+JU68)*2</f>
        <v>7.6056349709915941E-2</v>
      </c>
      <c r="JI68" s="39">
        <v>9.17</v>
      </c>
      <c r="JJ68" s="39" t="s">
        <v>1160</v>
      </c>
      <c r="JM68" s="39">
        <v>1.95</v>
      </c>
      <c r="JN68" s="39" t="s">
        <v>1142</v>
      </c>
      <c r="JQ68" s="39">
        <v>58.33</v>
      </c>
      <c r="JR68" s="39" t="s">
        <v>1160</v>
      </c>
      <c r="JU68" s="39">
        <v>65.33</v>
      </c>
      <c r="JV68" s="39" t="s">
        <v>1142</v>
      </c>
      <c r="JX68" s="39">
        <v>2</v>
      </c>
      <c r="JY68" s="39" t="s">
        <v>754</v>
      </c>
      <c r="KB68" s="39">
        <v>4</v>
      </c>
      <c r="KC68" s="39" t="s">
        <v>754</v>
      </c>
      <c r="KD68" s="39" t="s">
        <v>1158</v>
      </c>
      <c r="KF68" s="8">
        <f t="shared" si="56"/>
        <v>1</v>
      </c>
      <c r="KG68" s="1">
        <f t="shared" si="57"/>
        <v>0.19625170916276297</v>
      </c>
      <c r="KK68" s="69">
        <v>10.572895000000001</v>
      </c>
      <c r="KL68" s="39" t="s">
        <v>1158</v>
      </c>
      <c r="KM68" s="39" t="s">
        <v>1002</v>
      </c>
      <c r="KO68" s="69">
        <v>53.874155007900001</v>
      </c>
      <c r="KP68" s="39" t="s">
        <v>144</v>
      </c>
    </row>
    <row r="69" spans="2:302" s="36" customFormat="1" ht="16.5" customHeight="1" x14ac:dyDescent="0.35">
      <c r="B69" s="36" t="s">
        <v>1171</v>
      </c>
      <c r="C69" s="39" t="s">
        <v>196</v>
      </c>
      <c r="D69" s="36" t="s">
        <v>170</v>
      </c>
      <c r="E69" s="36" t="s">
        <v>172</v>
      </c>
      <c r="F69" s="36" t="s">
        <v>1172</v>
      </c>
      <c r="G69" s="36" t="s">
        <v>199</v>
      </c>
      <c r="H69" s="86">
        <v>1</v>
      </c>
      <c r="L69" s="42">
        <v>3</v>
      </c>
      <c r="M69" s="39" t="s">
        <v>1173</v>
      </c>
      <c r="N69" s="39"/>
      <c r="O69" s="39"/>
      <c r="P69" s="39" t="s">
        <v>864</v>
      </c>
      <c r="Q69" s="39" t="s">
        <v>1120</v>
      </c>
      <c r="R69" s="39" t="s">
        <v>1022</v>
      </c>
      <c r="T69" s="36" t="s">
        <v>203</v>
      </c>
      <c r="U69" s="41">
        <v>0.57140000000000002</v>
      </c>
      <c r="X69" s="8">
        <f t="shared" si="20"/>
        <v>0</v>
      </c>
      <c r="Y69" s="39" t="s">
        <v>37</v>
      </c>
      <c r="AC69" s="36" t="s">
        <v>37</v>
      </c>
      <c r="AG69" s="36" t="s">
        <v>37</v>
      </c>
      <c r="AK69" s="36" t="s">
        <v>37</v>
      </c>
      <c r="AN69" s="8">
        <f t="shared" si="22"/>
        <v>0</v>
      </c>
      <c r="AO69" s="39" t="s">
        <v>37</v>
      </c>
      <c r="AS69" s="36" t="s">
        <v>887</v>
      </c>
      <c r="AW69" s="36" t="s">
        <v>37</v>
      </c>
      <c r="BA69" s="36" t="s">
        <v>37</v>
      </c>
      <c r="BD69" s="2">
        <f t="shared" si="24"/>
        <v>0</v>
      </c>
      <c r="BE69" s="8" t="str">
        <f>BI69</f>
        <v>数据缺失</v>
      </c>
      <c r="BI69" s="36" t="str">
        <f>AC69</f>
        <v>数据缺失</v>
      </c>
      <c r="BJ69" s="36">
        <f>AD69</f>
        <v>0</v>
      </c>
      <c r="BL69" s="2">
        <f t="shared" si="26"/>
        <v>0</v>
      </c>
      <c r="BM69" s="8" t="str">
        <f t="shared" si="27"/>
        <v>数据缺失</v>
      </c>
      <c r="BQ69" s="36" t="str">
        <f>AS69</f>
        <v>数据缺失</v>
      </c>
      <c r="BR69" s="36">
        <f>AT69</f>
        <v>0</v>
      </c>
      <c r="BT69" s="8">
        <f t="shared" si="29"/>
        <v>5</v>
      </c>
      <c r="BU69" s="36" t="str">
        <f>BY69</f>
        <v>未上榜</v>
      </c>
      <c r="BY69" s="36" t="s">
        <v>179</v>
      </c>
      <c r="BZ69" s="39" t="s">
        <v>398</v>
      </c>
      <c r="CB69" s="39">
        <v>2</v>
      </c>
      <c r="CC69" s="39" t="s">
        <v>134</v>
      </c>
      <c r="CD69" s="39"/>
      <c r="CE69" s="39"/>
      <c r="CF69" s="39" t="s">
        <v>134</v>
      </c>
      <c r="CG69" s="39" t="s">
        <v>1176</v>
      </c>
      <c r="CH69" s="39" t="s">
        <v>1022</v>
      </c>
      <c r="CJ69" s="8">
        <f t="shared" si="30"/>
        <v>0</v>
      </c>
      <c r="CK69" s="39" t="s">
        <v>37</v>
      </c>
      <c r="CO69" s="36" t="s">
        <v>37</v>
      </c>
      <c r="CS69" s="36" t="str">
        <f>AC69</f>
        <v>数据缺失</v>
      </c>
      <c r="CV69" s="8">
        <f t="shared" si="33"/>
        <v>0</v>
      </c>
      <c r="CW69" s="8" t="str">
        <f t="shared" si="34"/>
        <v>数据缺失</v>
      </c>
      <c r="DA69" s="36" t="s">
        <v>37</v>
      </c>
      <c r="DD69" s="36">
        <f t="shared" si="65"/>
        <v>0</v>
      </c>
      <c r="DE69" s="69" t="s">
        <v>37</v>
      </c>
      <c r="DI69" s="37" t="str">
        <f>BQ69</f>
        <v>数据缺失</v>
      </c>
      <c r="DM69" s="92" t="str">
        <f>DA69</f>
        <v>数据缺失</v>
      </c>
      <c r="DN69" s="93"/>
      <c r="DP69" s="36">
        <v>5</v>
      </c>
      <c r="DQ69" s="36" t="s">
        <v>37</v>
      </c>
      <c r="DU69" s="41" t="s">
        <v>887</v>
      </c>
      <c r="DY69" s="41" t="s">
        <v>887</v>
      </c>
      <c r="EC69" s="41" t="s">
        <v>887</v>
      </c>
      <c r="EG69" s="41" t="s">
        <v>37</v>
      </c>
      <c r="EJ69" s="2">
        <f t="shared" si="39"/>
        <v>0</v>
      </c>
      <c r="EK69" s="8" t="str">
        <f t="shared" si="40"/>
        <v>数据缺失</v>
      </c>
      <c r="EO69" s="36" t="s">
        <v>37</v>
      </c>
      <c r="ER69" s="8">
        <f t="shared" si="41"/>
        <v>0</v>
      </c>
      <c r="ES69" s="6" t="str">
        <f t="shared" si="59"/>
        <v>数据缺失</v>
      </c>
      <c r="EW69" s="36" t="s">
        <v>37</v>
      </c>
      <c r="EZ69" s="8">
        <f t="shared" si="42"/>
        <v>0</v>
      </c>
      <c r="FA69" s="8" t="str">
        <f t="shared" si="43"/>
        <v>数据缺失</v>
      </c>
      <c r="FE69" s="36" t="s">
        <v>37</v>
      </c>
      <c r="FH69" s="36">
        <v>5</v>
      </c>
      <c r="FI69" s="36" t="s">
        <v>887</v>
      </c>
      <c r="FM69" s="36" t="s">
        <v>37</v>
      </c>
      <c r="FQ69" s="36" t="s">
        <v>37</v>
      </c>
      <c r="FU69" s="36" t="s">
        <v>37</v>
      </c>
      <c r="FY69" s="36" t="s">
        <v>887</v>
      </c>
      <c r="GB69" s="36">
        <v>2</v>
      </c>
      <c r="GC69" s="36" t="s">
        <v>1178</v>
      </c>
      <c r="GG69" s="36" t="s">
        <v>1178</v>
      </c>
      <c r="GH69" s="39" t="s">
        <v>1113</v>
      </c>
      <c r="GJ69" s="8">
        <f t="shared" si="44"/>
        <v>1</v>
      </c>
      <c r="GK69" s="1">
        <f t="shared" si="45"/>
        <v>1</v>
      </c>
      <c r="GN69" s="94">
        <v>1.22509E-5</v>
      </c>
      <c r="GO69" s="36" t="s">
        <v>1180</v>
      </c>
      <c r="GP69" s="36" t="s">
        <v>1113</v>
      </c>
      <c r="GS69" s="38">
        <v>1.22509E-5</v>
      </c>
      <c r="GV69" s="8">
        <f t="shared" si="46"/>
        <v>0</v>
      </c>
      <c r="GW69" s="6" t="s">
        <v>37</v>
      </c>
      <c r="GX69" s="39"/>
      <c r="GY69" s="39"/>
      <c r="GZ69" s="39"/>
      <c r="HA69" s="39" t="s">
        <v>37</v>
      </c>
      <c r="HB69" s="39"/>
      <c r="HC69" s="39"/>
      <c r="HD69" s="39"/>
      <c r="HE69" s="69">
        <v>57.177555308599999</v>
      </c>
      <c r="HF69" s="39" t="s">
        <v>144</v>
      </c>
      <c r="HH69" s="39">
        <f t="shared" si="64"/>
        <v>0</v>
      </c>
      <c r="HI69" s="6" t="s">
        <v>37</v>
      </c>
      <c r="HJ69" s="39"/>
      <c r="HK69" s="39"/>
      <c r="HL69" s="39"/>
      <c r="HM69" s="39" t="s">
        <v>37</v>
      </c>
      <c r="HN69" s="39"/>
      <c r="HO69" s="39"/>
      <c r="HP69" s="39"/>
      <c r="HQ69" s="78">
        <v>5.2396443225000002</v>
      </c>
      <c r="HR69" s="39" t="s">
        <v>144</v>
      </c>
      <c r="HT69" s="8">
        <f t="shared" si="50"/>
        <v>0</v>
      </c>
      <c r="HU69" s="39" t="s">
        <v>37</v>
      </c>
      <c r="HV69" s="39"/>
      <c r="HW69" s="39"/>
      <c r="HX69" s="39"/>
      <c r="HY69" s="39" t="s">
        <v>37</v>
      </c>
      <c r="HZ69" s="39"/>
      <c r="IA69" s="39"/>
      <c r="IB69" s="39"/>
      <c r="IC69" s="39">
        <v>14.5</v>
      </c>
      <c r="ID69" s="39" t="s">
        <v>144</v>
      </c>
      <c r="IR69" s="42">
        <f>IF(IS69="数据缺失",0,IF(IS69&lt;0%,0,IF(IS69&lt;=100%,4,IF(IS69&lt;200%,3,IF(IS69&lt;300%,2,1)))))</f>
        <v>0</v>
      </c>
      <c r="IS69" s="39" t="s">
        <v>37</v>
      </c>
      <c r="IT69" s="39"/>
      <c r="IU69" s="39"/>
      <c r="IV69" s="39"/>
      <c r="IW69" s="39" t="s">
        <v>37</v>
      </c>
      <c r="IX69" s="39"/>
      <c r="IY69" s="39"/>
      <c r="IZ69" s="39"/>
      <c r="JA69" s="69">
        <v>15.919232081400001</v>
      </c>
      <c r="JB69" s="39" t="s">
        <v>144</v>
      </c>
      <c r="JD69" s="36">
        <f t="shared" si="66"/>
        <v>3</v>
      </c>
      <c r="JE69" s="5">
        <f>JI69/JM69/(JQ69+JU69)*2</f>
        <v>6.1084074509145832E-2</v>
      </c>
      <c r="JI69" s="36">
        <v>0.91</v>
      </c>
      <c r="JJ69" s="36" t="s">
        <v>1181</v>
      </c>
      <c r="JM69" s="36">
        <v>1.01</v>
      </c>
      <c r="JN69" s="36" t="s">
        <v>1181</v>
      </c>
      <c r="JQ69" s="36">
        <v>14.5</v>
      </c>
      <c r="JR69" s="36" t="s">
        <v>1181</v>
      </c>
      <c r="JU69" s="36">
        <v>15</v>
      </c>
      <c r="JV69" s="36" t="s">
        <v>1181</v>
      </c>
      <c r="JX69" s="36">
        <v>2</v>
      </c>
      <c r="JY69" s="36" t="s">
        <v>903</v>
      </c>
      <c r="KB69" s="36">
        <v>5</v>
      </c>
      <c r="KC69" s="36" t="str">
        <f>JY69</f>
        <v>立信会计师事务所（特殊普通合伙）</v>
      </c>
      <c r="KD69" s="36" t="s">
        <v>1023</v>
      </c>
      <c r="KF69" s="8">
        <f t="shared" si="56"/>
        <v>0</v>
      </c>
      <c r="KG69" s="39" t="s">
        <v>37</v>
      </c>
      <c r="KH69" s="39"/>
      <c r="KI69" s="39"/>
      <c r="KJ69" s="39"/>
      <c r="KK69" s="39" t="s">
        <v>37</v>
      </c>
      <c r="KL69" s="39"/>
      <c r="KM69" s="39"/>
      <c r="KN69" s="39"/>
      <c r="KO69" s="69">
        <v>15.919232081400001</v>
      </c>
      <c r="KP69" s="39" t="s">
        <v>144</v>
      </c>
    </row>
    <row r="70" spans="2:302" s="36" customFormat="1" ht="16.5" customHeight="1" x14ac:dyDescent="0.35">
      <c r="B70" s="36" t="s">
        <v>1186</v>
      </c>
      <c r="C70" s="39" t="s">
        <v>196</v>
      </c>
      <c r="D70" s="36" t="s">
        <v>170</v>
      </c>
      <c r="E70" s="36" t="s">
        <v>172</v>
      </c>
      <c r="F70" s="36" t="s">
        <v>1187</v>
      </c>
      <c r="G70" s="36" t="s">
        <v>199</v>
      </c>
      <c r="H70" s="41">
        <v>0.32579999999999998</v>
      </c>
      <c r="L70" s="42">
        <v>4</v>
      </c>
      <c r="M70" s="36" t="s">
        <v>1188</v>
      </c>
      <c r="N70" s="39"/>
      <c r="O70" s="39"/>
      <c r="P70" s="39" t="s">
        <v>126</v>
      </c>
      <c r="Q70" s="58" t="s">
        <v>1189</v>
      </c>
      <c r="R70" s="39" t="s">
        <v>1190</v>
      </c>
      <c r="T70" s="36" t="s">
        <v>203</v>
      </c>
      <c r="U70" s="40">
        <v>0.99639999999999995</v>
      </c>
      <c r="X70" s="8">
        <f t="shared" si="20"/>
        <v>0</v>
      </c>
      <c r="Y70" s="39" t="s">
        <v>37</v>
      </c>
      <c r="AC70" s="36" t="s">
        <v>37</v>
      </c>
      <c r="AG70" s="36" t="s">
        <v>37</v>
      </c>
      <c r="AK70" s="36" t="s">
        <v>887</v>
      </c>
      <c r="AN70" s="8">
        <f t="shared" si="22"/>
        <v>0</v>
      </c>
      <c r="AO70" s="39" t="s">
        <v>37</v>
      </c>
      <c r="AS70" s="36" t="s">
        <v>37</v>
      </c>
      <c r="AW70" s="36" t="s">
        <v>37</v>
      </c>
      <c r="BA70" s="36" t="s">
        <v>37</v>
      </c>
      <c r="BD70" s="2">
        <f t="shared" si="24"/>
        <v>0</v>
      </c>
      <c r="BE70" s="8" t="str">
        <f>BI70</f>
        <v>数据缺失</v>
      </c>
      <c r="BI70" s="36" t="str">
        <f>AC70</f>
        <v>数据缺失</v>
      </c>
      <c r="BJ70" s="36">
        <f>AD70</f>
        <v>0</v>
      </c>
      <c r="BL70" s="2">
        <f t="shared" si="26"/>
        <v>0</v>
      </c>
      <c r="BM70" s="8" t="str">
        <f t="shared" si="27"/>
        <v>数据缺失</v>
      </c>
      <c r="BQ70" s="36" t="str">
        <f>AS70</f>
        <v>数据缺失</v>
      </c>
      <c r="BR70" s="36">
        <f>AT70</f>
        <v>0</v>
      </c>
      <c r="BT70" s="8">
        <f t="shared" si="29"/>
        <v>5</v>
      </c>
      <c r="BU70" s="36" t="str">
        <f>BY70</f>
        <v>未上榜</v>
      </c>
      <c r="BY70" s="36" t="s">
        <v>179</v>
      </c>
      <c r="BZ70" s="39" t="s">
        <v>398</v>
      </c>
      <c r="CB70" s="39">
        <v>0</v>
      </c>
      <c r="CC70" s="39" t="str">
        <f>CF70</f>
        <v>数据缺失</v>
      </c>
      <c r="CD70" s="39"/>
      <c r="CE70" s="39"/>
      <c r="CF70" s="39" t="s">
        <v>37</v>
      </c>
      <c r="CJ70" s="8">
        <f t="shared" si="30"/>
        <v>0</v>
      </c>
      <c r="CK70" s="39" t="s">
        <v>37</v>
      </c>
      <c r="CO70" s="36" t="s">
        <v>37</v>
      </c>
      <c r="CS70" s="36" t="str">
        <f>AC70</f>
        <v>数据缺失</v>
      </c>
      <c r="CV70" s="8">
        <f t="shared" si="33"/>
        <v>0</v>
      </c>
      <c r="CW70" s="8" t="str">
        <f t="shared" si="34"/>
        <v>数据缺失</v>
      </c>
      <c r="DA70" s="36" t="s">
        <v>37</v>
      </c>
      <c r="DD70" s="36">
        <f t="shared" si="65"/>
        <v>0</v>
      </c>
      <c r="DE70" s="69" t="s">
        <v>37</v>
      </c>
      <c r="DI70" s="37" t="str">
        <f>BQ70</f>
        <v>数据缺失</v>
      </c>
      <c r="DM70" s="92" t="str">
        <f>DA70</f>
        <v>数据缺失</v>
      </c>
      <c r="DN70" s="93"/>
      <c r="DP70" s="36">
        <v>5</v>
      </c>
      <c r="DQ70" s="36" t="s">
        <v>887</v>
      </c>
      <c r="DU70" s="41" t="s">
        <v>37</v>
      </c>
      <c r="DY70" s="41" t="s">
        <v>37</v>
      </c>
      <c r="EC70" s="41" t="s">
        <v>37</v>
      </c>
      <c r="EG70" s="41" t="s">
        <v>37</v>
      </c>
      <c r="EJ70" s="2">
        <f t="shared" si="39"/>
        <v>0</v>
      </c>
      <c r="EK70" s="8" t="str">
        <f t="shared" si="40"/>
        <v>数据缺失</v>
      </c>
      <c r="EO70" s="36" t="s">
        <v>37</v>
      </c>
      <c r="ER70" s="8">
        <f t="shared" si="41"/>
        <v>0</v>
      </c>
      <c r="ES70" s="6" t="str">
        <f t="shared" si="59"/>
        <v>数据缺失</v>
      </c>
      <c r="EW70" s="36" t="s">
        <v>37</v>
      </c>
      <c r="EZ70" s="8">
        <f t="shared" si="42"/>
        <v>0</v>
      </c>
      <c r="FA70" s="8" t="str">
        <f t="shared" si="43"/>
        <v>数据缺失</v>
      </c>
      <c r="FE70" s="36" t="s">
        <v>37</v>
      </c>
      <c r="FH70" s="36">
        <v>2</v>
      </c>
      <c r="FI70" s="36" t="s">
        <v>1193</v>
      </c>
      <c r="FJ70" s="36" t="s">
        <v>1190</v>
      </c>
      <c r="FM70" s="36" t="s">
        <v>887</v>
      </c>
      <c r="FQ70" s="36" t="s">
        <v>37</v>
      </c>
      <c r="FU70" s="36" t="s">
        <v>37</v>
      </c>
      <c r="FY70" s="36" t="s">
        <v>37</v>
      </c>
      <c r="GB70" s="36">
        <v>3</v>
      </c>
      <c r="GC70" s="36" t="s">
        <v>1195</v>
      </c>
      <c r="GG70" s="36" t="s">
        <v>1195</v>
      </c>
      <c r="GH70" s="36" t="s">
        <v>1190</v>
      </c>
      <c r="GJ70" s="8">
        <f t="shared" si="44"/>
        <v>1</v>
      </c>
      <c r="GK70" s="1">
        <f t="shared" si="45"/>
        <v>0.32581592150822286</v>
      </c>
      <c r="GN70" s="36">
        <v>1.6759999999999999</v>
      </c>
      <c r="GO70" s="36" t="s">
        <v>1196</v>
      </c>
      <c r="GP70" s="36" t="s">
        <v>1190</v>
      </c>
      <c r="GS70" s="69">
        <v>5.1440089000000002</v>
      </c>
      <c r="GT70" s="39" t="s">
        <v>144</v>
      </c>
      <c r="GV70" s="8">
        <f t="shared" si="46"/>
        <v>0</v>
      </c>
      <c r="GW70" s="6" t="s">
        <v>37</v>
      </c>
      <c r="GX70" s="39"/>
      <c r="GY70" s="39"/>
      <c r="GZ70" s="39"/>
      <c r="HA70" s="39" t="s">
        <v>37</v>
      </c>
      <c r="HB70" s="39"/>
      <c r="HC70" s="39"/>
      <c r="HD70" s="39"/>
      <c r="HE70" s="69">
        <v>182.04942618000001</v>
      </c>
      <c r="HF70" s="39" t="s">
        <v>144</v>
      </c>
      <c r="HH70" s="39">
        <f t="shared" si="64"/>
        <v>1</v>
      </c>
      <c r="HI70" s="1">
        <f t="shared" si="49"/>
        <v>0</v>
      </c>
      <c r="HJ70" s="39"/>
      <c r="HK70" s="39"/>
      <c r="HL70" s="39"/>
      <c r="HM70" s="39">
        <v>0</v>
      </c>
      <c r="HN70" s="39" t="s">
        <v>1197</v>
      </c>
      <c r="HO70" s="39"/>
      <c r="HP70" s="39"/>
      <c r="HQ70" s="78">
        <v>10.515091760000001</v>
      </c>
      <c r="HR70" s="39" t="s">
        <v>144</v>
      </c>
      <c r="HT70" s="66" t="s">
        <v>1198</v>
      </c>
      <c r="HU70" s="10">
        <f t="shared" si="51"/>
        <v>1.319554193571493</v>
      </c>
      <c r="HV70" s="39"/>
      <c r="HW70" s="39"/>
      <c r="HX70" s="40"/>
      <c r="HY70" s="69">
        <v>22.116555460000001</v>
      </c>
      <c r="HZ70" s="39" t="s">
        <v>146</v>
      </c>
      <c r="IA70" s="39"/>
      <c r="IB70" s="39"/>
      <c r="IC70" s="69">
        <v>16.760626859999999</v>
      </c>
      <c r="ID70" s="39" t="s">
        <v>144</v>
      </c>
      <c r="IR70" s="3">
        <f>IF(IS70="数据缺失",0,IF(IS70&lt;0%,0,IF(IS70&lt;=100%,4,IF(IS70&lt;200%,3,IF(IS70&lt;300%,2,1)))))</f>
        <v>4</v>
      </c>
      <c r="IS70" s="5">
        <f t="shared" si="53"/>
        <v>0.47544798739093747</v>
      </c>
      <c r="IW70" s="36">
        <v>48.5</v>
      </c>
      <c r="IX70" s="36" t="s">
        <v>144</v>
      </c>
      <c r="IY70" s="39"/>
      <c r="IZ70" s="39"/>
      <c r="JA70" s="69">
        <v>102.00905521999999</v>
      </c>
      <c r="JB70" s="39" t="s">
        <v>144</v>
      </c>
      <c r="JD70" s="39">
        <f t="shared" si="66"/>
        <v>3</v>
      </c>
      <c r="JE70" s="43">
        <f>JI70/JM70/(JQ70+JU70)*2</f>
        <v>6.9287313492899461E-2</v>
      </c>
      <c r="JF70" s="39"/>
      <c r="JG70" s="39"/>
      <c r="JH70" s="39"/>
      <c r="JI70" s="39">
        <v>4.95</v>
      </c>
      <c r="JJ70" s="39" t="s">
        <v>1190</v>
      </c>
      <c r="JK70" s="39"/>
      <c r="JL70" s="39"/>
      <c r="JM70" s="39">
        <v>1.19</v>
      </c>
      <c r="JN70" s="39" t="s">
        <v>1190</v>
      </c>
      <c r="JO70" s="39"/>
      <c r="JP70" s="39"/>
      <c r="JQ70" s="39">
        <v>72.84</v>
      </c>
      <c r="JR70" s="39" t="s">
        <v>1190</v>
      </c>
      <c r="JS70" s="39"/>
      <c r="JT70" s="39"/>
      <c r="JU70" s="39">
        <v>47.23</v>
      </c>
      <c r="JV70" s="39" t="s">
        <v>1190</v>
      </c>
      <c r="JX70" s="36">
        <v>1</v>
      </c>
      <c r="JY70" s="36" t="s">
        <v>245</v>
      </c>
      <c r="KB70" s="36">
        <v>1</v>
      </c>
      <c r="KC70" s="36" t="str">
        <f>JY70</f>
        <v>普华永道中天会计师事务所（特殊普通合伙）</v>
      </c>
      <c r="KD70" s="39" t="s">
        <v>1190</v>
      </c>
      <c r="KF70" s="8">
        <f t="shared" si="56"/>
        <v>1</v>
      </c>
      <c r="KG70" s="1">
        <f t="shared" si="57"/>
        <v>0</v>
      </c>
      <c r="KH70" s="39"/>
      <c r="KI70" s="39"/>
      <c r="KJ70" s="39"/>
      <c r="KK70" s="39">
        <v>0</v>
      </c>
      <c r="KL70" s="39" t="s">
        <v>1197</v>
      </c>
      <c r="KM70" s="39"/>
      <c r="KN70" s="39"/>
      <c r="KO70" s="69">
        <v>102.00905521999999</v>
      </c>
      <c r="KP70" s="39" t="s">
        <v>144</v>
      </c>
    </row>
    <row r="71" spans="2:302" s="39" customFormat="1" ht="16.5" customHeight="1" x14ac:dyDescent="0.35">
      <c r="B71" s="39" t="s">
        <v>1201</v>
      </c>
      <c r="C71" s="39" t="s">
        <v>1202</v>
      </c>
      <c r="D71" s="39" t="s">
        <v>325</v>
      </c>
      <c r="E71" s="36" t="s">
        <v>1204</v>
      </c>
      <c r="F71" s="36" t="s">
        <v>1205</v>
      </c>
      <c r="G71" s="36" t="s">
        <v>199</v>
      </c>
      <c r="H71" s="40">
        <f>336276.8/343373.17</f>
        <v>0.97933335909733421</v>
      </c>
      <c r="J71" s="95"/>
      <c r="L71" s="42">
        <v>4</v>
      </c>
      <c r="M71" s="39" t="s">
        <v>1206</v>
      </c>
      <c r="P71" s="39" t="s">
        <v>126</v>
      </c>
      <c r="Q71" s="39" t="s">
        <v>1207</v>
      </c>
      <c r="R71" s="39" t="s">
        <v>1208</v>
      </c>
      <c r="T71" s="36" t="s">
        <v>203</v>
      </c>
      <c r="U71" s="40">
        <v>0.68589999999999995</v>
      </c>
      <c r="X71" s="8">
        <f t="shared" si="20"/>
        <v>6</v>
      </c>
      <c r="Y71" s="1">
        <f t="shared" si="21"/>
        <v>-0.60813345735610036</v>
      </c>
      <c r="AC71" s="39">
        <v>7.33</v>
      </c>
      <c r="AD71" s="39" t="s">
        <v>1209</v>
      </c>
      <c r="AG71" s="39">
        <v>26.1</v>
      </c>
      <c r="AH71" s="39" t="s">
        <v>1209</v>
      </c>
      <c r="AK71" s="39">
        <v>51.9</v>
      </c>
      <c r="AL71" s="39" t="s">
        <v>1209</v>
      </c>
      <c r="AN71" s="8">
        <f t="shared" si="22"/>
        <v>6</v>
      </c>
      <c r="AO71" s="1">
        <f t="shared" si="23"/>
        <v>-0.5597771051183269</v>
      </c>
      <c r="AS71" s="39">
        <v>5.94</v>
      </c>
      <c r="AT71" s="39" t="s">
        <v>1209</v>
      </c>
      <c r="AW71" s="39">
        <v>11.5</v>
      </c>
      <c r="AX71" s="39" t="s">
        <v>1209</v>
      </c>
      <c r="BA71" s="39">
        <v>31.6</v>
      </c>
      <c r="BB71" s="39" t="s">
        <v>1209</v>
      </c>
      <c r="BD71" s="2">
        <f t="shared" si="24"/>
        <v>5</v>
      </c>
      <c r="BE71" s="8">
        <f>BI71</f>
        <v>7.33</v>
      </c>
      <c r="BI71" s="39">
        <f>AC71</f>
        <v>7.33</v>
      </c>
      <c r="BJ71" s="39" t="s">
        <v>1209</v>
      </c>
      <c r="BL71" s="2">
        <f t="shared" si="26"/>
        <v>5</v>
      </c>
      <c r="BM71" s="8">
        <f t="shared" si="27"/>
        <v>5.94</v>
      </c>
      <c r="BQ71" s="39">
        <f>AS71</f>
        <v>5.94</v>
      </c>
      <c r="BR71" s="39" t="s">
        <v>1209</v>
      </c>
      <c r="BT71" s="8">
        <f t="shared" si="29"/>
        <v>4</v>
      </c>
      <c r="BU71" s="39">
        <v>302</v>
      </c>
      <c r="BY71" s="39">
        <v>302</v>
      </c>
      <c r="BZ71" s="80" t="s">
        <v>331</v>
      </c>
      <c r="CB71" s="39">
        <v>1</v>
      </c>
      <c r="CC71" s="39" t="s">
        <v>1212</v>
      </c>
      <c r="CF71" s="39" t="s">
        <v>133</v>
      </c>
      <c r="CG71" s="39" t="s">
        <v>1213</v>
      </c>
      <c r="CH71" s="39" t="s">
        <v>1209</v>
      </c>
      <c r="CJ71" s="8">
        <f t="shared" si="30"/>
        <v>0</v>
      </c>
      <c r="CK71" s="39" t="s">
        <v>37</v>
      </c>
      <c r="CO71" s="96" t="s">
        <v>887</v>
      </c>
      <c r="CS71" s="39">
        <f>AC71</f>
        <v>7.33</v>
      </c>
      <c r="CT71" s="39" t="s">
        <v>1209</v>
      </c>
      <c r="CV71" s="8">
        <f t="shared" si="33"/>
        <v>0</v>
      </c>
      <c r="CW71" s="8" t="str">
        <f t="shared" si="34"/>
        <v>数据缺失</v>
      </c>
      <c r="DA71" s="96" t="s">
        <v>887</v>
      </c>
      <c r="DD71" s="39">
        <f>IF(DE71="数据缺失",0,IF(DE71&lt;0,0,IF(DE71&lt;2,3,IF(DE71&lt;=5,1,2))))</f>
        <v>0</v>
      </c>
      <c r="DE71" s="69" t="s">
        <v>37</v>
      </c>
      <c r="DI71" s="39">
        <f>AS71</f>
        <v>5.94</v>
      </c>
      <c r="DJ71" s="39" t="s">
        <v>1209</v>
      </c>
      <c r="DM71" s="96" t="s">
        <v>37</v>
      </c>
      <c r="DP71" s="39">
        <v>4</v>
      </c>
      <c r="DQ71" s="39" t="s">
        <v>1214</v>
      </c>
      <c r="DR71" s="39" t="s">
        <v>1209</v>
      </c>
      <c r="DU71" s="40" t="s">
        <v>37</v>
      </c>
      <c r="DY71" s="40" t="s">
        <v>37</v>
      </c>
      <c r="EC71" s="40" t="s">
        <v>37</v>
      </c>
      <c r="EG71" s="40" t="s">
        <v>887</v>
      </c>
      <c r="EJ71" s="2">
        <f t="shared" si="39"/>
        <v>3</v>
      </c>
      <c r="EK71" s="8">
        <f t="shared" si="40"/>
        <v>27.02</v>
      </c>
      <c r="EO71" s="39">
        <v>27.02</v>
      </c>
      <c r="EP71" s="39" t="s">
        <v>1209</v>
      </c>
      <c r="ER71" s="8">
        <f t="shared" si="41"/>
        <v>4</v>
      </c>
      <c r="ES71" s="6">
        <f t="shared" si="59"/>
        <v>8.83</v>
      </c>
      <c r="EW71" s="78">
        <v>8.83</v>
      </c>
      <c r="EX71" s="39" t="s">
        <v>1209</v>
      </c>
      <c r="EZ71" s="8">
        <f t="shared" si="42"/>
        <v>3</v>
      </c>
      <c r="FA71" s="8">
        <f t="shared" si="43"/>
        <v>87.19</v>
      </c>
      <c r="FE71" s="39">
        <v>87.19</v>
      </c>
      <c r="FF71" s="39" t="s">
        <v>1209</v>
      </c>
      <c r="FG71" s="39" t="s">
        <v>1215</v>
      </c>
      <c r="FH71" s="39">
        <v>3</v>
      </c>
      <c r="FI71" s="39" t="s">
        <v>1216</v>
      </c>
      <c r="FJ71" s="39" t="s">
        <v>1209</v>
      </c>
      <c r="FM71" s="40" t="s">
        <v>37</v>
      </c>
      <c r="FQ71" s="40" t="s">
        <v>37</v>
      </c>
      <c r="FU71" s="40" t="s">
        <v>37</v>
      </c>
      <c r="FY71" s="40" t="s">
        <v>887</v>
      </c>
      <c r="GB71" s="39">
        <v>2</v>
      </c>
      <c r="GC71" s="39" t="s">
        <v>1217</v>
      </c>
      <c r="GG71" s="39" t="s">
        <v>1218</v>
      </c>
      <c r="GH71" s="39" t="s">
        <v>395</v>
      </c>
      <c r="GJ71" s="8">
        <f t="shared" si="44"/>
        <v>4</v>
      </c>
      <c r="GK71" s="1">
        <f t="shared" si="45"/>
        <v>9.3185789167151995E-3</v>
      </c>
      <c r="GN71" s="39">
        <v>0.32</v>
      </c>
      <c r="GO71" s="39" t="s">
        <v>1219</v>
      </c>
      <c r="GP71" s="39" t="s">
        <v>395</v>
      </c>
      <c r="GS71" s="69">
        <v>34.340000000000003</v>
      </c>
      <c r="GT71" s="39" t="s">
        <v>395</v>
      </c>
      <c r="GV71" s="8">
        <f t="shared" si="46"/>
        <v>2</v>
      </c>
      <c r="GW71" s="1">
        <f t="shared" si="47"/>
        <v>0.31051055953585233</v>
      </c>
      <c r="HA71" s="48">
        <v>18.64</v>
      </c>
      <c r="HB71" s="39" t="s">
        <v>395</v>
      </c>
      <c r="HE71" s="69">
        <v>60.030164603300001</v>
      </c>
      <c r="HF71" s="39" t="s">
        <v>1221</v>
      </c>
      <c r="HH71" s="39">
        <f>IF(HI71="数据缺失",0,IF(HI71&lt;20%,1,IF(HI71&lt;40%,2,IF(HI71&lt;60%,3,IF(HI71&lt;80%,4,IF(HI71&lt;=100%,5,0))))))</f>
        <v>1</v>
      </c>
      <c r="HI71" s="1">
        <f t="shared" si="49"/>
        <v>3.0409047756559445E-3</v>
      </c>
      <c r="HM71" s="39">
        <v>0.01</v>
      </c>
      <c r="HN71" s="39" t="s">
        <v>395</v>
      </c>
      <c r="HQ71" s="78">
        <v>3.2884949506000001</v>
      </c>
      <c r="HR71" s="39" t="s">
        <v>1221</v>
      </c>
      <c r="HT71" s="39">
        <f>IF(HU71="数据缺失",0,IF(HU71&lt;5%,4,IF(HU71&lt;=10%,3,IF(HU71&lt;30%,2,IF(HU71&lt;=100%,1,0)))))</f>
        <v>4</v>
      </c>
      <c r="HU71" s="10">
        <f t="shared" si="51"/>
        <v>0</v>
      </c>
      <c r="HY71" s="39">
        <v>0</v>
      </c>
      <c r="HZ71" s="39" t="s">
        <v>395</v>
      </c>
      <c r="IC71" s="39">
        <v>9.18</v>
      </c>
      <c r="ID71" s="39" t="s">
        <v>144</v>
      </c>
      <c r="IR71" s="42">
        <f>IF(IS71="数据缺失",0,IF(IS71&lt;0%,0,IF(IS71&lt;=100%,4,IF(IS71&lt;200%,3,IF(IS71&lt;300%,2,1)))))</f>
        <v>4</v>
      </c>
      <c r="IS71" s="1">
        <f t="shared" si="53"/>
        <v>0.40498427374165408</v>
      </c>
      <c r="IW71" s="78">
        <v>14.9</v>
      </c>
      <c r="IX71" s="39" t="s">
        <v>1209</v>
      </c>
      <c r="IY71" s="39" t="s">
        <v>1223</v>
      </c>
      <c r="JA71" s="69">
        <v>36.791552082599999</v>
      </c>
      <c r="JB71" s="39" t="s">
        <v>144</v>
      </c>
      <c r="JD71" s="39">
        <f>IF(JE71="数据缺失",0,IF(JE71&lt;0%,0,IF(JE71&lt;4%,1,IF(JE71&lt;6%,2,IF(JE71&lt;8%,3,4)))))</f>
        <v>4</v>
      </c>
      <c r="JE71" s="43">
        <f>JI71/JM71/(JQ71+JU71)*2</f>
        <v>8.9254153411099324E-2</v>
      </c>
      <c r="JI71" s="39">
        <v>4.04</v>
      </c>
      <c r="JJ71" s="39" t="s">
        <v>1209</v>
      </c>
      <c r="JM71" s="39">
        <v>6.56</v>
      </c>
      <c r="JN71" s="39" t="s">
        <v>1208</v>
      </c>
      <c r="JQ71" s="39">
        <v>9.3000000000000007</v>
      </c>
      <c r="JR71" s="39" t="s">
        <v>1209</v>
      </c>
      <c r="JU71" s="39">
        <v>4.5</v>
      </c>
      <c r="JV71" s="39" t="s">
        <v>1209</v>
      </c>
      <c r="JX71" s="39">
        <v>2</v>
      </c>
      <c r="JY71" s="39" t="s">
        <v>1225</v>
      </c>
      <c r="KB71" s="39">
        <v>19</v>
      </c>
      <c r="KC71" s="39" t="s">
        <v>1226</v>
      </c>
      <c r="KD71" s="39" t="s">
        <v>395</v>
      </c>
      <c r="KF71" s="8">
        <f t="shared" si="56"/>
        <v>1</v>
      </c>
      <c r="KG71" s="1">
        <f t="shared" si="57"/>
        <v>4.6206259420188717E-2</v>
      </c>
      <c r="KK71" s="39">
        <v>1.7</v>
      </c>
      <c r="KL71" s="39" t="s">
        <v>395</v>
      </c>
      <c r="KO71" s="69">
        <v>36.791552082599999</v>
      </c>
      <c r="KP71" s="39" t="s">
        <v>144</v>
      </c>
    </row>
  </sheetData>
  <mergeCells count="184">
    <mergeCell ref="A1:A3"/>
    <mergeCell ref="B1:B3"/>
    <mergeCell ref="C1:C3"/>
    <mergeCell ref="D1:D3"/>
    <mergeCell ref="E1:E3"/>
    <mergeCell ref="F1:F3"/>
    <mergeCell ref="G1:G3"/>
    <mergeCell ref="H1:H3"/>
    <mergeCell ref="I1:I3"/>
    <mergeCell ref="J1:J3"/>
    <mergeCell ref="K1:K3"/>
    <mergeCell ref="L1:W1"/>
    <mergeCell ref="L2:L3"/>
    <mergeCell ref="M2:M3"/>
    <mergeCell ref="N2:N3"/>
    <mergeCell ref="O2:O3"/>
    <mergeCell ref="CJ1:CU1"/>
    <mergeCell ref="CV1:DC1"/>
    <mergeCell ref="AB2:AE2"/>
    <mergeCell ref="AF2:AI2"/>
    <mergeCell ref="AJ2:AM2"/>
    <mergeCell ref="AN2:AN3"/>
    <mergeCell ref="AO2:AO3"/>
    <mergeCell ref="AP2:AP3"/>
    <mergeCell ref="P2:S2"/>
    <mergeCell ref="T2:W2"/>
    <mergeCell ref="X2:X3"/>
    <mergeCell ref="Y2:Y3"/>
    <mergeCell ref="Z2:Z3"/>
    <mergeCell ref="AA2:AA3"/>
    <mergeCell ref="BF2:BF3"/>
    <mergeCell ref="BG2:BG3"/>
    <mergeCell ref="BH2:BK2"/>
    <mergeCell ref="DD1:DO1"/>
    <mergeCell ref="DP1:EI1"/>
    <mergeCell ref="EJ1:EQ1"/>
    <mergeCell ref="ER1:EY1"/>
    <mergeCell ref="X1:AM1"/>
    <mergeCell ref="AN1:BC1"/>
    <mergeCell ref="BD1:BK1"/>
    <mergeCell ref="BL1:BS1"/>
    <mergeCell ref="BT1:CA1"/>
    <mergeCell ref="CB1:CI1"/>
    <mergeCell ref="HT1:IE1"/>
    <mergeCell ref="IF1:IQ1"/>
    <mergeCell ref="IR1:JC1"/>
    <mergeCell ref="JD1:JW1"/>
    <mergeCell ref="JX1:KE1"/>
    <mergeCell ref="KF1:KQ1"/>
    <mergeCell ref="EZ1:FG1"/>
    <mergeCell ref="FH1:GA1"/>
    <mergeCell ref="GB1:GI1"/>
    <mergeCell ref="GJ1:GU1"/>
    <mergeCell ref="GV1:HG1"/>
    <mergeCell ref="HH1:HS1"/>
    <mergeCell ref="BL2:BL3"/>
    <mergeCell ref="BM2:BM3"/>
    <mergeCell ref="BN2:BN3"/>
    <mergeCell ref="AQ2:AQ3"/>
    <mergeCell ref="AR2:AU2"/>
    <mergeCell ref="AV2:AY2"/>
    <mergeCell ref="AZ2:BC2"/>
    <mergeCell ref="BD2:BD3"/>
    <mergeCell ref="BE2:BE3"/>
    <mergeCell ref="BX2:CA2"/>
    <mergeCell ref="CB2:CB3"/>
    <mergeCell ref="CC2:CC3"/>
    <mergeCell ref="CD2:CD3"/>
    <mergeCell ref="CE2:CE3"/>
    <mergeCell ref="CF2:CI2"/>
    <mergeCell ref="BO2:BO3"/>
    <mergeCell ref="BP2:BS2"/>
    <mergeCell ref="BT2:BT3"/>
    <mergeCell ref="BU2:BU3"/>
    <mergeCell ref="BV2:BV3"/>
    <mergeCell ref="BW2:BW3"/>
    <mergeCell ref="CV2:CV3"/>
    <mergeCell ref="CW2:CW3"/>
    <mergeCell ref="CX2:CX3"/>
    <mergeCell ref="CY2:CY3"/>
    <mergeCell ref="CZ2:DC2"/>
    <mergeCell ref="DD2:DD3"/>
    <mergeCell ref="CJ2:CJ3"/>
    <mergeCell ref="CK2:CK3"/>
    <mergeCell ref="CL2:CL3"/>
    <mergeCell ref="CM2:CM3"/>
    <mergeCell ref="CN2:CQ2"/>
    <mergeCell ref="CR2:CU2"/>
    <mergeCell ref="DQ2:DQ3"/>
    <mergeCell ref="DR2:DR3"/>
    <mergeCell ref="DS2:DS3"/>
    <mergeCell ref="DT2:DW2"/>
    <mergeCell ref="DX2:EA2"/>
    <mergeCell ref="EB2:EE2"/>
    <mergeCell ref="DE2:DE3"/>
    <mergeCell ref="DF2:DF3"/>
    <mergeCell ref="DG2:DG3"/>
    <mergeCell ref="DH2:DK2"/>
    <mergeCell ref="DL2:DO2"/>
    <mergeCell ref="DP2:DP3"/>
    <mergeCell ref="ER2:ER3"/>
    <mergeCell ref="ES2:ES3"/>
    <mergeCell ref="ET2:ET3"/>
    <mergeCell ref="EU2:EU3"/>
    <mergeCell ref="EV2:EY2"/>
    <mergeCell ref="EZ2:EZ3"/>
    <mergeCell ref="EF2:EI2"/>
    <mergeCell ref="EJ2:EJ3"/>
    <mergeCell ref="EK2:EK3"/>
    <mergeCell ref="EL2:EL3"/>
    <mergeCell ref="EM2:EM3"/>
    <mergeCell ref="EN2:EQ2"/>
    <mergeCell ref="FJ2:FJ3"/>
    <mergeCell ref="FK2:FK3"/>
    <mergeCell ref="FL2:FO2"/>
    <mergeCell ref="FP2:FS2"/>
    <mergeCell ref="FT2:FW2"/>
    <mergeCell ref="FX2:GA2"/>
    <mergeCell ref="FA2:FA3"/>
    <mergeCell ref="FB2:FB3"/>
    <mergeCell ref="FC2:FC3"/>
    <mergeCell ref="FD2:FG2"/>
    <mergeCell ref="FH2:FH3"/>
    <mergeCell ref="FI2:FI3"/>
    <mergeCell ref="GK2:GK3"/>
    <mergeCell ref="GL2:GL3"/>
    <mergeCell ref="GM2:GM3"/>
    <mergeCell ref="GN2:GQ2"/>
    <mergeCell ref="GR2:GU2"/>
    <mergeCell ref="GV2:GV3"/>
    <mergeCell ref="GB2:GB3"/>
    <mergeCell ref="GC2:GC3"/>
    <mergeCell ref="GD2:GD3"/>
    <mergeCell ref="GE2:GE3"/>
    <mergeCell ref="GF2:GI2"/>
    <mergeCell ref="GJ2:GJ3"/>
    <mergeCell ref="HI2:HI3"/>
    <mergeCell ref="HJ2:HJ3"/>
    <mergeCell ref="HK2:HK3"/>
    <mergeCell ref="HL2:HO2"/>
    <mergeCell ref="HP2:HS2"/>
    <mergeCell ref="HT2:HT3"/>
    <mergeCell ref="GW2:GW3"/>
    <mergeCell ref="GX2:GX3"/>
    <mergeCell ref="GY2:GY3"/>
    <mergeCell ref="GZ2:HC2"/>
    <mergeCell ref="HD2:HG2"/>
    <mergeCell ref="HH2:HH3"/>
    <mergeCell ref="IG2:IG3"/>
    <mergeCell ref="IH2:IH3"/>
    <mergeCell ref="II2:II3"/>
    <mergeCell ref="IJ2:IM2"/>
    <mergeCell ref="IN2:IQ2"/>
    <mergeCell ref="IR2:IR3"/>
    <mergeCell ref="HU2:HU3"/>
    <mergeCell ref="HV2:HV3"/>
    <mergeCell ref="HW2:HW3"/>
    <mergeCell ref="HX2:IA2"/>
    <mergeCell ref="IB2:IE2"/>
    <mergeCell ref="IF2:IF3"/>
    <mergeCell ref="JE2:JE3"/>
    <mergeCell ref="JF2:JF3"/>
    <mergeCell ref="JG2:JG3"/>
    <mergeCell ref="JH2:JK2"/>
    <mergeCell ref="JL2:JO2"/>
    <mergeCell ref="JP2:JS2"/>
    <mergeCell ref="IS2:IS3"/>
    <mergeCell ref="IT2:IT3"/>
    <mergeCell ref="IU2:IU3"/>
    <mergeCell ref="IV2:IY2"/>
    <mergeCell ref="IZ2:JC2"/>
    <mergeCell ref="JD2:JD3"/>
    <mergeCell ref="KF2:KF3"/>
    <mergeCell ref="KG2:KG3"/>
    <mergeCell ref="KH2:KH3"/>
    <mergeCell ref="KI2:KI3"/>
    <mergeCell ref="KJ2:KM2"/>
    <mergeCell ref="KN2:KQ2"/>
    <mergeCell ref="JT2:JW2"/>
    <mergeCell ref="JX2:JX3"/>
    <mergeCell ref="JY2:JY3"/>
    <mergeCell ref="JZ2:JZ3"/>
    <mergeCell ref="KA2:KA3"/>
    <mergeCell ref="KB2:KE2"/>
  </mergeCells>
  <phoneticPr fontId="11" type="noConversion"/>
  <dataValidations count="1">
    <dataValidation type="list" allowBlank="1" showInputMessage="1" showErrorMessage="1" sqref="T4:T71">
      <formula1>#REF!</formula1>
    </dataValidation>
  </dataValidations>
  <hyperlinks>
    <hyperlink ref="BZ39" r:id="rId1"/>
    <hyperlink ref="BZ45" r:id="rId2" display="http://www.fangchan.com/zt/top500/2016"/>
    <hyperlink ref="BZ38" r:id="rId3"/>
    <hyperlink ref="BZ11" r:id="rId4"/>
    <hyperlink ref="BZ22" r:id="rId5"/>
    <hyperlink ref="BZ24" r:id="rId6" display="http://www.fangchan.com/zt/top500/2015"/>
    <hyperlink ref="BZ28" r:id="rId7" display="http://www.fangchan.com/zt/top500/2016"/>
    <hyperlink ref="BZ14" r:id="rId8"/>
    <hyperlink ref="BZ16" r:id="rId9"/>
    <hyperlink ref="CH53" r:id="rId10"/>
    <hyperlink ref="BZ56" r:id="rId11" display="http://www.fangchan.com/zt/top500/2016"/>
    <hyperlink ref="CH56" r:id="rId12"/>
    <hyperlink ref="CH57" r:id="rId13"/>
    <hyperlink ref="BZ59" r:id="rId14"/>
    <hyperlink ref="BZ71" r:id="rId15"/>
    <hyperlink ref="CH49:CH50" r:id="rId16" display="http://219.142.101.72/showcorpinfo/showcorpinfo.aspx"/>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14:formula1>
            <xm:f>'C:\Users\CSCI\AppData\Local\Temp\Rar$DIa0.908\[房地产-20170309-黄梦瑶.xlsx]dropdown'!#REF!</xm:f>
          </x14:formula1>
          <xm:sqref>P71 CF71</xm:sqref>
        </x14:dataValidation>
        <x14:dataValidation type="list" allowBlank="1" showInputMessage="1" showErrorMessage="1">
          <x14:formula1>
            <xm:f>'C:\Users\CSCI\AppData\Local\Temp\Rar$DIa0.614\[房地产--20170310--杨凤.xlsx]dropdown'!#REF!</xm:f>
          </x14:formula1>
          <xm:sqref>P66:P68</xm:sqref>
        </x14:dataValidation>
        <x14:dataValidation type="list" allowBlank="1" showInputMessage="1" showErrorMessage="1">
          <x14:formula1>
            <xm:f>'C:\Users\shoushu\Desktop\[房地产冯羽.xlsx]dropdown'!#REF!</xm:f>
          </x14:formula1>
          <xm:sqref>CF70 CF66</xm:sqref>
        </x14:dataValidation>
        <x14:dataValidation type="list" allowBlank="1" showInputMessage="1" showErrorMessage="1">
          <x14:formula1>
            <xm:f>'C:\Users\shoushu\Desktop\冯羽\[冯羽房地产.xlsx]股权'!#REF!</xm:f>
          </x14:formula1>
          <xm:sqref>CF59</xm:sqref>
        </x14:dataValidation>
        <x14:dataValidation type="list" allowBlank="1" showInputMessage="1" showErrorMessage="1">
          <x14:formula1>
            <xm:f>'C:\Users\shoushu\Desktop\[CSDC_IRB_指标长清单_V03.xlsx]dropdown'!#REF!</xm:f>
          </x14:formula1>
          <xm:sqref>CF60:CF64</xm:sqref>
        </x14:dataValidation>
        <x14:dataValidation type="list" allowBlank="1" showInputMessage="1" showErrorMessage="1">
          <x14:formula1>
            <xm:f>'C:\Users\CSCI\AppData\Local\Temp\Rar$DIa0.115\[房地产-20170308-黄梦瑶.xlsx]dropdown'!#REF!</xm:f>
          </x14:formula1>
          <xm:sqref>CF52 P52:P53 CF56:CF57</xm:sqref>
        </x14:dataValidation>
        <x14:dataValidation type="list" allowBlank="1" showInputMessage="1" showErrorMessage="1">
          <x14:formula1>
            <xm:f>'C:\Users\CSCI\Documents\我接收到的文件\[CSDC_IRB_指标长清单_V02(1).xlsx]dropdown'!#REF!</xm:f>
          </x14:formula1>
          <xm:sqref>IJ8:IJ9</xm:sqref>
        </x14:dataValidation>
        <x14:dataValidation type="list" allowBlank="1" showInputMessage="1" showErrorMessage="1">
          <x14:formula1>
            <xm:f>'C:\Users\CSCI\Documents\我接收到的文件\[房地产-20170306-黄梦瑶.xlsx]dropdown'!#REF!</xm:f>
          </x14:formula1>
          <xm:sqref>CF43</xm:sqref>
        </x14:dataValidation>
        <x14:dataValidation type="list" allowBlank="1" showInputMessage="1" showErrorMessage="1">
          <x14:formula1>
            <xm:f>'C:\Users\CSCI\Desktop\[房地产收数模板.xlsx]dropdown'!#REF!</xm:f>
          </x14:formula1>
          <xm:sqref>IN6 IJ6:IK6 P5 P12:P13 P7:P10 IJ4:IK4 IN4 IN8:IN9</xm:sqref>
        </x14:dataValidation>
        <x14:dataValidation type="list" allowBlank="1" showInputMessage="1" showErrorMessage="1">
          <x14:formula1>
            <xm:f>[房地产_20170306_杨凤.xlsx]dropdown!#REF!</xm:f>
          </x14:formula1>
          <xm:sqref>CF32:CF34 IJ36:IK36 P32:P34 IJ32:IK32 IJ34:IK34 IN34 P36 IN36</xm:sqref>
        </x14:dataValidation>
        <x14:dataValidation type="list" allowBlank="1" showInputMessage="1" showErrorMessage="1">
          <x14:formula1>
            <xm:f>'C:\Users\CSCI\AppData\Local\Temp\Rar$DIa0.629\[房地产_20170303_杨凤.xlsx]dropdown'!#REF!</xm:f>
          </x14:formula1>
          <xm:sqref>IJ31:IK31 IN31 P26 P29:P31 CF26 CF28:CF31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数据收集</vt:lpstr>
      <vt:lpstr>收数模板</vt:lpstr>
      <vt:lpstr>敞口调出</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2018-05-31T09:22:50Z</dcterms:modified>
</cp:coreProperties>
</file>