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-15" windowWidth="7200" windowHeight="8580"/>
  </bookViews>
  <sheets>
    <sheet name="Dymond" sheetId="1" r:id="rId1"/>
    <sheet name="Tsonopolous" sheetId="2" r:id="rId2"/>
    <sheet name="Chem" sheetId="3" r:id="rId3"/>
  </sheets>
  <externalReferences>
    <externalReference r:id="rId4"/>
  </externalReferences>
  <definedNames>
    <definedName name="solver_adj" localSheetId="2" hidden="1">Chem!$E$4:$E$5</definedName>
    <definedName name="solver_adj" localSheetId="0" hidden="1">Dymond!$H$9:$H$11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100</definedName>
    <definedName name="solver_lin" localSheetId="2" hidden="1">2</definedName>
    <definedName name="solver_lin" localSheetId="0" hidden="1">2</definedName>
    <definedName name="solver_neg" localSheetId="2" hidden="1">2</definedName>
    <definedName name="solver_neg" localSheetId="0" hidden="1">2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Chem!$I$13</definedName>
    <definedName name="solver_opt" localSheetId="0" hidden="1">Dymond!$I$13</definedName>
    <definedName name="solver_pre" localSheetId="2" hidden="1">0.000001</definedName>
    <definedName name="solver_pre" localSheetId="0" hidden="1">0.000001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3</definedName>
    <definedName name="solver_typ" localSheetId="0" hidden="1">3</definedName>
    <definedName name="solver_val" localSheetId="2" hidden="1">0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B1" i="3" l="1"/>
  <c r="A3" i="3"/>
  <c r="E3" i="3"/>
  <c r="H3" i="3"/>
  <c r="A4" i="3"/>
  <c r="A5" i="3"/>
  <c r="H5" i="3"/>
  <c r="A6" i="3"/>
  <c r="A12" i="3"/>
  <c r="B12" i="3"/>
  <c r="C12" i="3"/>
  <c r="H12" i="3"/>
  <c r="I12" i="3"/>
  <c r="G13" i="3"/>
  <c r="H13" i="3"/>
  <c r="B14" i="3"/>
  <c r="A15" i="3"/>
  <c r="B15" i="3"/>
  <c r="G15" i="3"/>
  <c r="B16" i="3"/>
  <c r="A17" i="3"/>
  <c r="B17" i="3"/>
  <c r="D17" i="3"/>
  <c r="E17" i="3" s="1"/>
  <c r="H17" i="3" s="1"/>
  <c r="G17" i="3"/>
  <c r="I17" i="3"/>
  <c r="B18" i="3"/>
  <c r="A19" i="3"/>
  <c r="B19" i="3"/>
  <c r="G19" i="3"/>
  <c r="B20" i="3"/>
  <c r="A21" i="3"/>
  <c r="B21" i="3"/>
  <c r="D21" i="3"/>
  <c r="E21" i="3" s="1"/>
  <c r="H21" i="3" s="1"/>
  <c r="I21" i="3" s="1"/>
  <c r="G21" i="3"/>
  <c r="B22" i="3"/>
  <c r="A23" i="3"/>
  <c r="B23" i="3"/>
  <c r="G23" i="3"/>
  <c r="B24" i="3"/>
  <c r="A25" i="3"/>
  <c r="B25" i="3"/>
  <c r="D25" i="3"/>
  <c r="E25" i="3" s="1"/>
  <c r="H25" i="3" s="1"/>
  <c r="G25" i="3"/>
  <c r="I25" i="3"/>
  <c r="B26" i="3"/>
  <c r="A27" i="3"/>
  <c r="B27" i="3"/>
  <c r="G27" i="3"/>
  <c r="B28" i="3"/>
  <c r="A29" i="3"/>
  <c r="B29" i="3"/>
  <c r="D29" i="3"/>
  <c r="E29" i="3" s="1"/>
  <c r="H29" i="3" s="1"/>
  <c r="I29" i="3" s="1"/>
  <c r="G29" i="3"/>
  <c r="B30" i="3"/>
  <c r="A31" i="3"/>
  <c r="B31" i="3"/>
  <c r="G31" i="3"/>
  <c r="B32" i="3"/>
  <c r="A33" i="3"/>
  <c r="B33" i="3"/>
  <c r="D33" i="3"/>
  <c r="E33" i="3" s="1"/>
  <c r="H33" i="3" s="1"/>
  <c r="G33" i="3"/>
  <c r="I33" i="3"/>
  <c r="B34" i="3"/>
  <c r="A35" i="3"/>
  <c r="B35" i="3"/>
  <c r="G35" i="3"/>
  <c r="B36" i="3"/>
  <c r="A37" i="3"/>
  <c r="B37" i="3"/>
  <c r="D37" i="3"/>
  <c r="E37" i="3" s="1"/>
  <c r="H37" i="3" s="1"/>
  <c r="I37" i="3" s="1"/>
  <c r="G37" i="3"/>
  <c r="B38" i="3"/>
  <c r="B39" i="3"/>
  <c r="G39" i="3"/>
  <c r="B40" i="3"/>
  <c r="A41" i="3"/>
  <c r="B41" i="3"/>
  <c r="D41" i="3"/>
  <c r="E41" i="3" s="1"/>
  <c r="H41" i="3" s="1"/>
  <c r="G41" i="3"/>
  <c r="I41" i="3"/>
  <c r="B42" i="3"/>
  <c r="B43" i="3"/>
  <c r="G43" i="3"/>
  <c r="B44" i="3"/>
  <c r="B45" i="3"/>
  <c r="D45" i="3"/>
  <c r="E45" i="3" s="1"/>
  <c r="H45" i="3" s="1"/>
  <c r="I45" i="3" s="1"/>
  <c r="G45" i="3"/>
  <c r="B46" i="3"/>
  <c r="G46" i="3"/>
  <c r="B47" i="3"/>
  <c r="G47" i="3"/>
  <c r="B48" i="3"/>
  <c r="B49" i="3"/>
  <c r="G49" i="3"/>
  <c r="A14" i="1"/>
  <c r="A14" i="3" s="1"/>
  <c r="G14" i="1"/>
  <c r="G14" i="3" s="1"/>
  <c r="H14" i="1"/>
  <c r="I14" i="1" s="1"/>
  <c r="A15" i="1"/>
  <c r="G15" i="1"/>
  <c r="H15" i="1"/>
  <c r="I15" i="1" s="1"/>
  <c r="A16" i="1"/>
  <c r="A16" i="3" s="1"/>
  <c r="G16" i="1"/>
  <c r="G16" i="3" s="1"/>
  <c r="H16" i="1"/>
  <c r="I16" i="1" s="1"/>
  <c r="A17" i="1"/>
  <c r="G17" i="1"/>
  <c r="H17" i="1"/>
  <c r="I17" i="1" s="1"/>
  <c r="A18" i="1"/>
  <c r="A18" i="3" s="1"/>
  <c r="G18" i="1"/>
  <c r="G18" i="3" s="1"/>
  <c r="H18" i="1"/>
  <c r="I18" i="1" s="1"/>
  <c r="A19" i="1"/>
  <c r="G19" i="1"/>
  <c r="H19" i="1"/>
  <c r="I19" i="1" s="1"/>
  <c r="A20" i="1"/>
  <c r="A20" i="3" s="1"/>
  <c r="G20" i="1"/>
  <c r="G20" i="3" s="1"/>
  <c r="H20" i="1"/>
  <c r="I20" i="1" s="1"/>
  <c r="A21" i="1"/>
  <c r="G21" i="1"/>
  <c r="H21" i="1"/>
  <c r="I21" i="1" s="1"/>
  <c r="A22" i="1"/>
  <c r="A22" i="3" s="1"/>
  <c r="G22" i="1"/>
  <c r="G22" i="3" s="1"/>
  <c r="H22" i="1"/>
  <c r="I22" i="1" s="1"/>
  <c r="A23" i="1"/>
  <c r="G23" i="1"/>
  <c r="H23" i="1"/>
  <c r="I23" i="1" s="1"/>
  <c r="A24" i="1"/>
  <c r="A24" i="3" s="1"/>
  <c r="G24" i="1"/>
  <c r="G24" i="3" s="1"/>
  <c r="H24" i="1"/>
  <c r="I24" i="1" s="1"/>
  <c r="A25" i="1"/>
  <c r="G25" i="1"/>
  <c r="H25" i="1"/>
  <c r="I25" i="1" s="1"/>
  <c r="A26" i="1"/>
  <c r="A26" i="3" s="1"/>
  <c r="G26" i="1"/>
  <c r="G26" i="3" s="1"/>
  <c r="H26" i="1"/>
  <c r="I26" i="1" s="1"/>
  <c r="A27" i="1"/>
  <c r="G27" i="1"/>
  <c r="H27" i="1"/>
  <c r="I27" i="1" s="1"/>
  <c r="A28" i="1"/>
  <c r="A28" i="3" s="1"/>
  <c r="G28" i="1"/>
  <c r="G28" i="3" s="1"/>
  <c r="H28" i="1"/>
  <c r="I28" i="1" s="1"/>
  <c r="A29" i="1"/>
  <c r="G29" i="1"/>
  <c r="H29" i="1"/>
  <c r="I29" i="1" s="1"/>
  <c r="A30" i="1"/>
  <c r="A30" i="3" s="1"/>
  <c r="G30" i="1"/>
  <c r="G30" i="3" s="1"/>
  <c r="H30" i="1"/>
  <c r="I30" i="1" s="1"/>
  <c r="A31" i="1"/>
  <c r="G31" i="1"/>
  <c r="H31" i="1"/>
  <c r="I31" i="1" s="1"/>
  <c r="A32" i="1"/>
  <c r="A32" i="3" s="1"/>
  <c r="G32" i="1"/>
  <c r="G32" i="3" s="1"/>
  <c r="H32" i="1"/>
  <c r="I32" i="1" s="1"/>
  <c r="A33" i="1"/>
  <c r="G33" i="1"/>
  <c r="H33" i="1"/>
  <c r="I33" i="1" s="1"/>
  <c r="A34" i="1"/>
  <c r="A34" i="3" s="1"/>
  <c r="G34" i="1"/>
  <c r="G34" i="3" s="1"/>
  <c r="H34" i="1"/>
  <c r="I34" i="1" s="1"/>
  <c r="A35" i="1"/>
  <c r="G35" i="1"/>
  <c r="H35" i="1"/>
  <c r="I35" i="1" s="1"/>
  <c r="A36" i="1"/>
  <c r="A36" i="3" s="1"/>
  <c r="G36" i="1"/>
  <c r="G36" i="3" s="1"/>
  <c r="H36" i="1"/>
  <c r="I36" i="1" s="1"/>
  <c r="A37" i="1"/>
  <c r="G37" i="1"/>
  <c r="H37" i="1"/>
  <c r="I37" i="1" s="1"/>
  <c r="A38" i="1"/>
  <c r="A38" i="3" s="1"/>
  <c r="G38" i="1"/>
  <c r="G38" i="3" s="1"/>
  <c r="H38" i="1"/>
  <c r="I38" i="1" s="1"/>
  <c r="A39" i="1"/>
  <c r="A39" i="3" s="1"/>
  <c r="G39" i="1"/>
  <c r="H39" i="1"/>
  <c r="I39" i="1" s="1"/>
  <c r="A40" i="1"/>
  <c r="A40" i="3" s="1"/>
  <c r="G40" i="1"/>
  <c r="G40" i="3" s="1"/>
  <c r="H40" i="1"/>
  <c r="I40" i="1" s="1"/>
  <c r="A41" i="1"/>
  <c r="G41" i="1"/>
  <c r="H41" i="1"/>
  <c r="I41" i="1" s="1"/>
  <c r="A42" i="1"/>
  <c r="A42" i="3" s="1"/>
  <c r="G42" i="1"/>
  <c r="G42" i="3" s="1"/>
  <c r="H42" i="1"/>
  <c r="I42" i="1" s="1"/>
  <c r="A43" i="1"/>
  <c r="A43" i="3" s="1"/>
  <c r="G43" i="1"/>
  <c r="H43" i="1"/>
  <c r="I43" i="1" s="1"/>
  <c r="A44" i="1"/>
  <c r="A44" i="3" s="1"/>
  <c r="G44" i="1"/>
  <c r="G44" i="3" s="1"/>
  <c r="H44" i="1"/>
  <c r="I44" i="1" s="1"/>
  <c r="A45" i="1"/>
  <c r="A45" i="3" s="1"/>
  <c r="G45" i="1"/>
  <c r="H45" i="1"/>
  <c r="I45" i="1" s="1"/>
  <c r="A46" i="1"/>
  <c r="A46" i="3" s="1"/>
  <c r="G46" i="1"/>
  <c r="H46" i="1"/>
  <c r="I46" i="1" s="1"/>
  <c r="A47" i="1"/>
  <c r="A47" i="3" s="1"/>
  <c r="G47" i="1"/>
  <c r="H47" i="1"/>
  <c r="I47" i="1" s="1"/>
  <c r="A48" i="1"/>
  <c r="A48" i="3" s="1"/>
  <c r="G48" i="1"/>
  <c r="G48" i="3" s="1"/>
  <c r="H48" i="1"/>
  <c r="I48" i="1" s="1"/>
  <c r="A49" i="1"/>
  <c r="A49" i="3" s="1"/>
  <c r="G49" i="1"/>
  <c r="H49" i="1"/>
  <c r="I49" i="1" s="1"/>
  <c r="B52" i="1"/>
  <c r="H52" i="1" s="1"/>
  <c r="B1" i="2"/>
  <c r="I2" i="2"/>
  <c r="I4" i="2"/>
  <c r="B7" i="2"/>
  <c r="C7" i="2"/>
  <c r="D7" i="2"/>
  <c r="E7" i="2"/>
  <c r="B12" i="2"/>
  <c r="B14" i="2"/>
  <c r="C14" i="2" s="1"/>
  <c r="I14" i="2"/>
  <c r="B15" i="2"/>
  <c r="C15" i="2" s="1"/>
  <c r="D15" i="2"/>
  <c r="G15" i="2" s="1"/>
  <c r="H15" i="2" s="1"/>
  <c r="J15" i="2" s="1"/>
  <c r="E15" i="2"/>
  <c r="F15" i="2"/>
  <c r="I15" i="2"/>
  <c r="B16" i="2"/>
  <c r="C16" i="2"/>
  <c r="F16" i="2" s="1"/>
  <c r="D16" i="2"/>
  <c r="E16" i="2"/>
  <c r="G16" i="2"/>
  <c r="H16" i="2" s="1"/>
  <c r="J16" i="2" s="1"/>
  <c r="I16" i="2"/>
  <c r="B17" i="2"/>
  <c r="C17" i="2"/>
  <c r="F17" i="2"/>
  <c r="I17" i="2"/>
  <c r="B18" i="2"/>
  <c r="C18" i="2"/>
  <c r="F18" i="2"/>
  <c r="I18" i="2"/>
  <c r="B19" i="2"/>
  <c r="C19" i="2" s="1"/>
  <c r="I19" i="2"/>
  <c r="B20" i="2"/>
  <c r="C20" i="2"/>
  <c r="I20" i="2"/>
  <c r="B21" i="2"/>
  <c r="C21" i="2" s="1"/>
  <c r="I21" i="2"/>
  <c r="B22" i="2"/>
  <c r="C22" i="2" s="1"/>
  <c r="I22" i="2"/>
  <c r="B23" i="2"/>
  <c r="C23" i="2" s="1"/>
  <c r="E23" i="2" s="1"/>
  <c r="D23" i="2"/>
  <c r="G23" i="2" s="1"/>
  <c r="H23" i="2" s="1"/>
  <c r="J23" i="2" s="1"/>
  <c r="F23" i="2"/>
  <c r="I23" i="2"/>
  <c r="B24" i="2"/>
  <c r="C24" i="2"/>
  <c r="F24" i="2" s="1"/>
  <c r="D24" i="2"/>
  <c r="I24" i="2"/>
  <c r="B25" i="2"/>
  <c r="C25" i="2"/>
  <c r="F25" i="2"/>
  <c r="I25" i="2"/>
  <c r="B26" i="2"/>
  <c r="C26" i="2"/>
  <c r="F26" i="2"/>
  <c r="I26" i="2"/>
  <c r="B27" i="2"/>
  <c r="C27" i="2" s="1"/>
  <c r="I27" i="2"/>
  <c r="B28" i="2"/>
  <c r="C28" i="2"/>
  <c r="I28" i="2"/>
  <c r="B29" i="2"/>
  <c r="C29" i="2" s="1"/>
  <c r="I29" i="2"/>
  <c r="B30" i="2"/>
  <c r="C30" i="2" s="1"/>
  <c r="I30" i="2"/>
  <c r="B31" i="2"/>
  <c r="C31" i="2"/>
  <c r="I31" i="2"/>
  <c r="B32" i="2"/>
  <c r="C32" i="2" s="1"/>
  <c r="E32" i="2" s="1"/>
  <c r="F32" i="2"/>
  <c r="I32" i="2"/>
  <c r="B33" i="2"/>
  <c r="C33" i="2"/>
  <c r="E33" i="2"/>
  <c r="I33" i="2"/>
  <c r="B34" i="2"/>
  <c r="C34" i="2" s="1"/>
  <c r="E34" i="2" s="1"/>
  <c r="D34" i="2"/>
  <c r="G34" i="2" s="1"/>
  <c r="F34" i="2"/>
  <c r="H34" i="2"/>
  <c r="J34" i="2" s="1"/>
  <c r="I34" i="2"/>
  <c r="B35" i="2"/>
  <c r="C35" i="2"/>
  <c r="I35" i="2"/>
  <c r="B36" i="2"/>
  <c r="C36" i="2" s="1"/>
  <c r="E36" i="2" s="1"/>
  <c r="I36" i="2"/>
  <c r="B37" i="2"/>
  <c r="C37" i="2"/>
  <c r="E37" i="2"/>
  <c r="I37" i="2"/>
  <c r="B38" i="2"/>
  <c r="C38" i="2" s="1"/>
  <c r="E38" i="2" s="1"/>
  <c r="D38" i="2"/>
  <c r="I38" i="2"/>
  <c r="B39" i="2"/>
  <c r="C39" i="2"/>
  <c r="I39" i="2"/>
  <c r="B40" i="2"/>
  <c r="C40" i="2" s="1"/>
  <c r="E40" i="2" s="1"/>
  <c r="F40" i="2"/>
  <c r="I40" i="2"/>
  <c r="B41" i="2"/>
  <c r="C41" i="2"/>
  <c r="E41" i="2"/>
  <c r="I41" i="2"/>
  <c r="B42" i="2"/>
  <c r="C42" i="2" s="1"/>
  <c r="E42" i="2" s="1"/>
  <c r="D42" i="2"/>
  <c r="G42" i="2" s="1"/>
  <c r="F42" i="2"/>
  <c r="H42" i="2"/>
  <c r="J42" i="2" s="1"/>
  <c r="I42" i="2"/>
  <c r="B43" i="2"/>
  <c r="C43" i="2"/>
  <c r="E43" i="2" s="1"/>
  <c r="I43" i="2"/>
  <c r="B44" i="2"/>
  <c r="C44" i="2" s="1"/>
  <c r="E44" i="2" s="1"/>
  <c r="I44" i="2"/>
  <c r="B45" i="2"/>
  <c r="C45" i="2"/>
  <c r="E45" i="2"/>
  <c r="I45" i="2"/>
  <c r="B46" i="2"/>
  <c r="C46" i="2" s="1"/>
  <c r="E46" i="2" s="1"/>
  <c r="D46" i="2"/>
  <c r="F46" i="2"/>
  <c r="I46" i="2"/>
  <c r="B47" i="2"/>
  <c r="C47" i="2"/>
  <c r="F47" i="2" s="1"/>
  <c r="D47" i="2"/>
  <c r="I47" i="2"/>
  <c r="B48" i="2"/>
  <c r="C48" i="2"/>
  <c r="E48" i="2" s="1"/>
  <c r="F48" i="2"/>
  <c r="I48" i="2"/>
  <c r="B49" i="2"/>
  <c r="C49" i="2"/>
  <c r="D49" i="2" s="1"/>
  <c r="F49" i="2"/>
  <c r="I49" i="2"/>
  <c r="B52" i="2"/>
  <c r="C52" i="2" s="1"/>
  <c r="F52" i="2" s="1"/>
  <c r="I52" i="2"/>
  <c r="G47" i="2" l="1"/>
  <c r="H47" i="2" s="1"/>
  <c r="J47" i="2" s="1"/>
  <c r="D35" i="2"/>
  <c r="G35" i="2" s="1"/>
  <c r="H35" i="2" s="1"/>
  <c r="J35" i="2" s="1"/>
  <c r="F35" i="2"/>
  <c r="D30" i="2"/>
  <c r="G30" i="2" s="1"/>
  <c r="H30" i="2" s="1"/>
  <c r="J30" i="2" s="1"/>
  <c r="F30" i="2"/>
  <c r="E29" i="2"/>
  <c r="F29" i="2"/>
  <c r="F28" i="2"/>
  <c r="D28" i="2"/>
  <c r="D19" i="2"/>
  <c r="G19" i="2" s="1"/>
  <c r="H19" i="2" s="1"/>
  <c r="J19" i="2" s="1"/>
  <c r="F19" i="2"/>
  <c r="I49" i="3"/>
  <c r="H44" i="3"/>
  <c r="I44" i="3" s="1"/>
  <c r="H20" i="3"/>
  <c r="E52" i="2"/>
  <c r="F44" i="2"/>
  <c r="D39" i="2"/>
  <c r="F39" i="2"/>
  <c r="F36" i="2"/>
  <c r="D31" i="2"/>
  <c r="F31" i="2"/>
  <c r="F27" i="2"/>
  <c r="D27" i="2"/>
  <c r="D22" i="2"/>
  <c r="F22" i="2"/>
  <c r="E21" i="2"/>
  <c r="F21" i="2"/>
  <c r="F20" i="2"/>
  <c r="D20" i="2"/>
  <c r="D14" i="2"/>
  <c r="G14" i="2" s="1"/>
  <c r="H14" i="2" s="1"/>
  <c r="J14" i="2" s="1"/>
  <c r="F14" i="2"/>
  <c r="H40" i="3"/>
  <c r="I40" i="3" s="1"/>
  <c r="H24" i="3"/>
  <c r="I24" i="3" s="1"/>
  <c r="D47" i="3"/>
  <c r="E47" i="3" s="1"/>
  <c r="H47" i="3" s="1"/>
  <c r="I47" i="3" s="1"/>
  <c r="D49" i="3"/>
  <c r="E49" i="3" s="1"/>
  <c r="H49" i="3" s="1"/>
  <c r="D52" i="2"/>
  <c r="G52" i="2" s="1"/>
  <c r="H52" i="2" s="1"/>
  <c r="E47" i="2"/>
  <c r="D44" i="2"/>
  <c r="G44" i="2" s="1"/>
  <c r="H44" i="2" s="1"/>
  <c r="J44" i="2" s="1"/>
  <c r="F41" i="2"/>
  <c r="D41" i="2"/>
  <c r="G41" i="2" s="1"/>
  <c r="H41" i="2" s="1"/>
  <c r="J41" i="2" s="1"/>
  <c r="F38" i="2"/>
  <c r="G38" i="2" s="1"/>
  <c r="H38" i="2" s="1"/>
  <c r="J38" i="2" s="1"/>
  <c r="D36" i="2"/>
  <c r="G36" i="2" s="1"/>
  <c r="H36" i="2" s="1"/>
  <c r="J36" i="2" s="1"/>
  <c r="E35" i="2"/>
  <c r="F33" i="2"/>
  <c r="D33" i="2"/>
  <c r="E30" i="2"/>
  <c r="D29" i="2"/>
  <c r="E28" i="2"/>
  <c r="E25" i="2"/>
  <c r="D25" i="2"/>
  <c r="G25" i="2" s="1"/>
  <c r="H25" i="2" s="1"/>
  <c r="J25" i="2" s="1"/>
  <c r="E19" i="2"/>
  <c r="D18" i="2"/>
  <c r="G18" i="2" s="1"/>
  <c r="H18" i="2" s="1"/>
  <c r="J18" i="2" s="1"/>
  <c r="E18" i="2"/>
  <c r="D48" i="3"/>
  <c r="E48" i="3" s="1"/>
  <c r="H48" i="3" s="1"/>
  <c r="D43" i="3"/>
  <c r="E43" i="3" s="1"/>
  <c r="H43" i="3" s="1"/>
  <c r="I43" i="3" s="1"/>
  <c r="D35" i="3"/>
  <c r="E35" i="3" s="1"/>
  <c r="H35" i="3" s="1"/>
  <c r="I35" i="3" s="1"/>
  <c r="D27" i="3"/>
  <c r="E27" i="3" s="1"/>
  <c r="H27" i="3" s="1"/>
  <c r="I27" i="3" s="1"/>
  <c r="D19" i="3"/>
  <c r="E19" i="3" s="1"/>
  <c r="H19" i="3" s="1"/>
  <c r="I19" i="3" s="1"/>
  <c r="G46" i="2"/>
  <c r="H46" i="2" s="1"/>
  <c r="J46" i="2" s="1"/>
  <c r="D43" i="2"/>
  <c r="G43" i="2" s="1"/>
  <c r="H43" i="2" s="1"/>
  <c r="J43" i="2" s="1"/>
  <c r="F43" i="2"/>
  <c r="H36" i="3"/>
  <c r="E49" i="2"/>
  <c r="G49" i="2" s="1"/>
  <c r="H49" i="2" s="1"/>
  <c r="J49" i="2" s="1"/>
  <c r="D48" i="2"/>
  <c r="G48" i="2" s="1"/>
  <c r="H48" i="2" s="1"/>
  <c r="J48" i="2" s="1"/>
  <c r="F45" i="2"/>
  <c r="D45" i="2"/>
  <c r="G45" i="2" s="1"/>
  <c r="H45" i="2" s="1"/>
  <c r="J45" i="2" s="1"/>
  <c r="D40" i="2"/>
  <c r="G40" i="2" s="1"/>
  <c r="H40" i="2" s="1"/>
  <c r="J40" i="2" s="1"/>
  <c r="E39" i="2"/>
  <c r="F37" i="2"/>
  <c r="D37" i="2"/>
  <c r="G37" i="2" s="1"/>
  <c r="H37" i="2" s="1"/>
  <c r="J37" i="2" s="1"/>
  <c r="D32" i="2"/>
  <c r="G32" i="2" s="1"/>
  <c r="H32" i="2" s="1"/>
  <c r="J32" i="2" s="1"/>
  <c r="E31" i="2"/>
  <c r="E27" i="2"/>
  <c r="D26" i="2"/>
  <c r="G26" i="2" s="1"/>
  <c r="H26" i="2" s="1"/>
  <c r="J26" i="2" s="1"/>
  <c r="E26" i="2"/>
  <c r="E22" i="2"/>
  <c r="D21" i="2"/>
  <c r="E20" i="2"/>
  <c r="E17" i="2"/>
  <c r="D17" i="2"/>
  <c r="G17" i="2" s="1"/>
  <c r="H17" i="2" s="1"/>
  <c r="J17" i="2" s="1"/>
  <c r="E14" i="2"/>
  <c r="I13" i="1"/>
  <c r="D39" i="3"/>
  <c r="E39" i="3" s="1"/>
  <c r="H39" i="3" s="1"/>
  <c r="I39" i="3" s="1"/>
  <c r="H38" i="3"/>
  <c r="D31" i="3"/>
  <c r="E31" i="3" s="1"/>
  <c r="H31" i="3" s="1"/>
  <c r="I31" i="3" s="1"/>
  <c r="D23" i="3"/>
  <c r="E23" i="3" s="1"/>
  <c r="H23" i="3" s="1"/>
  <c r="I23" i="3" s="1"/>
  <c r="H22" i="3"/>
  <c r="D15" i="3"/>
  <c r="E15" i="3" s="1"/>
  <c r="H15" i="3" s="1"/>
  <c r="I15" i="3" s="1"/>
  <c r="E24" i="2"/>
  <c r="G24" i="2" s="1"/>
  <c r="H24" i="2" s="1"/>
  <c r="J24" i="2" s="1"/>
  <c r="I48" i="3"/>
  <c r="I38" i="3"/>
  <c r="I22" i="3"/>
  <c r="I36" i="3"/>
  <c r="I20" i="3"/>
  <c r="D46" i="3"/>
  <c r="E46" i="3" s="1"/>
  <c r="H46" i="3" s="1"/>
  <c r="I46" i="3" s="1"/>
  <c r="D44" i="3"/>
  <c r="E44" i="3" s="1"/>
  <c r="D42" i="3"/>
  <c r="E42" i="3" s="1"/>
  <c r="H42" i="3" s="1"/>
  <c r="I42" i="3" s="1"/>
  <c r="D40" i="3"/>
  <c r="E40" i="3" s="1"/>
  <c r="D38" i="3"/>
  <c r="E38" i="3" s="1"/>
  <c r="D36" i="3"/>
  <c r="E36" i="3" s="1"/>
  <c r="D34" i="3"/>
  <c r="E34" i="3" s="1"/>
  <c r="H34" i="3" s="1"/>
  <c r="I34" i="3" s="1"/>
  <c r="D32" i="3"/>
  <c r="E32" i="3" s="1"/>
  <c r="H32" i="3" s="1"/>
  <c r="I32" i="3" s="1"/>
  <c r="D30" i="3"/>
  <c r="E30" i="3" s="1"/>
  <c r="H30" i="3" s="1"/>
  <c r="I30" i="3" s="1"/>
  <c r="D28" i="3"/>
  <c r="E28" i="3" s="1"/>
  <c r="H28" i="3" s="1"/>
  <c r="I28" i="3" s="1"/>
  <c r="D26" i="3"/>
  <c r="E26" i="3" s="1"/>
  <c r="H26" i="3" s="1"/>
  <c r="I26" i="3" s="1"/>
  <c r="D24" i="3"/>
  <c r="E24" i="3" s="1"/>
  <c r="D22" i="3"/>
  <c r="E22" i="3" s="1"/>
  <c r="D20" i="3"/>
  <c r="E20" i="3" s="1"/>
  <c r="D18" i="3"/>
  <c r="E18" i="3" s="1"/>
  <c r="H18" i="3" s="1"/>
  <c r="I18" i="3" s="1"/>
  <c r="D16" i="3"/>
  <c r="E16" i="3" s="1"/>
  <c r="H16" i="3" s="1"/>
  <c r="I16" i="3" s="1"/>
  <c r="D14" i="3"/>
  <c r="E14" i="3" s="1"/>
  <c r="H14" i="3" s="1"/>
  <c r="I14" i="3" s="1"/>
  <c r="I13" i="3" l="1"/>
  <c r="G22" i="2"/>
  <c r="H22" i="2" s="1"/>
  <c r="J22" i="2" s="1"/>
  <c r="G31" i="2"/>
  <c r="H31" i="2" s="1"/>
  <c r="J31" i="2" s="1"/>
  <c r="G21" i="2"/>
  <c r="H21" i="2" s="1"/>
  <c r="J21" i="2" s="1"/>
  <c r="G33" i="2"/>
  <c r="H33" i="2" s="1"/>
  <c r="J33" i="2" s="1"/>
  <c r="G27" i="2"/>
  <c r="H27" i="2" s="1"/>
  <c r="J27" i="2" s="1"/>
  <c r="G28" i="2"/>
  <c r="H28" i="2" s="1"/>
  <c r="J28" i="2" s="1"/>
  <c r="G29" i="2"/>
  <c r="H29" i="2" s="1"/>
  <c r="J29" i="2" s="1"/>
  <c r="G20" i="2"/>
  <c r="H20" i="2" s="1"/>
  <c r="J20" i="2" s="1"/>
  <c r="J12" i="2" s="1"/>
  <c r="G39" i="2"/>
  <c r="H39" i="2" s="1"/>
  <c r="J39" i="2" s="1"/>
</calcChain>
</file>

<file path=xl/sharedStrings.xml><?xml version="1.0" encoding="utf-8"?>
<sst xmlns="http://schemas.openxmlformats.org/spreadsheetml/2006/main" count="75" uniqueCount="53">
  <si>
    <t>T, K</t>
  </si>
  <si>
    <r>
      <t>B, 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</si>
  <si>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r>
      <t xml:space="preserve">T,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</si>
  <si>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JH Dymond and EB Smith, The Virial Coefficients of Gases: A Critical Compilation, Clarendon Press, Oxford, 1969.</t>
  </si>
  <si>
    <t xml:space="preserve">A = </t>
  </si>
  <si>
    <t xml:space="preserve">B = </t>
  </si>
  <si>
    <t xml:space="preserve">C = </t>
  </si>
  <si>
    <t>Error:</t>
  </si>
  <si>
    <t>Predicted</t>
  </si>
  <si>
    <t>Ref 1</t>
  </si>
  <si>
    <t>Ref 2</t>
  </si>
  <si>
    <t>Ref 3</t>
  </si>
  <si>
    <t>Benzene</t>
  </si>
  <si>
    <r>
      <t>GA Bottomley, CG Reeves and RWhytlaw-Gray,</t>
    </r>
    <r>
      <rPr>
        <i/>
        <sz val="10"/>
        <rFont val="Arial"/>
        <family val="2"/>
      </rPr>
      <t xml:space="preserve"> Proc. R.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A246</t>
    </r>
    <r>
      <rPr>
        <sz val="10"/>
        <rFont val="Arial"/>
        <family val="2"/>
      </rPr>
      <t xml:space="preserve"> (1958) 504 and 514.</t>
    </r>
  </si>
  <si>
    <t>Ref 4</t>
  </si>
  <si>
    <r>
      <t xml:space="preserve">JD Cox et all, </t>
    </r>
    <r>
      <rPr>
        <i/>
        <sz val="10"/>
        <rFont val="Arial"/>
        <family val="2"/>
      </rPr>
      <t>Trans. Faraday.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53</t>
    </r>
    <r>
      <rPr>
        <sz val="10"/>
        <rFont val="Arial"/>
        <family val="2"/>
      </rPr>
      <t xml:space="preserve"> (1957) 1074; Trans. Faraday. Soc. 54 (1958) 1622; Trans. Faraday. Soc. 56 (1960) 484</t>
    </r>
  </si>
  <si>
    <r>
      <t xml:space="preserve">SD Zaalishvili and LE Kolysko, </t>
    </r>
    <r>
      <rPr>
        <i/>
        <sz val="10"/>
        <rFont val="Arial"/>
        <family val="2"/>
      </rPr>
      <t xml:space="preserve">Russ. J. Phys. Chem.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38</t>
    </r>
    <r>
      <rPr>
        <sz val="10"/>
        <rFont val="Arial"/>
        <family val="2"/>
      </rPr>
      <t xml:space="preserve"> (1964) 503</t>
    </r>
  </si>
  <si>
    <r>
      <t xml:space="preserve">FG Waelbroek, </t>
    </r>
    <r>
      <rPr>
        <i/>
        <sz val="10"/>
        <rFont val="Arial"/>
        <family val="2"/>
      </rPr>
      <t>J. Chem. Phys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>23</t>
    </r>
    <r>
      <rPr>
        <sz val="10"/>
        <rFont val="Arial"/>
        <family val="2"/>
      </rPr>
      <t xml:space="preserve"> (1955) 749; J. Chem. Phys. 54 (1955) 710. </t>
    </r>
  </si>
  <si>
    <t>B(T) = A - Bexp(C/T)</t>
  </si>
  <si>
    <t>w</t>
  </si>
  <si>
    <r>
      <t>T</t>
    </r>
    <r>
      <rPr>
        <vertAlign val="subscript"/>
        <sz val="10"/>
        <rFont val="Arial"/>
        <family val="2"/>
      </rPr>
      <t>c</t>
    </r>
  </si>
  <si>
    <r>
      <t>P</t>
    </r>
    <r>
      <rPr>
        <vertAlign val="subscript"/>
        <sz val="10"/>
        <rFont val="Arial"/>
        <family val="2"/>
      </rPr>
      <t>c</t>
    </r>
  </si>
  <si>
    <r>
      <t>z</t>
    </r>
    <r>
      <rPr>
        <vertAlign val="subscript"/>
        <sz val="10"/>
        <rFont val="Arial"/>
        <family val="2"/>
      </rPr>
      <t>c</t>
    </r>
  </si>
  <si>
    <t>K</t>
  </si>
  <si>
    <t>bar</t>
  </si>
  <si>
    <t>mmHg</t>
  </si>
  <si>
    <r>
      <t>B</t>
    </r>
    <r>
      <rPr>
        <vertAlign val="superscript"/>
        <sz val="10"/>
        <rFont val="Arial"/>
        <family val="2"/>
      </rPr>
      <t>(0)</t>
    </r>
  </si>
  <si>
    <r>
      <t>B</t>
    </r>
    <r>
      <rPr>
        <vertAlign val="superscript"/>
        <sz val="10"/>
        <rFont val="Arial"/>
        <family val="2"/>
      </rPr>
      <t>(1)</t>
    </r>
  </si>
  <si>
    <r>
      <t>T</t>
    </r>
    <r>
      <rPr>
        <vertAlign val="subscript"/>
        <sz val="10"/>
        <rFont val="Arial"/>
        <family val="2"/>
      </rPr>
      <t>r</t>
    </r>
  </si>
  <si>
    <r>
      <t>BP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/(RT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</si>
  <si>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t xml:space="preserve">R = </t>
  </si>
  <si>
    <t>J/mol/K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</si>
  <si>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.atm/(mol.K)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</si>
  <si>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.mmHg/(mol.K)</t>
    </r>
  </si>
  <si>
    <r>
      <t>B</t>
    </r>
    <r>
      <rPr>
        <vertAlign val="subscript"/>
        <sz val="10"/>
        <rFont val="Arial"/>
        <family val="2"/>
      </rPr>
      <t>pred</t>
    </r>
  </si>
  <si>
    <r>
      <t>B</t>
    </r>
    <r>
      <rPr>
        <vertAlign val="subscript"/>
        <sz val="10"/>
        <rFont val="Arial"/>
        <family val="2"/>
      </rPr>
      <t>exp</t>
    </r>
  </si>
  <si>
    <t>% Error</t>
  </si>
  <si>
    <t>Experimental</t>
  </si>
  <si>
    <r>
      <t>B</t>
    </r>
    <r>
      <rPr>
        <vertAlign val="superscript"/>
        <sz val="10"/>
        <rFont val="Arial"/>
        <family val="2"/>
      </rPr>
      <t>(2)</t>
    </r>
  </si>
  <si>
    <t xml:space="preserve">a = </t>
  </si>
  <si>
    <t xml:space="preserve">b = </t>
  </si>
  <si>
    <t>JM Prausnitz RN Lichtenthaler and EG de Azevedo</t>
  </si>
  <si>
    <t>Molecular Thermodyanmics of Flui-Phase Equilibria</t>
  </si>
  <si>
    <t>Prentice-HallPTR, Upper Sadle River 1999</t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</si>
  <si>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</si>
  <si>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</si>
  <si>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</si>
  <si>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t>kJ/mol</t>
  </si>
  <si>
    <t>kJ/mol.K</t>
  </si>
  <si>
    <t>lnK</t>
  </si>
  <si>
    <t>pp 181-186</t>
  </si>
  <si>
    <t>(Van der Waals)</t>
  </si>
  <si>
    <r>
      <t>ln K = -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/RT +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/R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</si>
</sst>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3" fillId="0" borderId="5" xfId="0" applyNumberFormat="1" applyFont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62733343333453"/>
          <c:y val="5.9957173447537475E-2"/>
          <c:w val="0.75000077587143288"/>
          <c:h val="0.781584582441113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Dymond!$C$13</c:f>
              <c:strCache>
                <c:ptCount val="1"/>
                <c:pt idx="0">
                  <c:v>Ref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Dymond!$C$14:$C$50</c:f>
              <c:numCache>
                <c:formatCode>General</c:formatCode>
                <c:ptCount val="37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8">
                  <c:v>-1065</c:v>
                </c:pt>
                <c:pt idx="12">
                  <c:v>-1023</c:v>
                </c:pt>
                <c:pt idx="14">
                  <c:v>-1035</c:v>
                </c:pt>
                <c:pt idx="18">
                  <c:v>-938</c:v>
                </c:pt>
                <c:pt idx="19">
                  <c:v>-939</c:v>
                </c:pt>
                <c:pt idx="25">
                  <c:v>-785</c:v>
                </c:pt>
                <c:pt idx="28">
                  <c:v>-724</c:v>
                </c:pt>
                <c:pt idx="30">
                  <c:v>-641</c:v>
                </c:pt>
                <c:pt idx="31">
                  <c:v>-638</c:v>
                </c:pt>
                <c:pt idx="33">
                  <c:v>-599</c:v>
                </c:pt>
                <c:pt idx="35">
                  <c:v>-521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Dymond!$D$13</c:f>
              <c:strCache>
                <c:ptCount val="1"/>
                <c:pt idx="0">
                  <c:v>Ref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Dymond!$D$14:$D$50</c:f>
              <c:numCache>
                <c:formatCode>General</c:formatCode>
                <c:ptCount val="37"/>
                <c:pt idx="10">
                  <c:v>-1046</c:v>
                </c:pt>
                <c:pt idx="16">
                  <c:v>-969</c:v>
                </c:pt>
                <c:pt idx="20">
                  <c:v>-900</c:v>
                </c:pt>
                <c:pt idx="22">
                  <c:v>-814</c:v>
                </c:pt>
                <c:pt idx="24">
                  <c:v>-830</c:v>
                </c:pt>
                <c:pt idx="27">
                  <c:v>-729</c:v>
                </c:pt>
                <c:pt idx="29">
                  <c:v>-668</c:v>
                </c:pt>
                <c:pt idx="32">
                  <c:v>-572</c:v>
                </c:pt>
                <c:pt idx="34">
                  <c:v>-516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Dymond!$E$13</c:f>
              <c:strCache>
                <c:ptCount val="1"/>
                <c:pt idx="0">
                  <c:v>Ref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Dymond!$E$14:$E$50</c:f>
              <c:numCache>
                <c:formatCode>General</c:formatCode>
                <c:ptCount val="37"/>
                <c:pt idx="17">
                  <c:v>-944</c:v>
                </c:pt>
                <c:pt idx="21">
                  <c:v>-891</c:v>
                </c:pt>
                <c:pt idx="23">
                  <c:v>-833</c:v>
                </c:pt>
                <c:pt idx="26">
                  <c:v>-808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Dymond!$F$13</c:f>
              <c:strCache>
                <c:ptCount val="1"/>
                <c:pt idx="0">
                  <c:v>Ref 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Dymond!$F$14:$F$49</c:f>
              <c:numCache>
                <c:formatCode>General</c:formatCode>
                <c:ptCount val="36"/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9">
                  <c:v>-1088</c:v>
                </c:pt>
                <c:pt idx="11">
                  <c:v>-1054</c:v>
                </c:pt>
                <c:pt idx="13">
                  <c:v>-1035</c:v>
                </c:pt>
                <c:pt idx="15">
                  <c:v>-1011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Dymond!$H$13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Dymond!$B$14:$B$49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Dymond!$H$14:$H$49</c:f>
              <c:numCache>
                <c:formatCode>0</c:formatCode>
                <c:ptCount val="36"/>
                <c:pt idx="0">
                  <c:v>-1553.4251427364823</c:v>
                </c:pt>
                <c:pt idx="1">
                  <c:v>-1371.8822365025565</c:v>
                </c:pt>
                <c:pt idx="2">
                  <c:v>-1369.7402154140821</c:v>
                </c:pt>
                <c:pt idx="3">
                  <c:v>-1201.9999193855576</c:v>
                </c:pt>
                <c:pt idx="4">
                  <c:v>-1125.8100927340374</c:v>
                </c:pt>
                <c:pt idx="5">
                  <c:v>-1125.4457492301674</c:v>
                </c:pt>
                <c:pt idx="6">
                  <c:v>-1107.4751363971145</c:v>
                </c:pt>
                <c:pt idx="7">
                  <c:v>-1089.9764381434163</c:v>
                </c:pt>
                <c:pt idx="8">
                  <c:v>-1068.9086510201907</c:v>
                </c:pt>
                <c:pt idx="9">
                  <c:v>-1064.5771693359547</c:v>
                </c:pt>
                <c:pt idx="10">
                  <c:v>-1047.0557924951452</c:v>
                </c:pt>
                <c:pt idx="11">
                  <c:v>-1040.149627924374</c:v>
                </c:pt>
                <c:pt idx="12">
                  <c:v>-1024.3798272990332</c:v>
                </c:pt>
                <c:pt idx="13">
                  <c:v>-1024.3798272990332</c:v>
                </c:pt>
                <c:pt idx="14">
                  <c:v>-1024.0685143870032</c:v>
                </c:pt>
                <c:pt idx="15">
                  <c:v>-986.65817970657918</c:v>
                </c:pt>
                <c:pt idx="16">
                  <c:v>-979.8261686398223</c:v>
                </c:pt>
                <c:pt idx="17">
                  <c:v>-950.93521986706446</c:v>
                </c:pt>
                <c:pt idx="18">
                  <c:v>-942.20786564672312</c:v>
                </c:pt>
                <c:pt idx="19">
                  <c:v>-938.96981690713687</c:v>
                </c:pt>
                <c:pt idx="20">
                  <c:v>-887.40231135187298</c:v>
                </c:pt>
                <c:pt idx="21">
                  <c:v>-886.18082529771573</c:v>
                </c:pt>
                <c:pt idx="22">
                  <c:v>-828.55238633540421</c:v>
                </c:pt>
                <c:pt idx="23">
                  <c:v>-828.55238633540421</c:v>
                </c:pt>
                <c:pt idx="24">
                  <c:v>-808.8241667071245</c:v>
                </c:pt>
                <c:pt idx="25">
                  <c:v>-790.53627645935626</c:v>
                </c:pt>
                <c:pt idx="26">
                  <c:v>-777.02244829578797</c:v>
                </c:pt>
                <c:pt idx="27">
                  <c:v>-731.18154681885221</c:v>
                </c:pt>
                <c:pt idx="28">
                  <c:v>-681.92902404246922</c:v>
                </c:pt>
                <c:pt idx="29">
                  <c:v>-666.64433512854578</c:v>
                </c:pt>
                <c:pt idx="30">
                  <c:v>-641.00247566633141</c:v>
                </c:pt>
                <c:pt idx="31">
                  <c:v>-639.53522397044071</c:v>
                </c:pt>
                <c:pt idx="32">
                  <c:v>-613.63652817040577</c:v>
                </c:pt>
                <c:pt idx="33">
                  <c:v>-596.23421528284291</c:v>
                </c:pt>
                <c:pt idx="34">
                  <c:v>-572.127002525835</c:v>
                </c:pt>
                <c:pt idx="35">
                  <c:v>-519.70224906586725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80480"/>
        <c:axId val="194582400"/>
      </c:scatterChart>
      <c:valAx>
        <c:axId val="194580480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T, K</a:t>
                </a:r>
              </a:p>
            </c:rich>
          </c:tx>
          <c:layout>
            <c:manualLayout>
              <c:xMode val="edge"/>
              <c:yMode val="edge"/>
              <c:x val="0.54872938121666981"/>
              <c:y val="0.91862955032119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82400"/>
        <c:crossesAt val="-2500"/>
        <c:crossBetween val="midCat"/>
        <c:majorUnit val="40"/>
        <c:minorUnit val="10"/>
      </c:valAx>
      <c:valAx>
        <c:axId val="1945824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B, cm</a:t>
                </a:r>
                <a:r>
                  <a:rPr lang="en-GB" sz="11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GB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/mol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186462595238219E-2"/>
              <c:y val="0.366167023554603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80480"/>
        <c:crosses val="autoZero"/>
        <c:crossBetween val="midCat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44138808571831"/>
          <c:y val="0.56102783725910066"/>
          <c:w val="0.19915274839523925"/>
          <c:h val="0.22698072805139186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37313432835822"/>
          <c:y val="4.5741360149287869E-2"/>
          <c:w val="0.78731343283582089"/>
          <c:h val="0.8296536358112214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Tsonopolous!$H$13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Tsonopolous!$B$14:$B$49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Tsonopolous!$H$14:$H$49</c:f>
              <c:numCache>
                <c:formatCode>0</c:formatCode>
                <c:ptCount val="36"/>
                <c:pt idx="0">
                  <c:v>-1739.6522066889174</c:v>
                </c:pt>
                <c:pt idx="1">
                  <c:v>-1502.1432713737015</c:v>
                </c:pt>
                <c:pt idx="2">
                  <c:v>-1499.4223889247671</c:v>
                </c:pt>
                <c:pt idx="3">
                  <c:v>-1291.9131295073619</c:v>
                </c:pt>
                <c:pt idx="4">
                  <c:v>-1201.0835921703672</c:v>
                </c:pt>
                <c:pt idx="5">
                  <c:v>-1200.6540270654418</c:v>
                </c:pt>
                <c:pt idx="6">
                  <c:v>-1179.5211301065167</c:v>
                </c:pt>
                <c:pt idx="7">
                  <c:v>-1159.0447142076441</c:v>
                </c:pt>
                <c:pt idx="8">
                  <c:v>-1134.5216955913831</c:v>
                </c:pt>
                <c:pt idx="9">
                  <c:v>-1129.497079278598</c:v>
                </c:pt>
                <c:pt idx="10">
                  <c:v>-1109.2307463422776</c:v>
                </c:pt>
                <c:pt idx="11">
                  <c:v>-1101.2682124484043</c:v>
                </c:pt>
                <c:pt idx="12">
                  <c:v>-1083.1393690685227</c:v>
                </c:pt>
                <c:pt idx="13">
                  <c:v>-1083.1393690685227</c:v>
                </c:pt>
                <c:pt idx="14">
                  <c:v>-1082.7822206611283</c:v>
                </c:pt>
                <c:pt idx="15">
                  <c:v>-1040.0647975783402</c:v>
                </c:pt>
                <c:pt idx="16">
                  <c:v>-1032.3054953486535</c:v>
                </c:pt>
                <c:pt idx="17">
                  <c:v>-999.62971503509584</c:v>
                </c:pt>
                <c:pt idx="18">
                  <c:v>-989.80110402504465</c:v>
                </c:pt>
                <c:pt idx="19">
                  <c:v>-986.1592771555828</c:v>
                </c:pt>
                <c:pt idx="20">
                  <c:v>-928.49446463932202</c:v>
                </c:pt>
                <c:pt idx="21">
                  <c:v>-927.13577191933791</c:v>
                </c:pt>
                <c:pt idx="22">
                  <c:v>-863.37186073264741</c:v>
                </c:pt>
                <c:pt idx="23">
                  <c:v>-863.37186073264741</c:v>
                </c:pt>
                <c:pt idx="24">
                  <c:v>-841.68069683603835</c:v>
                </c:pt>
                <c:pt idx="25">
                  <c:v>-821.6272150013973</c:v>
                </c:pt>
                <c:pt idx="26">
                  <c:v>-806.83905698769229</c:v>
                </c:pt>
                <c:pt idx="27">
                  <c:v>-756.83666312297919</c:v>
                </c:pt>
                <c:pt idx="28">
                  <c:v>-703.30971551812604</c:v>
                </c:pt>
                <c:pt idx="29">
                  <c:v>-686.72128195638857</c:v>
                </c:pt>
                <c:pt idx="30">
                  <c:v>-658.89872636017299</c:v>
                </c:pt>
                <c:pt idx="31">
                  <c:v>-657.30660433057824</c:v>
                </c:pt>
                <c:pt idx="32">
                  <c:v>-629.19442135327142</c:v>
                </c:pt>
                <c:pt idx="33">
                  <c:v>-610.28747444710405</c:v>
                </c:pt>
                <c:pt idx="34">
                  <c:v>-584.0575694712461</c:v>
                </c:pt>
                <c:pt idx="35">
                  <c:v>-526.76990566382415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Tsonopolous!$I$13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Tsonopolous!$B$14:$B$49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Tsonopolous!$I$14:$I$49</c:f>
              <c:numCache>
                <c:formatCode>0</c:formatCode>
                <c:ptCount val="36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8">
                  <c:v>-1065</c:v>
                </c:pt>
                <c:pt idx="9">
                  <c:v>-1088</c:v>
                </c:pt>
                <c:pt idx="10">
                  <c:v>-1046</c:v>
                </c:pt>
                <c:pt idx="11">
                  <c:v>-1054</c:v>
                </c:pt>
                <c:pt idx="12">
                  <c:v>-1023</c:v>
                </c:pt>
                <c:pt idx="13">
                  <c:v>-1035</c:v>
                </c:pt>
                <c:pt idx="14">
                  <c:v>-1035</c:v>
                </c:pt>
                <c:pt idx="15">
                  <c:v>-1011</c:v>
                </c:pt>
                <c:pt idx="16">
                  <c:v>-969</c:v>
                </c:pt>
                <c:pt idx="17">
                  <c:v>-944</c:v>
                </c:pt>
                <c:pt idx="18">
                  <c:v>-938</c:v>
                </c:pt>
                <c:pt idx="19">
                  <c:v>-939</c:v>
                </c:pt>
                <c:pt idx="20">
                  <c:v>-900</c:v>
                </c:pt>
                <c:pt idx="21">
                  <c:v>-891</c:v>
                </c:pt>
                <c:pt idx="22">
                  <c:v>-814</c:v>
                </c:pt>
                <c:pt idx="23">
                  <c:v>-833</c:v>
                </c:pt>
                <c:pt idx="24">
                  <c:v>-830</c:v>
                </c:pt>
                <c:pt idx="25">
                  <c:v>-785</c:v>
                </c:pt>
                <c:pt idx="26">
                  <c:v>-808</c:v>
                </c:pt>
                <c:pt idx="27">
                  <c:v>-729</c:v>
                </c:pt>
                <c:pt idx="28">
                  <c:v>-724</c:v>
                </c:pt>
                <c:pt idx="29">
                  <c:v>-668</c:v>
                </c:pt>
                <c:pt idx="30">
                  <c:v>-641</c:v>
                </c:pt>
                <c:pt idx="31">
                  <c:v>-638</c:v>
                </c:pt>
                <c:pt idx="32">
                  <c:v>-572</c:v>
                </c:pt>
                <c:pt idx="33">
                  <c:v>-599</c:v>
                </c:pt>
                <c:pt idx="34">
                  <c:v>-516</c:v>
                </c:pt>
                <c:pt idx="35">
                  <c:v>-521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7840"/>
        <c:axId val="204403840"/>
      </c:scatterChart>
      <c:valAx>
        <c:axId val="204387840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T, K</a:t>
                </a:r>
              </a:p>
            </c:rich>
          </c:tx>
          <c:layout>
            <c:manualLayout>
              <c:xMode val="edge"/>
              <c:yMode val="edge"/>
              <c:x val="0.52052238805970152"/>
              <c:y val="0.92902279751484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03840"/>
        <c:crossesAt val="-10000"/>
        <c:crossBetween val="midCat"/>
        <c:majorUnit val="30"/>
        <c:minorUnit val="10"/>
      </c:valAx>
      <c:valAx>
        <c:axId val="204403840"/>
        <c:scaling>
          <c:orientation val="minMax"/>
          <c:max val="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</a:t>
                </a:r>
              </a:p>
            </c:rich>
          </c:tx>
          <c:layout>
            <c:manualLayout>
              <c:xMode val="edge"/>
              <c:yMode val="edge"/>
              <c:x val="1.8656716417910446E-2"/>
              <c:y val="0.42271325931066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387840"/>
        <c:crosses val="autoZero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58208955223885"/>
          <c:y val="0.71766616785951665"/>
          <c:w val="0.2332089552238806"/>
          <c:h val="7.413254920746655E-2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24598505599184"/>
          <c:y val="5.8441681973928683E-2"/>
          <c:w val="0.76535251626001466"/>
          <c:h val="0.7857159465383745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Chem!$G$13</c:f>
              <c:strCache>
                <c:ptCount val="1"/>
                <c:pt idx="0">
                  <c:v>Smoothed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Chem!$B$14:$B$49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Chem!$G$14:$G$49</c:f>
              <c:numCache>
                <c:formatCode>General</c:formatCode>
                <c:ptCount val="36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8">
                  <c:v>-1065</c:v>
                </c:pt>
                <c:pt idx="9">
                  <c:v>-1088</c:v>
                </c:pt>
                <c:pt idx="10">
                  <c:v>-1046</c:v>
                </c:pt>
                <c:pt idx="11">
                  <c:v>-1054</c:v>
                </c:pt>
                <c:pt idx="12">
                  <c:v>-1023</c:v>
                </c:pt>
                <c:pt idx="13">
                  <c:v>-1035</c:v>
                </c:pt>
                <c:pt idx="14">
                  <c:v>-1035</c:v>
                </c:pt>
                <c:pt idx="15">
                  <c:v>-1011</c:v>
                </c:pt>
                <c:pt idx="16">
                  <c:v>-969</c:v>
                </c:pt>
                <c:pt idx="17">
                  <c:v>-944</c:v>
                </c:pt>
                <c:pt idx="18">
                  <c:v>-938</c:v>
                </c:pt>
                <c:pt idx="19">
                  <c:v>-939</c:v>
                </c:pt>
                <c:pt idx="20">
                  <c:v>-900</c:v>
                </c:pt>
                <c:pt idx="21">
                  <c:v>-891</c:v>
                </c:pt>
                <c:pt idx="22">
                  <c:v>-814</c:v>
                </c:pt>
                <c:pt idx="23">
                  <c:v>-833</c:v>
                </c:pt>
                <c:pt idx="24">
                  <c:v>-830</c:v>
                </c:pt>
                <c:pt idx="25">
                  <c:v>-785</c:v>
                </c:pt>
                <c:pt idx="26">
                  <c:v>-808</c:v>
                </c:pt>
                <c:pt idx="27">
                  <c:v>-729</c:v>
                </c:pt>
                <c:pt idx="28">
                  <c:v>-724</c:v>
                </c:pt>
                <c:pt idx="29">
                  <c:v>-668</c:v>
                </c:pt>
                <c:pt idx="30">
                  <c:v>-641</c:v>
                </c:pt>
                <c:pt idx="31">
                  <c:v>-638</c:v>
                </c:pt>
                <c:pt idx="32">
                  <c:v>-572</c:v>
                </c:pt>
                <c:pt idx="33">
                  <c:v>-599</c:v>
                </c:pt>
                <c:pt idx="34">
                  <c:v>-516</c:v>
                </c:pt>
                <c:pt idx="35">
                  <c:v>-521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Chem!$H$13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Chem!$B$14:$B$49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Chem!$H$14:$H$49</c:f>
              <c:numCache>
                <c:formatCode>0</c:formatCode>
                <c:ptCount val="36"/>
                <c:pt idx="0">
                  <c:v>-1589.0548049888507</c:v>
                </c:pt>
                <c:pt idx="1">
                  <c:v>-1391.5852786023852</c:v>
                </c:pt>
                <c:pt idx="2">
                  <c:v>-1389.2776583138871</c:v>
                </c:pt>
                <c:pt idx="3">
                  <c:v>-1210.2832492300859</c:v>
                </c:pt>
                <c:pt idx="4">
                  <c:v>-1130.1525257182775</c:v>
                </c:pt>
                <c:pt idx="5">
                  <c:v>-1129.7711825313295</c:v>
                </c:pt>
                <c:pt idx="6">
                  <c:v>-1110.9843557453537</c:v>
                </c:pt>
                <c:pt idx="7">
                  <c:v>-1092.7331696325896</c:v>
                </c:pt>
                <c:pt idx="8">
                  <c:v>-1070.8155238689628</c:v>
                </c:pt>
                <c:pt idx="9">
                  <c:v>-1066.3169900443095</c:v>
                </c:pt>
                <c:pt idx="10">
                  <c:v>-1048.146869465399</c:v>
                </c:pt>
                <c:pt idx="11">
                  <c:v>-1040.9969825802873</c:v>
                </c:pt>
                <c:pt idx="12">
                  <c:v>-1024.6963249339556</c:v>
                </c:pt>
                <c:pt idx="13">
                  <c:v>-1024.6963249339556</c:v>
                </c:pt>
                <c:pt idx="14">
                  <c:v>-1024.3748938485451</c:v>
                </c:pt>
                <c:pt idx="15">
                  <c:v>-985.85205095377216</c:v>
                </c:pt>
                <c:pt idx="16">
                  <c:v>-978.83928969725946</c:v>
                </c:pt>
                <c:pt idx="17">
                  <c:v>-949.26216451516336</c:v>
                </c:pt>
                <c:pt idx="18">
                  <c:v>-940.35272960791269</c:v>
                </c:pt>
                <c:pt idx="19">
                  <c:v>-937.05013575417649</c:v>
                </c:pt>
                <c:pt idx="20">
                  <c:v>-884.6788729655658</c:v>
                </c:pt>
                <c:pt idx="21">
                  <c:v>-883.44355802391931</c:v>
                </c:pt>
                <c:pt idx="22">
                  <c:v>-825.44756215549853</c:v>
                </c:pt>
                <c:pt idx="23">
                  <c:v>-825.44756215549853</c:v>
                </c:pt>
                <c:pt idx="24">
                  <c:v>-805.72558594151735</c:v>
                </c:pt>
                <c:pt idx="25">
                  <c:v>-787.50599487119382</c:v>
                </c:pt>
                <c:pt idx="26">
                  <c:v>-774.08214161058265</c:v>
                </c:pt>
                <c:pt idx="27">
                  <c:v>-728.80563335194279</c:v>
                </c:pt>
                <c:pt idx="28">
                  <c:v>-680.63065530345852</c:v>
                </c:pt>
                <c:pt idx="29">
                  <c:v>-665.78573564295289</c:v>
                </c:pt>
                <c:pt idx="30">
                  <c:v>-640.99999984032115</c:v>
                </c:pt>
                <c:pt idx="31">
                  <c:v>-639.58634724598539</c:v>
                </c:pt>
                <c:pt idx="32">
                  <c:v>-614.71893846101625</c:v>
                </c:pt>
                <c:pt idx="33">
                  <c:v>-598.1031789733496</c:v>
                </c:pt>
                <c:pt idx="34">
                  <c:v>-575.21649495818292</c:v>
                </c:pt>
                <c:pt idx="35">
                  <c:v>-526.01543010298599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6432"/>
        <c:axId val="207588352"/>
      </c:scatterChart>
      <c:valAx>
        <c:axId val="207586432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T, K</a:t>
                </a:r>
              </a:p>
            </c:rich>
          </c:tx>
          <c:layout>
            <c:manualLayout>
              <c:xMode val="edge"/>
              <c:yMode val="edge"/>
              <c:x val="0.52850990377840545"/>
              <c:y val="0.919915364404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88352"/>
        <c:crossesAt val="-6000"/>
        <c:crossBetween val="midCat"/>
        <c:majorUnit val="40"/>
        <c:minorUnit val="10"/>
      </c:valAx>
      <c:valAx>
        <c:axId val="207588352"/>
        <c:scaling>
          <c:orientation val="minMax"/>
          <c:max val="-30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</a:t>
                </a:r>
              </a:p>
            </c:rich>
          </c:tx>
          <c:layout>
            <c:manualLayout>
              <c:xMode val="edge"/>
              <c:yMode val="edge"/>
              <c:x val="3.5087794441719868E-2"/>
              <c:y val="0.426407827735701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86432"/>
        <c:crossesAt val="200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142875</xdr:rowOff>
    </xdr:from>
    <xdr:to>
      <xdr:col>16</xdr:col>
      <xdr:colOff>304800</xdr:colOff>
      <xdr:row>38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0.2685</cdr:x>
      <cdr:y>0.14109</cdr:y>
    </cdr:from>
    <cdr:to>
      <cdr:x>0.51468</cdr:x>
      <cdr:y>0.22354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2855" y="632096"/>
          <a:ext cx="1109134" cy="367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Benzene</a:t>
          </a:r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6</xdr:row>
      <xdr:rowOff>85725</xdr:rowOff>
    </xdr:from>
    <xdr:to>
      <xdr:col>18</xdr:col>
      <xdr:colOff>485775</xdr:colOff>
      <xdr:row>43</xdr:row>
      <xdr:rowOff>95250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133350</xdr:rowOff>
    </xdr:from>
    <xdr:to>
      <xdr:col>16</xdr:col>
      <xdr:colOff>457200</xdr:colOff>
      <xdr:row>33</xdr:row>
      <xdr:rowOff>142875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A%20A%20UP/Courses/CTD%20311%20Thermodynamics/CTD%20311%20Archive/Assignment%202005/B%20data/Methylacet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Pred"/>
      <sheetName val="Chem"/>
    </sheetNames>
    <sheetDataSet>
      <sheetData sheetId="0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12">
          <cell r="A12" t="str">
            <v>T, oC</v>
          </cell>
          <cell r="B12" t="str">
            <v>T, K</v>
          </cell>
          <cell r="C12" t="str">
            <v>B, cm3/mol</v>
          </cell>
          <cell r="H12" t="str">
            <v>B, cm3/mol</v>
          </cell>
          <cell r="I12" t="str">
            <v>Error:</v>
          </cell>
        </row>
        <row r="13">
          <cell r="G13" t="str">
            <v>Smoothed</v>
          </cell>
          <cell r="H13" t="str">
            <v>Predicted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75" workbookViewId="0">
      <selection activeCell="P9" sqref="P9"/>
    </sheetView>
  </sheetViews>
  <sheetFormatPr defaultRowHeight="12.75" x14ac:dyDescent="0.2"/>
  <sheetData>
    <row r="1" spans="1:9" ht="15.75" x14ac:dyDescent="0.25">
      <c r="B1" s="3" t="s">
        <v>12</v>
      </c>
    </row>
    <row r="2" spans="1:9" x14ac:dyDescent="0.2">
      <c r="B2" t="s">
        <v>3</v>
      </c>
    </row>
    <row r="3" spans="1:9" x14ac:dyDescent="0.2">
      <c r="A3">
        <v>1</v>
      </c>
      <c r="B3" t="s">
        <v>13</v>
      </c>
    </row>
    <row r="4" spans="1:9" x14ac:dyDescent="0.2">
      <c r="A4">
        <v>2</v>
      </c>
      <c r="B4" t="s">
        <v>15</v>
      </c>
    </row>
    <row r="5" spans="1:9" x14ac:dyDescent="0.2">
      <c r="A5">
        <v>3</v>
      </c>
      <c r="B5" t="s">
        <v>16</v>
      </c>
    </row>
    <row r="6" spans="1:9" x14ac:dyDescent="0.2">
      <c r="A6">
        <v>4</v>
      </c>
      <c r="B6" t="s">
        <v>17</v>
      </c>
    </row>
    <row r="9" spans="1:9" ht="15.75" x14ac:dyDescent="0.25">
      <c r="B9" s="3" t="s">
        <v>18</v>
      </c>
      <c r="G9" s="1" t="s">
        <v>4</v>
      </c>
      <c r="H9" s="4">
        <v>106.6859534682274</v>
      </c>
    </row>
    <row r="10" spans="1:9" x14ac:dyDescent="0.2">
      <c r="G10" s="1" t="s">
        <v>5</v>
      </c>
      <c r="H10" s="6">
        <v>106.59576394767826</v>
      </c>
    </row>
    <row r="11" spans="1:9" x14ac:dyDescent="0.2">
      <c r="G11" s="1" t="s">
        <v>6</v>
      </c>
      <c r="H11" s="4">
        <v>810.49994847523965</v>
      </c>
    </row>
    <row r="12" spans="1:9" ht="14.25" x14ac:dyDescent="0.2">
      <c r="A12" s="9" t="s">
        <v>2</v>
      </c>
      <c r="B12" s="10" t="s">
        <v>0</v>
      </c>
      <c r="C12" s="10" t="s">
        <v>1</v>
      </c>
      <c r="D12" s="10" t="s">
        <v>1</v>
      </c>
      <c r="E12" s="10" t="s">
        <v>1</v>
      </c>
      <c r="F12" s="10" t="s">
        <v>1</v>
      </c>
      <c r="G12" s="10"/>
      <c r="H12" s="10" t="s">
        <v>1</v>
      </c>
      <c r="I12" s="11" t="s">
        <v>7</v>
      </c>
    </row>
    <row r="13" spans="1:9" x14ac:dyDescent="0.2">
      <c r="A13" s="12"/>
      <c r="B13" s="13"/>
      <c r="C13" s="21" t="s">
        <v>9</v>
      </c>
      <c r="D13" s="21" t="s">
        <v>10</v>
      </c>
      <c r="E13" s="21" t="s">
        <v>11</v>
      </c>
      <c r="F13" s="21" t="s">
        <v>14</v>
      </c>
      <c r="G13" s="13"/>
      <c r="H13" s="13" t="s">
        <v>8</v>
      </c>
      <c r="I13" s="14">
        <f>AVERAGE(I14:I49)</f>
        <v>1.5232139645650182</v>
      </c>
    </row>
    <row r="14" spans="1:9" x14ac:dyDescent="0.2">
      <c r="A14" s="12">
        <f t="shared" ref="A14:A49" si="0">B14-273.15</f>
        <v>22.050000000000011</v>
      </c>
      <c r="B14" s="13">
        <v>295.2</v>
      </c>
      <c r="C14" s="13">
        <v>-1528</v>
      </c>
      <c r="D14" s="13"/>
      <c r="E14" s="13"/>
      <c r="F14" s="13"/>
      <c r="G14" s="13">
        <f>C14</f>
        <v>-1528</v>
      </c>
      <c r="H14" s="15">
        <f>$H$9-$H$10*EXP($H$11/B14)</f>
        <v>-1553.4251427364823</v>
      </c>
      <c r="I14" s="16">
        <f>100*ABS((G14-H14)/G14)</f>
        <v>1.6639491319687343</v>
      </c>
    </row>
    <row r="15" spans="1:9" x14ac:dyDescent="0.2">
      <c r="A15" s="12">
        <f t="shared" si="0"/>
        <v>35.050000000000011</v>
      </c>
      <c r="B15" s="13">
        <v>308.2</v>
      </c>
      <c r="C15" s="13">
        <v>-1352</v>
      </c>
      <c r="D15" s="13"/>
      <c r="E15" s="13"/>
      <c r="F15" s="13"/>
      <c r="G15" s="13">
        <f>C15</f>
        <v>-1352</v>
      </c>
      <c r="H15" s="15">
        <f t="shared" ref="H15:H45" si="1">$H$9-$H$10*EXP($H$11/B15)</f>
        <v>-1371.8822365025565</v>
      </c>
      <c r="I15" s="16">
        <f t="shared" ref="I15:I49" si="2">100*ABS((G15-H15)/G15)</f>
        <v>1.4705796229701518</v>
      </c>
    </row>
    <row r="16" spans="1:9" x14ac:dyDescent="0.2">
      <c r="A16" s="12">
        <f t="shared" si="0"/>
        <v>35.220000000000027</v>
      </c>
      <c r="B16" s="22">
        <v>308.37</v>
      </c>
      <c r="C16" s="22">
        <v>-1394</v>
      </c>
      <c r="D16" s="13"/>
      <c r="E16" s="13"/>
      <c r="F16" s="13"/>
      <c r="G16" s="13">
        <f>C16</f>
        <v>-1394</v>
      </c>
      <c r="H16" s="15">
        <f t="shared" si="1"/>
        <v>-1369.7402154140821</v>
      </c>
      <c r="I16" s="16">
        <f t="shared" si="2"/>
        <v>1.7403001855034392</v>
      </c>
    </row>
    <row r="17" spans="1:9" x14ac:dyDescent="0.2">
      <c r="A17" s="12">
        <f t="shared" si="0"/>
        <v>50.050000000000011</v>
      </c>
      <c r="B17" s="13">
        <v>323.2</v>
      </c>
      <c r="C17" s="13">
        <v>-1202</v>
      </c>
      <c r="D17" s="13"/>
      <c r="E17" s="13"/>
      <c r="F17" s="13"/>
      <c r="G17" s="13">
        <f>C17</f>
        <v>-1202</v>
      </c>
      <c r="H17" s="15">
        <f t="shared" si="1"/>
        <v>-1201.9999193855576</v>
      </c>
      <c r="I17" s="16">
        <f t="shared" si="2"/>
        <v>6.7066923766832278E-6</v>
      </c>
    </row>
    <row r="18" spans="1:9" x14ac:dyDescent="0.2">
      <c r="A18" s="12">
        <f t="shared" si="0"/>
        <v>57.970000000000027</v>
      </c>
      <c r="B18" s="22">
        <v>331.12</v>
      </c>
      <c r="C18" s="22">
        <v>-1123</v>
      </c>
      <c r="D18" s="13"/>
      <c r="E18" s="13"/>
      <c r="F18" s="13"/>
      <c r="G18" s="13">
        <f>C18</f>
        <v>-1123</v>
      </c>
      <c r="H18" s="15">
        <f t="shared" si="1"/>
        <v>-1125.8100927340374</v>
      </c>
      <c r="I18" s="16">
        <f t="shared" si="2"/>
        <v>0.25023087569344837</v>
      </c>
    </row>
    <row r="19" spans="1:9" x14ac:dyDescent="0.2">
      <c r="A19" s="12">
        <f t="shared" si="0"/>
        <v>58.010000000000048</v>
      </c>
      <c r="B19" s="22">
        <v>331.16</v>
      </c>
      <c r="C19" s="13"/>
      <c r="D19" s="13"/>
      <c r="E19" s="13"/>
      <c r="F19" s="13">
        <v>-1125</v>
      </c>
      <c r="G19" s="13">
        <f>F19</f>
        <v>-1125</v>
      </c>
      <c r="H19" s="15">
        <f t="shared" si="1"/>
        <v>-1125.4457492301674</v>
      </c>
      <c r="I19" s="16">
        <f t="shared" si="2"/>
        <v>3.9622153792657225E-2</v>
      </c>
    </row>
    <row r="20" spans="1:9" x14ac:dyDescent="0.2">
      <c r="A20" s="12">
        <f t="shared" si="0"/>
        <v>60.010000000000048</v>
      </c>
      <c r="B20" s="22">
        <v>333.16</v>
      </c>
      <c r="C20" s="13"/>
      <c r="D20" s="13"/>
      <c r="E20" s="13"/>
      <c r="F20" s="13">
        <v>-1117</v>
      </c>
      <c r="G20" s="13">
        <f>F20</f>
        <v>-1117</v>
      </c>
      <c r="H20" s="15">
        <f t="shared" si="1"/>
        <v>-1107.4751363971145</v>
      </c>
      <c r="I20" s="16">
        <f t="shared" si="2"/>
        <v>0.8527183171786471</v>
      </c>
    </row>
    <row r="21" spans="1:9" x14ac:dyDescent="0.2">
      <c r="A21" s="12">
        <f t="shared" si="0"/>
        <v>62.010000000000048</v>
      </c>
      <c r="B21" s="22">
        <v>335.16</v>
      </c>
      <c r="C21" s="13"/>
      <c r="D21" s="13"/>
      <c r="E21" s="13"/>
      <c r="F21" s="13">
        <v>-1103</v>
      </c>
      <c r="G21" s="13">
        <f>F21</f>
        <v>-1103</v>
      </c>
      <c r="H21" s="15">
        <f t="shared" si="1"/>
        <v>-1089.9764381434163</v>
      </c>
      <c r="I21" s="16">
        <f t="shared" si="2"/>
        <v>1.1807399688652478</v>
      </c>
    </row>
    <row r="22" spans="1:9" x14ac:dyDescent="0.2">
      <c r="A22" s="12">
        <f t="shared" si="0"/>
        <v>64.490000000000009</v>
      </c>
      <c r="B22" s="22">
        <v>337.64</v>
      </c>
      <c r="C22" s="22">
        <v>-1065</v>
      </c>
      <c r="D22" s="13"/>
      <c r="E22" s="13"/>
      <c r="F22" s="13"/>
      <c r="G22" s="13">
        <f>C22</f>
        <v>-1065</v>
      </c>
      <c r="H22" s="15">
        <f t="shared" si="1"/>
        <v>-1068.9086510201907</v>
      </c>
      <c r="I22" s="16">
        <f t="shared" si="2"/>
        <v>0.36700948546391982</v>
      </c>
    </row>
    <row r="23" spans="1:9" x14ac:dyDescent="0.2">
      <c r="A23" s="12">
        <f t="shared" si="0"/>
        <v>65.010000000000048</v>
      </c>
      <c r="B23" s="22">
        <v>338.16</v>
      </c>
      <c r="C23" s="13"/>
      <c r="D23" s="13"/>
      <c r="E23" s="13"/>
      <c r="F23" s="22">
        <v>-1088</v>
      </c>
      <c r="G23" s="13">
        <f>F23</f>
        <v>-1088</v>
      </c>
      <c r="H23" s="15">
        <f t="shared" si="1"/>
        <v>-1064.5771693359547</v>
      </c>
      <c r="I23" s="16">
        <f t="shared" si="2"/>
        <v>2.1528337007394529</v>
      </c>
    </row>
    <row r="24" spans="1:9" x14ac:dyDescent="0.2">
      <c r="A24" s="12">
        <f t="shared" si="0"/>
        <v>67.150000000000034</v>
      </c>
      <c r="B24" s="13">
        <v>340.3</v>
      </c>
      <c r="C24" s="13"/>
      <c r="D24" s="13">
        <v>-1046</v>
      </c>
      <c r="E24" s="13"/>
      <c r="F24" s="13"/>
      <c r="G24" s="13">
        <f>D24</f>
        <v>-1046</v>
      </c>
      <c r="H24" s="15">
        <f t="shared" si="1"/>
        <v>-1047.0557924951452</v>
      </c>
      <c r="I24" s="16">
        <f t="shared" si="2"/>
        <v>0.10093618500431832</v>
      </c>
    </row>
    <row r="25" spans="1:9" x14ac:dyDescent="0.2">
      <c r="A25" s="12">
        <f t="shared" si="0"/>
        <v>68.010000000000048</v>
      </c>
      <c r="B25" s="22">
        <v>341.16</v>
      </c>
      <c r="C25" s="13"/>
      <c r="D25" s="13"/>
      <c r="E25" s="13"/>
      <c r="F25" s="22">
        <v>-1054</v>
      </c>
      <c r="G25" s="13">
        <f>F25</f>
        <v>-1054</v>
      </c>
      <c r="H25" s="15">
        <f t="shared" si="1"/>
        <v>-1040.149627924374</v>
      </c>
      <c r="I25" s="16">
        <f t="shared" si="2"/>
        <v>1.3140770470233354</v>
      </c>
    </row>
    <row r="26" spans="1:9" x14ac:dyDescent="0.2">
      <c r="A26" s="12">
        <f t="shared" si="0"/>
        <v>70.010000000000048</v>
      </c>
      <c r="B26" s="22">
        <v>343.16</v>
      </c>
      <c r="C26" s="22">
        <v>-1023</v>
      </c>
      <c r="D26" s="13"/>
      <c r="E26" s="13"/>
      <c r="F26" s="13"/>
      <c r="G26" s="13">
        <f>C26</f>
        <v>-1023</v>
      </c>
      <c r="H26" s="15">
        <f t="shared" si="1"/>
        <v>-1024.3798272990332</v>
      </c>
      <c r="I26" s="16">
        <f t="shared" si="2"/>
        <v>0.13488047888887539</v>
      </c>
    </row>
    <row r="27" spans="1:9" x14ac:dyDescent="0.2">
      <c r="A27" s="12">
        <f t="shared" si="0"/>
        <v>70.010000000000048</v>
      </c>
      <c r="B27" s="22">
        <v>343.16</v>
      </c>
      <c r="C27" s="13"/>
      <c r="D27" s="13"/>
      <c r="E27" s="13"/>
      <c r="F27" s="22">
        <v>-1035</v>
      </c>
      <c r="G27" s="13">
        <f>F27</f>
        <v>-1035</v>
      </c>
      <c r="H27" s="15">
        <f t="shared" si="1"/>
        <v>-1024.3798272990332</v>
      </c>
      <c r="I27" s="16">
        <f t="shared" si="2"/>
        <v>1.0261036426054884</v>
      </c>
    </row>
    <row r="28" spans="1:9" x14ac:dyDescent="0.2">
      <c r="A28" s="12">
        <f t="shared" si="0"/>
        <v>70.050000000000011</v>
      </c>
      <c r="B28" s="22">
        <v>343.2</v>
      </c>
      <c r="C28" s="22">
        <v>-1035</v>
      </c>
      <c r="D28" s="13"/>
      <c r="E28" s="13"/>
      <c r="F28" s="13"/>
      <c r="G28" s="13">
        <f>C28</f>
        <v>-1035</v>
      </c>
      <c r="H28" s="15">
        <f t="shared" si="1"/>
        <v>-1024.0685143870032</v>
      </c>
      <c r="I28" s="16">
        <f t="shared" si="2"/>
        <v>1.0561821848306054</v>
      </c>
    </row>
    <row r="29" spans="1:9" x14ac:dyDescent="0.2">
      <c r="A29" s="12">
        <f t="shared" si="0"/>
        <v>75.010000000000048</v>
      </c>
      <c r="B29" s="22">
        <v>348.16</v>
      </c>
      <c r="C29" s="13"/>
      <c r="D29" s="13"/>
      <c r="E29" s="13"/>
      <c r="F29" s="22">
        <v>-1011</v>
      </c>
      <c r="G29" s="13">
        <f>F29</f>
        <v>-1011</v>
      </c>
      <c r="H29" s="15">
        <f t="shared" si="1"/>
        <v>-986.65817970657918</v>
      </c>
      <c r="I29" s="16">
        <f t="shared" si="2"/>
        <v>2.4076973583996861</v>
      </c>
    </row>
    <row r="30" spans="1:9" x14ac:dyDescent="0.2">
      <c r="A30" s="12">
        <f t="shared" si="0"/>
        <v>75.950000000000045</v>
      </c>
      <c r="B30" s="13">
        <v>349.1</v>
      </c>
      <c r="C30" s="13"/>
      <c r="D30" s="13">
        <v>-969</v>
      </c>
      <c r="E30" s="13"/>
      <c r="F30" s="13"/>
      <c r="G30" s="13">
        <f>D30</f>
        <v>-969</v>
      </c>
      <c r="H30" s="15">
        <f t="shared" si="1"/>
        <v>-979.8261686398223</v>
      </c>
      <c r="I30" s="16">
        <f t="shared" si="2"/>
        <v>1.1172516656163363</v>
      </c>
    </row>
    <row r="31" spans="1:9" x14ac:dyDescent="0.2">
      <c r="A31" s="12">
        <f t="shared" si="0"/>
        <v>80.050000000000011</v>
      </c>
      <c r="B31" s="22">
        <v>353.2</v>
      </c>
      <c r="C31" s="13"/>
      <c r="D31" s="22"/>
      <c r="E31" s="22">
        <v>-944</v>
      </c>
      <c r="F31" s="13"/>
      <c r="G31" s="13">
        <f>E31</f>
        <v>-944</v>
      </c>
      <c r="H31" s="15">
        <f t="shared" si="1"/>
        <v>-950.93521986706446</v>
      </c>
      <c r="I31" s="16">
        <f t="shared" si="2"/>
        <v>0.73466312151106572</v>
      </c>
    </row>
    <row r="32" spans="1:9" x14ac:dyDescent="0.2">
      <c r="A32" s="12">
        <f t="shared" si="0"/>
        <v>81.330000000000041</v>
      </c>
      <c r="B32" s="22">
        <v>354.48</v>
      </c>
      <c r="C32" s="22">
        <v>-938</v>
      </c>
      <c r="D32" s="13"/>
      <c r="E32" s="13"/>
      <c r="F32" s="13"/>
      <c r="G32" s="13">
        <f>C32</f>
        <v>-938</v>
      </c>
      <c r="H32" s="15">
        <f t="shared" si="1"/>
        <v>-942.20786564672312</v>
      </c>
      <c r="I32" s="16">
        <f t="shared" si="2"/>
        <v>0.44859974911760359</v>
      </c>
    </row>
    <row r="33" spans="1:9" x14ac:dyDescent="0.2">
      <c r="A33" s="12">
        <f t="shared" si="0"/>
        <v>81.81</v>
      </c>
      <c r="B33" s="22">
        <v>354.96</v>
      </c>
      <c r="C33" s="22">
        <v>-939</v>
      </c>
      <c r="D33" s="13"/>
      <c r="E33" s="13"/>
      <c r="F33" s="13"/>
      <c r="G33" s="13">
        <f>C33</f>
        <v>-939</v>
      </c>
      <c r="H33" s="15">
        <f t="shared" si="1"/>
        <v>-938.96981690713687</v>
      </c>
      <c r="I33" s="16">
        <f t="shared" si="2"/>
        <v>3.2143868863819115E-3</v>
      </c>
    </row>
    <row r="34" spans="1:9" x14ac:dyDescent="0.2">
      <c r="A34" s="12">
        <f t="shared" si="0"/>
        <v>89.850000000000023</v>
      </c>
      <c r="B34" s="13">
        <v>363</v>
      </c>
      <c r="C34" s="13"/>
      <c r="D34" s="13">
        <v>-900</v>
      </c>
      <c r="E34" s="13"/>
      <c r="F34" s="13"/>
      <c r="G34" s="13">
        <f>D34</f>
        <v>-900</v>
      </c>
      <c r="H34" s="15">
        <f t="shared" si="1"/>
        <v>-887.40231135187298</v>
      </c>
      <c r="I34" s="16">
        <f t="shared" si="2"/>
        <v>1.3997431831252243</v>
      </c>
    </row>
    <row r="35" spans="1:9" x14ac:dyDescent="0.2">
      <c r="A35" s="12">
        <f t="shared" si="0"/>
        <v>90.050000000000011</v>
      </c>
      <c r="B35" s="22">
        <v>363.2</v>
      </c>
      <c r="C35" s="13"/>
      <c r="D35" s="22"/>
      <c r="E35" s="22">
        <v>-891</v>
      </c>
      <c r="F35" s="13"/>
      <c r="G35" s="13">
        <f>E35</f>
        <v>-891</v>
      </c>
      <c r="H35" s="15">
        <f t="shared" si="1"/>
        <v>-886.18082529771573</v>
      </c>
      <c r="I35" s="16">
        <f t="shared" si="2"/>
        <v>0.5408725816256198</v>
      </c>
    </row>
    <row r="36" spans="1:9" x14ac:dyDescent="0.2">
      <c r="A36" s="12">
        <f t="shared" si="0"/>
        <v>100.05000000000001</v>
      </c>
      <c r="B36" s="13">
        <v>373.2</v>
      </c>
      <c r="C36" s="13"/>
      <c r="D36" s="13">
        <v>-814</v>
      </c>
      <c r="E36" s="13"/>
      <c r="F36" s="13"/>
      <c r="G36" s="13">
        <f>D36</f>
        <v>-814</v>
      </c>
      <c r="H36" s="15">
        <f t="shared" si="1"/>
        <v>-828.55238633540421</v>
      </c>
      <c r="I36" s="16">
        <f t="shared" si="2"/>
        <v>1.787762449066856</v>
      </c>
    </row>
    <row r="37" spans="1:9" x14ac:dyDescent="0.2">
      <c r="A37" s="12">
        <f t="shared" si="0"/>
        <v>100.05000000000001</v>
      </c>
      <c r="B37" s="22">
        <v>373.2</v>
      </c>
      <c r="C37" s="13"/>
      <c r="D37" s="22"/>
      <c r="E37" s="22">
        <v>-833</v>
      </c>
      <c r="F37" s="13"/>
      <c r="G37" s="13">
        <f>E37</f>
        <v>-833</v>
      </c>
      <c r="H37" s="15">
        <f t="shared" si="1"/>
        <v>-828.55238633540421</v>
      </c>
      <c r="I37" s="16">
        <f t="shared" si="2"/>
        <v>0.53392721063574944</v>
      </c>
    </row>
    <row r="38" spans="1:9" x14ac:dyDescent="0.2">
      <c r="A38" s="12">
        <f t="shared" si="0"/>
        <v>103.75</v>
      </c>
      <c r="B38" s="13">
        <v>376.9</v>
      </c>
      <c r="C38" s="13"/>
      <c r="D38" s="22">
        <v>-830</v>
      </c>
      <c r="E38" s="13"/>
      <c r="F38" s="13"/>
      <c r="G38" s="13">
        <f>D38</f>
        <v>-830</v>
      </c>
      <c r="H38" s="15">
        <f t="shared" si="1"/>
        <v>-808.8241667071245</v>
      </c>
      <c r="I38" s="16">
        <f t="shared" si="2"/>
        <v>2.5513052160090961</v>
      </c>
    </row>
    <row r="39" spans="1:9" x14ac:dyDescent="0.2">
      <c r="A39" s="12">
        <f t="shared" si="0"/>
        <v>107.32000000000005</v>
      </c>
      <c r="B39" s="22">
        <v>380.47</v>
      </c>
      <c r="C39" s="22">
        <v>-785</v>
      </c>
      <c r="D39" s="13"/>
      <c r="E39" s="13"/>
      <c r="F39" s="13"/>
      <c r="G39" s="13">
        <f>C39</f>
        <v>-785</v>
      </c>
      <c r="H39" s="15">
        <f t="shared" si="1"/>
        <v>-790.53627645935626</v>
      </c>
      <c r="I39" s="16">
        <f t="shared" si="2"/>
        <v>0.70525814768869544</v>
      </c>
    </row>
    <row r="40" spans="1:9" x14ac:dyDescent="0.2">
      <c r="A40" s="12">
        <f t="shared" si="0"/>
        <v>110.05000000000001</v>
      </c>
      <c r="B40" s="22">
        <v>383.2</v>
      </c>
      <c r="C40" s="13"/>
      <c r="D40" s="22"/>
      <c r="E40" s="22">
        <v>-808</v>
      </c>
      <c r="F40" s="13"/>
      <c r="G40" s="13">
        <f>E40</f>
        <v>-808</v>
      </c>
      <c r="H40" s="15">
        <f t="shared" si="1"/>
        <v>-777.02244829578797</v>
      </c>
      <c r="I40" s="16">
        <f t="shared" si="2"/>
        <v>3.8338554089371328</v>
      </c>
    </row>
    <row r="41" spans="1:9" x14ac:dyDescent="0.2">
      <c r="A41" s="12">
        <f t="shared" si="0"/>
        <v>119.95000000000005</v>
      </c>
      <c r="B41" s="13">
        <v>393.1</v>
      </c>
      <c r="C41" s="13"/>
      <c r="D41" s="13">
        <v>-729</v>
      </c>
      <c r="E41" s="13"/>
      <c r="F41" s="13"/>
      <c r="G41" s="13">
        <f>D41</f>
        <v>-729</v>
      </c>
      <c r="H41" s="15">
        <f t="shared" si="1"/>
        <v>-731.18154681885221</v>
      </c>
      <c r="I41" s="16">
        <f t="shared" si="2"/>
        <v>0.29925196417725813</v>
      </c>
    </row>
    <row r="42" spans="1:9" x14ac:dyDescent="0.2">
      <c r="A42" s="12">
        <f t="shared" si="0"/>
        <v>131.85000000000002</v>
      </c>
      <c r="B42" s="22">
        <v>405</v>
      </c>
      <c r="C42" s="22">
        <v>-724</v>
      </c>
      <c r="D42" s="13"/>
      <c r="E42" s="13"/>
      <c r="F42" s="13"/>
      <c r="G42" s="13">
        <f>C42</f>
        <v>-724</v>
      </c>
      <c r="H42" s="15">
        <f t="shared" si="1"/>
        <v>-681.92902404246922</v>
      </c>
      <c r="I42" s="16">
        <f t="shared" si="2"/>
        <v>5.8109082814269026</v>
      </c>
    </row>
    <row r="43" spans="1:9" x14ac:dyDescent="0.2">
      <c r="A43" s="12">
        <f t="shared" si="0"/>
        <v>135.85000000000002</v>
      </c>
      <c r="B43" s="13">
        <v>409</v>
      </c>
      <c r="C43" s="13"/>
      <c r="D43" s="22">
        <v>-668</v>
      </c>
      <c r="E43" s="13"/>
      <c r="F43" s="13"/>
      <c r="G43" s="13">
        <f>D43</f>
        <v>-668</v>
      </c>
      <c r="H43" s="15">
        <f t="shared" si="1"/>
        <v>-666.64433512854578</v>
      </c>
      <c r="I43" s="16">
        <f t="shared" si="2"/>
        <v>0.20294384303206936</v>
      </c>
    </row>
    <row r="44" spans="1:9" x14ac:dyDescent="0.2">
      <c r="A44" s="12">
        <f t="shared" si="0"/>
        <v>142.93</v>
      </c>
      <c r="B44" s="22">
        <v>416.08</v>
      </c>
      <c r="C44" s="22">
        <v>-641</v>
      </c>
      <c r="D44" s="13"/>
      <c r="E44" s="13"/>
      <c r="F44" s="13"/>
      <c r="G44" s="13">
        <f>C44</f>
        <v>-641</v>
      </c>
      <c r="H44" s="15">
        <f t="shared" si="1"/>
        <v>-641.00247566633141</v>
      </c>
      <c r="I44" s="16">
        <f t="shared" si="2"/>
        <v>3.8621939647527317E-4</v>
      </c>
    </row>
    <row r="45" spans="1:9" x14ac:dyDescent="0.2">
      <c r="A45" s="12">
        <f t="shared" si="0"/>
        <v>143.35000000000002</v>
      </c>
      <c r="B45" s="22">
        <v>416.5</v>
      </c>
      <c r="C45" s="22">
        <v>-638</v>
      </c>
      <c r="D45" s="13"/>
      <c r="E45" s="13"/>
      <c r="F45" s="13"/>
      <c r="G45" s="13">
        <f>C45</f>
        <v>-638</v>
      </c>
      <c r="H45" s="15">
        <f t="shared" si="1"/>
        <v>-639.53522397044071</v>
      </c>
      <c r="I45" s="16">
        <f t="shared" si="2"/>
        <v>0.2406307163700174</v>
      </c>
    </row>
    <row r="46" spans="1:9" x14ac:dyDescent="0.2">
      <c r="A46" s="12">
        <f t="shared" si="0"/>
        <v>151.05000000000001</v>
      </c>
      <c r="B46" s="13">
        <v>424.2</v>
      </c>
      <c r="C46" s="13"/>
      <c r="D46" s="22">
        <v>-572</v>
      </c>
      <c r="E46" s="13"/>
      <c r="F46" s="13"/>
      <c r="G46" s="13">
        <f>D46</f>
        <v>-572</v>
      </c>
      <c r="H46" s="15">
        <f>$H$9-$H$10*EXP($H$11/B46)</f>
        <v>-613.63652817040577</v>
      </c>
      <c r="I46" s="16">
        <f t="shared" si="2"/>
        <v>7.2791133165045059</v>
      </c>
    </row>
    <row r="47" spans="1:9" x14ac:dyDescent="0.2">
      <c r="A47" s="12">
        <f t="shared" si="0"/>
        <v>156.55000000000001</v>
      </c>
      <c r="B47" s="13">
        <v>429.7</v>
      </c>
      <c r="C47" s="13">
        <v>-599</v>
      </c>
      <c r="D47" s="13"/>
      <c r="E47" s="13"/>
      <c r="F47" s="13"/>
      <c r="G47" s="13">
        <f>C47</f>
        <v>-599</v>
      </c>
      <c r="H47" s="15">
        <f>$H$9-$H$10*EXP($H$11/B47)</f>
        <v>-596.23421528284291</v>
      </c>
      <c r="I47" s="16">
        <f t="shared" si="2"/>
        <v>0.46173367565226869</v>
      </c>
    </row>
    <row r="48" spans="1:9" x14ac:dyDescent="0.2">
      <c r="A48" s="12">
        <f t="shared" si="0"/>
        <v>164.65000000000003</v>
      </c>
      <c r="B48" s="13">
        <v>437.8</v>
      </c>
      <c r="C48" s="13"/>
      <c r="D48" s="22">
        <v>-516</v>
      </c>
      <c r="E48" s="13"/>
      <c r="F48" s="13"/>
      <c r="G48" s="13">
        <f>D48</f>
        <v>-516</v>
      </c>
      <c r="H48" s="15">
        <f>$H$9-$H$10*EXP($H$11/B48)</f>
        <v>-572.127002525835</v>
      </c>
      <c r="I48" s="16">
        <f t="shared" si="2"/>
        <v>10.877326070898254</v>
      </c>
    </row>
    <row r="49" spans="1:9" x14ac:dyDescent="0.2">
      <c r="A49" s="12">
        <f t="shared" si="0"/>
        <v>184.52000000000004</v>
      </c>
      <c r="B49" s="13">
        <v>457.67</v>
      </c>
      <c r="C49" s="22">
        <v>-521</v>
      </c>
      <c r="D49" s="13"/>
      <c r="E49" s="13"/>
      <c r="F49" s="13"/>
      <c r="G49" s="13">
        <f>C49</f>
        <v>-521</v>
      </c>
      <c r="H49" s="15">
        <f>$H$9-$H$10*EXP($H$11/B49)</f>
        <v>-519.70224906586725</v>
      </c>
      <c r="I49" s="16">
        <f t="shared" si="2"/>
        <v>0.24908847104275442</v>
      </c>
    </row>
    <row r="50" spans="1:9" x14ac:dyDescent="0.2">
      <c r="A50" s="17"/>
      <c r="B50" s="18"/>
      <c r="C50" s="18"/>
      <c r="D50" s="18"/>
      <c r="E50" s="18"/>
      <c r="F50" s="18"/>
      <c r="G50" s="18"/>
      <c r="H50" s="19"/>
      <c r="I50" s="20"/>
    </row>
    <row r="51" spans="1:9" x14ac:dyDescent="0.2">
      <c r="H51" s="2"/>
      <c r="I51" s="4"/>
    </row>
    <row r="52" spans="1:9" x14ac:dyDescent="0.2">
      <c r="A52" s="7">
        <v>25</v>
      </c>
      <c r="B52" s="7">
        <f>A52+273.15</f>
        <v>298.14999999999998</v>
      </c>
      <c r="C52" s="7"/>
      <c r="D52" s="7"/>
      <c r="E52" s="7"/>
      <c r="F52" s="7"/>
      <c r="G52" s="7"/>
      <c r="H52" s="8">
        <f>$H$9-$H$10*EXP($H$11/B52)</f>
        <v>-1508.9338166205844</v>
      </c>
      <c r="I5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75" workbookViewId="0">
      <selection activeCell="N2" sqref="N2"/>
    </sheetView>
  </sheetViews>
  <sheetFormatPr defaultRowHeight="12.75" x14ac:dyDescent="0.2"/>
  <sheetData>
    <row r="1" spans="2:12" x14ac:dyDescent="0.2">
      <c r="B1" t="str">
        <f>Dymond!B1</f>
        <v>Benzene</v>
      </c>
    </row>
    <row r="2" spans="2:12" ht="15.75" x14ac:dyDescent="0.3">
      <c r="B2" s="23" t="s">
        <v>20</v>
      </c>
      <c r="C2" s="23" t="s">
        <v>21</v>
      </c>
      <c r="D2" s="23" t="s">
        <v>22</v>
      </c>
      <c r="E2" s="24" t="s">
        <v>19</v>
      </c>
      <c r="F2" s="24"/>
      <c r="H2" s="25" t="s">
        <v>30</v>
      </c>
      <c r="I2" s="26">
        <f>22.4142*101.325/273.16</f>
        <v>8.3142437216283493</v>
      </c>
      <c r="J2" s="26" t="s">
        <v>31</v>
      </c>
      <c r="K2" s="26"/>
      <c r="L2" s="26"/>
    </row>
    <row r="3" spans="2:12" ht="14.25" x14ac:dyDescent="0.2">
      <c r="B3" s="23" t="s">
        <v>23</v>
      </c>
      <c r="C3" s="23" t="s">
        <v>24</v>
      </c>
      <c r="H3" s="25" t="s">
        <v>30</v>
      </c>
      <c r="I3" s="26">
        <v>82.056826000000001</v>
      </c>
      <c r="J3" s="26" t="s">
        <v>32</v>
      </c>
      <c r="K3" s="26"/>
      <c r="L3" s="26"/>
    </row>
    <row r="4" spans="2:12" ht="14.25" x14ac:dyDescent="0.2">
      <c r="B4">
        <v>562.20000000000005</v>
      </c>
      <c r="C4">
        <v>48.9</v>
      </c>
      <c r="D4">
        <v>0.27100000000000002</v>
      </c>
      <c r="E4">
        <v>0.21199999999999999</v>
      </c>
      <c r="H4" s="25" t="s">
        <v>30</v>
      </c>
      <c r="I4" s="27">
        <f>22414.2*760/273.15</f>
        <v>62364.23942888523</v>
      </c>
      <c r="J4" s="26" t="s">
        <v>33</v>
      </c>
      <c r="K4" s="26"/>
      <c r="L4" s="26"/>
    </row>
    <row r="5" spans="2:12" ht="15.75" x14ac:dyDescent="0.3">
      <c r="B5" s="23" t="s">
        <v>20</v>
      </c>
      <c r="C5" s="23" t="s">
        <v>21</v>
      </c>
      <c r="D5" s="23" t="s">
        <v>22</v>
      </c>
      <c r="E5" s="24" t="s">
        <v>19</v>
      </c>
      <c r="F5" s="24"/>
    </row>
    <row r="6" spans="2:12" x14ac:dyDescent="0.2">
      <c r="B6" s="23" t="s">
        <v>23</v>
      </c>
      <c r="C6" s="23" t="s">
        <v>25</v>
      </c>
    </row>
    <row r="7" spans="2:12" x14ac:dyDescent="0.2">
      <c r="B7">
        <f>B4</f>
        <v>562.20000000000005</v>
      </c>
      <c r="C7">
        <f>760*C4/1.01325</f>
        <v>36678.016284233905</v>
      </c>
      <c r="D7">
        <f>D4</f>
        <v>0.27100000000000002</v>
      </c>
      <c r="E7">
        <f>E4</f>
        <v>0.21199999999999999</v>
      </c>
    </row>
    <row r="9" spans="2:12" x14ac:dyDescent="0.2">
      <c r="E9" s="1" t="s">
        <v>39</v>
      </c>
      <c r="F9">
        <v>0</v>
      </c>
    </row>
    <row r="10" spans="2:12" x14ac:dyDescent="0.2">
      <c r="E10" s="1" t="s">
        <v>40</v>
      </c>
      <c r="F10">
        <v>0</v>
      </c>
    </row>
    <row r="11" spans="2:12" x14ac:dyDescent="0.2">
      <c r="J11" t="s">
        <v>36</v>
      </c>
    </row>
    <row r="12" spans="2:12" ht="15.75" x14ac:dyDescent="0.3">
      <c r="B12" s="23" t="str">
        <f>Dymond!B12</f>
        <v>T, K</v>
      </c>
      <c r="C12" s="23" t="s">
        <v>28</v>
      </c>
      <c r="D12" s="23" t="s">
        <v>26</v>
      </c>
      <c r="E12" s="23" t="s">
        <v>38</v>
      </c>
      <c r="F12" s="23" t="s">
        <v>27</v>
      </c>
      <c r="G12" s="23" t="s">
        <v>29</v>
      </c>
      <c r="H12" s="23" t="s">
        <v>34</v>
      </c>
      <c r="I12" s="23" t="s">
        <v>35</v>
      </c>
      <c r="J12" s="29">
        <f>AVERAGE(J14:J49)</f>
        <v>5.3013165380897691</v>
      </c>
    </row>
    <row r="13" spans="2:12" x14ac:dyDescent="0.2">
      <c r="H13" t="s">
        <v>8</v>
      </c>
      <c r="I13" t="s">
        <v>37</v>
      </c>
    </row>
    <row r="14" spans="2:12" x14ac:dyDescent="0.2">
      <c r="B14">
        <f>Dymond!B14</f>
        <v>295.2</v>
      </c>
      <c r="C14" s="28">
        <f>B14/$B$4</f>
        <v>0.52508004268943431</v>
      </c>
      <c r="D14" s="28">
        <f>0.1445-0.33/C14-0.1385/C14/C14-0.0121/C14^3-0.000607/C14^8</f>
        <v>-1.1749452256051582</v>
      </c>
      <c r="E14" s="28">
        <f>0.0637+0.331/C14^2-0.423/C14^3-0.008/C14^8</f>
        <v>-3.0421263361554924</v>
      </c>
      <c r="F14" s="28">
        <f>$F$9/C14^6-$F$10/C14^8</f>
        <v>0</v>
      </c>
      <c r="G14" s="28">
        <f>D14+$E$7*E14+F14</f>
        <v>-1.8198760088701227</v>
      </c>
      <c r="H14" s="4">
        <f>G14*$I$4*$B$7/$C$7</f>
        <v>-1739.6522066889174</v>
      </c>
      <c r="I14" s="4">
        <f>Dymond!G14</f>
        <v>-1528</v>
      </c>
      <c r="J14" s="6">
        <f>100*ABS((H14-I14)/I14)</f>
        <v>13.851584207389884</v>
      </c>
    </row>
    <row r="15" spans="2:12" x14ac:dyDescent="0.2">
      <c r="B15">
        <f>Dymond!B15</f>
        <v>308.2</v>
      </c>
      <c r="C15" s="28">
        <f t="shared" ref="C15:C52" si="0">B15/$B$4</f>
        <v>0.54820348630380644</v>
      </c>
      <c r="D15" s="28">
        <f t="shared" ref="D15:D52" si="1">0.1445-0.33/C15-0.1385/C15/C15-0.0121/C15^3-0.000607/C15^8</f>
        <v>-1.0661818227992783</v>
      </c>
      <c r="E15" s="28">
        <f t="shared" ref="E15:E52" si="2">0.0637+0.331/C15^2-0.423/C15^3-0.008/C15^8</f>
        <v>-2.3831724604201199</v>
      </c>
      <c r="F15" s="28">
        <f t="shared" ref="F15:F52" si="3">$F$9/C15^6-$F$10/C15^8</f>
        <v>0</v>
      </c>
      <c r="G15" s="28">
        <f t="shared" ref="G15:G52" si="4">D15+$E$7*E15+F15</f>
        <v>-1.5714143844083437</v>
      </c>
      <c r="H15" s="4">
        <f t="shared" ref="H15:H52" si="5">G15*$I$4*$B$7/$C$7</f>
        <v>-1502.1432713737015</v>
      </c>
      <c r="I15" s="4">
        <f>Dymond!G15</f>
        <v>-1352</v>
      </c>
      <c r="J15" s="6">
        <f t="shared" ref="J15:J49" si="6">100*ABS((H15-I15)/I15)</f>
        <v>11.105271551309283</v>
      </c>
    </row>
    <row r="16" spans="2:12" x14ac:dyDescent="0.2">
      <c r="B16">
        <f>Dymond!B16</f>
        <v>308.37</v>
      </c>
      <c r="C16" s="28">
        <f t="shared" si="0"/>
        <v>0.54850586979722515</v>
      </c>
      <c r="D16" s="28">
        <f t="shared" si="1"/>
        <v>-1.0648930253279698</v>
      </c>
      <c r="E16" s="28">
        <f t="shared" si="2"/>
        <v>-2.3758254884099488</v>
      </c>
      <c r="F16" s="28">
        <f t="shared" si="3"/>
        <v>0</v>
      </c>
      <c r="G16" s="28">
        <f t="shared" si="4"/>
        <v>-1.568568028870879</v>
      </c>
      <c r="H16" s="4">
        <f t="shared" si="5"/>
        <v>-1499.4223889247671</v>
      </c>
      <c r="I16" s="4">
        <f>Dymond!G16</f>
        <v>-1394</v>
      </c>
      <c r="J16" s="6">
        <f t="shared" si="6"/>
        <v>7.5625817019201662</v>
      </c>
    </row>
    <row r="17" spans="2:10" x14ac:dyDescent="0.2">
      <c r="B17">
        <f>Dymond!B17</f>
        <v>323.2</v>
      </c>
      <c r="C17" s="28">
        <f t="shared" si="0"/>
        <v>0.5748843827819281</v>
      </c>
      <c r="D17" s="28">
        <f t="shared" si="1"/>
        <v>-0.96316625618069507</v>
      </c>
      <c r="E17" s="28">
        <f t="shared" si="2"/>
        <v>-1.831713465604651</v>
      </c>
      <c r="F17" s="28">
        <f t="shared" si="3"/>
        <v>0</v>
      </c>
      <c r="G17" s="28">
        <f t="shared" si="4"/>
        <v>-1.3514895108888811</v>
      </c>
      <c r="H17" s="4">
        <f t="shared" si="5"/>
        <v>-1291.9131295073619</v>
      </c>
      <c r="I17" s="4">
        <f>Dymond!G17</f>
        <v>-1202</v>
      </c>
      <c r="J17" s="6">
        <f t="shared" si="6"/>
        <v>7.4802936362197894</v>
      </c>
    </row>
    <row r="18" spans="2:10" x14ac:dyDescent="0.2">
      <c r="B18">
        <f>Dymond!B18</f>
        <v>331.12</v>
      </c>
      <c r="C18" s="28">
        <f t="shared" si="0"/>
        <v>0.58897189612237633</v>
      </c>
      <c r="D18" s="28">
        <f t="shared" si="1"/>
        <v>-0.91620839921617014</v>
      </c>
      <c r="E18" s="28">
        <f t="shared" si="2"/>
        <v>-1.6050140743462049</v>
      </c>
      <c r="F18" s="28">
        <f t="shared" si="3"/>
        <v>0</v>
      </c>
      <c r="G18" s="28">
        <f t="shared" si="4"/>
        <v>-1.2564713829775656</v>
      </c>
      <c r="H18" s="4">
        <f t="shared" si="5"/>
        <v>-1201.0835921703672</v>
      </c>
      <c r="I18" s="4">
        <f>Dymond!G18</f>
        <v>-1123</v>
      </c>
      <c r="J18" s="6">
        <f t="shared" si="6"/>
        <v>6.9531248593381276</v>
      </c>
    </row>
    <row r="19" spans="2:10" x14ac:dyDescent="0.2">
      <c r="B19">
        <f>Dymond!B19</f>
        <v>331.16</v>
      </c>
      <c r="C19" s="28">
        <f t="shared" si="0"/>
        <v>0.58904304517965134</v>
      </c>
      <c r="D19" s="28">
        <f t="shared" si="1"/>
        <v>-0.91598232628482745</v>
      </c>
      <c r="E19" s="28">
        <f t="shared" si="2"/>
        <v>-1.6039607653633712</v>
      </c>
      <c r="F19" s="28">
        <f t="shared" si="3"/>
        <v>0</v>
      </c>
      <c r="G19" s="28">
        <f t="shared" si="4"/>
        <v>-1.2560220085418621</v>
      </c>
      <c r="H19" s="4">
        <f t="shared" si="5"/>
        <v>-1200.6540270654418</v>
      </c>
      <c r="I19" s="4">
        <f>Dymond!G19</f>
        <v>-1125</v>
      </c>
      <c r="J19" s="6">
        <f t="shared" si="6"/>
        <v>6.7248024058170515</v>
      </c>
    </row>
    <row r="20" spans="2:10" x14ac:dyDescent="0.2">
      <c r="B20">
        <f>Dymond!B20</f>
        <v>333.16</v>
      </c>
      <c r="C20" s="28">
        <f t="shared" si="0"/>
        <v>0.59260049804340087</v>
      </c>
      <c r="D20" s="28">
        <f t="shared" si="1"/>
        <v>-0.90481169164002806</v>
      </c>
      <c r="E20" s="28">
        <f t="shared" si="2"/>
        <v>-1.5523720733487381</v>
      </c>
      <c r="F20" s="28">
        <f t="shared" si="3"/>
        <v>0</v>
      </c>
      <c r="G20" s="28">
        <f t="shared" si="4"/>
        <v>-1.2339145711899606</v>
      </c>
      <c r="H20" s="4">
        <f t="shared" si="5"/>
        <v>-1179.5211301065167</v>
      </c>
      <c r="I20" s="4">
        <f>Dymond!G20</f>
        <v>-1117</v>
      </c>
      <c r="J20" s="6">
        <f t="shared" si="6"/>
        <v>5.5972363568949595</v>
      </c>
    </row>
    <row r="21" spans="2:10" x14ac:dyDescent="0.2">
      <c r="B21">
        <f>Dymond!B21</f>
        <v>335.16</v>
      </c>
      <c r="C21" s="28">
        <f t="shared" si="0"/>
        <v>0.59615795090715051</v>
      </c>
      <c r="D21" s="28">
        <f t="shared" si="1"/>
        <v>-0.89389521412569928</v>
      </c>
      <c r="E21" s="28">
        <f t="shared" si="2"/>
        <v>-1.5028239353709205</v>
      </c>
      <c r="F21" s="28">
        <f t="shared" si="3"/>
        <v>0</v>
      </c>
      <c r="G21" s="28">
        <f t="shared" si="4"/>
        <v>-1.2124938884243344</v>
      </c>
      <c r="H21" s="4">
        <f t="shared" si="5"/>
        <v>-1159.0447142076441</v>
      </c>
      <c r="I21" s="4">
        <f>Dymond!G21</f>
        <v>-1103</v>
      </c>
      <c r="J21" s="6">
        <f t="shared" si="6"/>
        <v>5.0811164286168742</v>
      </c>
    </row>
    <row r="22" spans="2:10" x14ac:dyDescent="0.2">
      <c r="B22">
        <f>Dymond!B22</f>
        <v>337.64</v>
      </c>
      <c r="C22" s="28">
        <f t="shared" si="0"/>
        <v>0.60056919245819984</v>
      </c>
      <c r="D22" s="28">
        <f t="shared" si="1"/>
        <v>-0.88069756266950305</v>
      </c>
      <c r="E22" s="28">
        <f t="shared" si="2"/>
        <v>-1.4440680744845849</v>
      </c>
      <c r="F22" s="28">
        <f t="shared" si="3"/>
        <v>0</v>
      </c>
      <c r="G22" s="28">
        <f t="shared" si="4"/>
        <v>-1.186839994460235</v>
      </c>
      <c r="H22" s="4">
        <f t="shared" si="5"/>
        <v>-1134.5216955913831</v>
      </c>
      <c r="I22" s="4">
        <f>Dymond!G22</f>
        <v>-1065</v>
      </c>
      <c r="J22" s="6">
        <f t="shared" si="6"/>
        <v>6.5278587409749438</v>
      </c>
    </row>
    <row r="23" spans="2:10" x14ac:dyDescent="0.2">
      <c r="B23">
        <f>Dymond!B23</f>
        <v>338.16</v>
      </c>
      <c r="C23" s="28">
        <f t="shared" si="0"/>
        <v>0.60149413020277476</v>
      </c>
      <c r="D23" s="28">
        <f t="shared" si="1"/>
        <v>-0.87797641250756786</v>
      </c>
      <c r="E23" s="28">
        <f t="shared" si="2"/>
        <v>-1.4321096990926345</v>
      </c>
      <c r="F23" s="28">
        <f t="shared" si="3"/>
        <v>0</v>
      </c>
      <c r="G23" s="28">
        <f t="shared" si="4"/>
        <v>-1.1815836687152064</v>
      </c>
      <c r="H23" s="4">
        <f t="shared" si="5"/>
        <v>-1129.497079278598</v>
      </c>
      <c r="I23" s="4">
        <f>Dymond!G23</f>
        <v>-1088</v>
      </c>
      <c r="J23" s="6">
        <f t="shared" si="6"/>
        <v>3.8140697866358453</v>
      </c>
    </row>
    <row r="24" spans="2:10" x14ac:dyDescent="0.2">
      <c r="B24">
        <f>Dymond!B24</f>
        <v>340.3</v>
      </c>
      <c r="C24" s="28">
        <f t="shared" si="0"/>
        <v>0.60530060476698677</v>
      </c>
      <c r="D24" s="28">
        <f t="shared" si="1"/>
        <v>-0.86694078917673167</v>
      </c>
      <c r="E24" s="28">
        <f t="shared" si="2"/>
        <v>-1.3841602249051961</v>
      </c>
      <c r="F24" s="28">
        <f t="shared" si="3"/>
        <v>0</v>
      </c>
      <c r="G24" s="28">
        <f t="shared" si="4"/>
        <v>-1.1603827568566332</v>
      </c>
      <c r="H24" s="4">
        <f t="shared" si="5"/>
        <v>-1109.2307463422776</v>
      </c>
      <c r="I24" s="4">
        <f>Dymond!G24</f>
        <v>-1046</v>
      </c>
      <c r="J24" s="6">
        <f t="shared" si="6"/>
        <v>6.0450044304280688</v>
      </c>
    </row>
    <row r="25" spans="2:10" x14ac:dyDescent="0.2">
      <c r="B25">
        <f>Dymond!B25</f>
        <v>341.16</v>
      </c>
      <c r="C25" s="28">
        <f t="shared" si="0"/>
        <v>0.60683030949839911</v>
      </c>
      <c r="D25" s="28">
        <f t="shared" si="1"/>
        <v>-0.8625781995829751</v>
      </c>
      <c r="E25" s="28">
        <f t="shared" si="2"/>
        <v>-1.3654473222464396</v>
      </c>
      <c r="F25" s="28">
        <f t="shared" si="3"/>
        <v>0</v>
      </c>
      <c r="G25" s="28">
        <f t="shared" si="4"/>
        <v>-1.1520530318992204</v>
      </c>
      <c r="H25" s="4">
        <f t="shared" si="5"/>
        <v>-1101.2682124484043</v>
      </c>
      <c r="I25" s="4">
        <f>Dymond!G25</f>
        <v>-1054</v>
      </c>
      <c r="J25" s="6">
        <f t="shared" si="6"/>
        <v>4.4846501374197585</v>
      </c>
    </row>
    <row r="26" spans="2:10" x14ac:dyDescent="0.2">
      <c r="B26">
        <f>Dymond!B26</f>
        <v>343.16</v>
      </c>
      <c r="C26" s="28">
        <f t="shared" si="0"/>
        <v>0.61038776236214864</v>
      </c>
      <c r="D26" s="28">
        <f t="shared" si="1"/>
        <v>-0.8525881312046234</v>
      </c>
      <c r="E26" s="28">
        <f t="shared" si="2"/>
        <v>-1.323113435871331</v>
      </c>
      <c r="F26" s="28">
        <f t="shared" si="3"/>
        <v>0</v>
      </c>
      <c r="G26" s="28">
        <f t="shared" si="4"/>
        <v>-1.1330881796093455</v>
      </c>
      <c r="H26" s="4">
        <f t="shared" si="5"/>
        <v>-1083.1393690685227</v>
      </c>
      <c r="I26" s="4">
        <f>Dymond!G26</f>
        <v>-1023</v>
      </c>
      <c r="J26" s="6">
        <f t="shared" si="6"/>
        <v>5.8787262041566652</v>
      </c>
    </row>
    <row r="27" spans="2:10" x14ac:dyDescent="0.2">
      <c r="B27">
        <f>Dymond!B27</f>
        <v>343.16</v>
      </c>
      <c r="C27" s="28">
        <f t="shared" si="0"/>
        <v>0.61038776236214864</v>
      </c>
      <c r="D27" s="28">
        <f t="shared" si="1"/>
        <v>-0.8525881312046234</v>
      </c>
      <c r="E27" s="28">
        <f t="shared" si="2"/>
        <v>-1.323113435871331</v>
      </c>
      <c r="F27" s="28">
        <f t="shared" si="3"/>
        <v>0</v>
      </c>
      <c r="G27" s="28">
        <f t="shared" si="4"/>
        <v>-1.1330881796093455</v>
      </c>
      <c r="H27" s="4">
        <f t="shared" si="5"/>
        <v>-1083.1393690685227</v>
      </c>
      <c r="I27" s="4">
        <f>Dymond!G27</f>
        <v>-1035</v>
      </c>
      <c r="J27" s="6">
        <f t="shared" si="6"/>
        <v>4.6511467699055729</v>
      </c>
    </row>
    <row r="28" spans="2:10" x14ac:dyDescent="0.2">
      <c r="B28">
        <f>Dymond!B28</f>
        <v>343.2</v>
      </c>
      <c r="C28" s="28">
        <f t="shared" si="0"/>
        <v>0.61045891141942366</v>
      </c>
      <c r="D28" s="28">
        <f t="shared" si="1"/>
        <v>-0.85239050972877939</v>
      </c>
      <c r="E28" s="28">
        <f t="shared" si="2"/>
        <v>-1.3222832623943623</v>
      </c>
      <c r="F28" s="28">
        <f t="shared" si="3"/>
        <v>0</v>
      </c>
      <c r="G28" s="28">
        <f t="shared" si="4"/>
        <v>-1.1327145613563843</v>
      </c>
      <c r="H28" s="4">
        <f t="shared" si="5"/>
        <v>-1082.7822206611283</v>
      </c>
      <c r="I28" s="4">
        <f>Dymond!G28</f>
        <v>-1035</v>
      </c>
      <c r="J28" s="6">
        <f t="shared" si="6"/>
        <v>4.6166396774037057</v>
      </c>
    </row>
    <row r="29" spans="2:10" x14ac:dyDescent="0.2">
      <c r="B29">
        <f>Dymond!B29</f>
        <v>348.16</v>
      </c>
      <c r="C29" s="28">
        <f t="shared" si="0"/>
        <v>0.61928139452152253</v>
      </c>
      <c r="D29" s="28">
        <f t="shared" si="1"/>
        <v>-0.82852122447213206</v>
      </c>
      <c r="E29" s="28">
        <f t="shared" si="2"/>
        <v>-1.2240849349240315</v>
      </c>
      <c r="F29" s="28">
        <f t="shared" si="3"/>
        <v>0</v>
      </c>
      <c r="G29" s="28">
        <f t="shared" si="4"/>
        <v>-1.0880272306760268</v>
      </c>
      <c r="H29" s="4">
        <f t="shared" si="5"/>
        <v>-1040.0647975783402</v>
      </c>
      <c r="I29" s="4">
        <f>Dymond!G29</f>
        <v>-1011</v>
      </c>
      <c r="J29" s="6">
        <f t="shared" si="6"/>
        <v>2.8748563381147552</v>
      </c>
    </row>
    <row r="30" spans="2:10" x14ac:dyDescent="0.2">
      <c r="B30">
        <f>Dymond!B30</f>
        <v>349.1</v>
      </c>
      <c r="C30" s="28">
        <f t="shared" si="0"/>
        <v>0.62095339736748489</v>
      </c>
      <c r="D30" s="28">
        <f t="shared" si="1"/>
        <v>-0.8241349571010691</v>
      </c>
      <c r="E30" s="28">
        <f t="shared" si="2"/>
        <v>-1.2064865673567435</v>
      </c>
      <c r="F30" s="28">
        <f t="shared" si="3"/>
        <v>0</v>
      </c>
      <c r="G30" s="28">
        <f t="shared" si="4"/>
        <v>-1.0799101093806986</v>
      </c>
      <c r="H30" s="4">
        <f t="shared" si="5"/>
        <v>-1032.3054953486535</v>
      </c>
      <c r="I30" s="4">
        <f>Dymond!G30</f>
        <v>-969</v>
      </c>
      <c r="J30" s="6">
        <f t="shared" si="6"/>
        <v>6.533074855382198</v>
      </c>
    </row>
    <row r="31" spans="2:10" x14ac:dyDescent="0.2">
      <c r="B31">
        <f>Dymond!B31</f>
        <v>353.2</v>
      </c>
      <c r="C31" s="28">
        <f t="shared" si="0"/>
        <v>0.62824617573817143</v>
      </c>
      <c r="D31" s="28">
        <f t="shared" si="1"/>
        <v>-0.805486597404936</v>
      </c>
      <c r="E31" s="28">
        <f t="shared" si="2"/>
        <v>-1.1332117590756112</v>
      </c>
      <c r="F31" s="28">
        <f t="shared" si="3"/>
        <v>0</v>
      </c>
      <c r="G31" s="28">
        <f t="shared" si="4"/>
        <v>-1.0457274903289655</v>
      </c>
      <c r="H31" s="4">
        <f t="shared" si="5"/>
        <v>-999.62971503509584</v>
      </c>
      <c r="I31" s="4">
        <f>Dymond!G31</f>
        <v>-944</v>
      </c>
      <c r="J31" s="6">
        <f t="shared" si="6"/>
        <v>5.892978287616085</v>
      </c>
    </row>
    <row r="32" spans="2:10" x14ac:dyDescent="0.2">
      <c r="B32">
        <f>Dymond!B32</f>
        <v>354.48</v>
      </c>
      <c r="C32" s="28">
        <f t="shared" si="0"/>
        <v>0.63052294557097122</v>
      </c>
      <c r="D32" s="28">
        <f t="shared" si="1"/>
        <v>-0.79982010066359166</v>
      </c>
      <c r="E32" s="28">
        <f t="shared" si="2"/>
        <v>-1.1114411968101272</v>
      </c>
      <c r="F32" s="28">
        <f t="shared" si="3"/>
        <v>0</v>
      </c>
      <c r="G32" s="28">
        <f t="shared" si="4"/>
        <v>-1.0354456343873386</v>
      </c>
      <c r="H32" s="4">
        <f t="shared" si="5"/>
        <v>-989.80110402504465</v>
      </c>
      <c r="I32" s="4">
        <f>Dymond!G32</f>
        <v>-938</v>
      </c>
      <c r="J32" s="6">
        <f t="shared" si="6"/>
        <v>5.5225057595996425</v>
      </c>
    </row>
    <row r="33" spans="2:10" x14ac:dyDescent="0.2">
      <c r="B33">
        <f>Dymond!B33</f>
        <v>354.96</v>
      </c>
      <c r="C33" s="28">
        <f t="shared" si="0"/>
        <v>0.63137673425827101</v>
      </c>
      <c r="D33" s="28">
        <f t="shared" si="1"/>
        <v>-0.79771361921649631</v>
      </c>
      <c r="E33" s="28">
        <f t="shared" si="2"/>
        <v>-1.1034068207461458</v>
      </c>
      <c r="F33" s="28">
        <f t="shared" si="3"/>
        <v>0</v>
      </c>
      <c r="G33" s="28">
        <f t="shared" si="4"/>
        <v>-1.0316358652146791</v>
      </c>
      <c r="H33" s="4">
        <f t="shared" si="5"/>
        <v>-986.1592771555828</v>
      </c>
      <c r="I33" s="4">
        <f>Dymond!G33</f>
        <v>-939</v>
      </c>
      <c r="J33" s="6">
        <f t="shared" si="6"/>
        <v>5.0222872370162728</v>
      </c>
    </row>
    <row r="34" spans="2:10" x14ac:dyDescent="0.2">
      <c r="B34">
        <f>Dymond!B34</f>
        <v>363</v>
      </c>
      <c r="C34" s="28">
        <f t="shared" si="0"/>
        <v>0.64567769477054426</v>
      </c>
      <c r="D34" s="28">
        <f t="shared" si="1"/>
        <v>-0.76384979730676594</v>
      </c>
      <c r="E34" s="28">
        <f t="shared" si="2"/>
        <v>-0.9785945809366442</v>
      </c>
      <c r="F34" s="28">
        <f t="shared" si="3"/>
        <v>0</v>
      </c>
      <c r="G34" s="28">
        <f t="shared" si="4"/>
        <v>-0.97131184846533447</v>
      </c>
      <c r="H34" s="4">
        <f t="shared" si="5"/>
        <v>-928.49446463932202</v>
      </c>
      <c r="I34" s="4">
        <f>Dymond!G34</f>
        <v>-900</v>
      </c>
      <c r="J34" s="6">
        <f t="shared" si="6"/>
        <v>3.1660516265913352</v>
      </c>
    </row>
    <row r="35" spans="2:10" x14ac:dyDescent="0.2">
      <c r="B35">
        <f>Dymond!B35</f>
        <v>363.2</v>
      </c>
      <c r="C35" s="28">
        <f t="shared" si="0"/>
        <v>0.64603344005691921</v>
      </c>
      <c r="D35" s="28">
        <f t="shared" si="1"/>
        <v>-0.76304001989177916</v>
      </c>
      <c r="E35" s="28">
        <f t="shared" si="2"/>
        <v>-0.975709811044009</v>
      </c>
      <c r="F35" s="28">
        <f t="shared" si="3"/>
        <v>0</v>
      </c>
      <c r="G35" s="28">
        <f t="shared" si="4"/>
        <v>-0.96989049983310904</v>
      </c>
      <c r="H35" s="4">
        <f t="shared" si="5"/>
        <v>-927.13577191933791</v>
      </c>
      <c r="I35" s="4">
        <f>Dymond!G35</f>
        <v>-891</v>
      </c>
      <c r="J35" s="6">
        <f t="shared" si="6"/>
        <v>4.0556421907225495</v>
      </c>
    </row>
    <row r="36" spans="2:10" x14ac:dyDescent="0.2">
      <c r="B36">
        <f>Dymond!B36</f>
        <v>373.2</v>
      </c>
      <c r="C36" s="28">
        <f t="shared" si="0"/>
        <v>0.66382070437566698</v>
      </c>
      <c r="D36" s="28">
        <f t="shared" si="1"/>
        <v>-0.72438832240087503</v>
      </c>
      <c r="E36" s="28">
        <f t="shared" si="2"/>
        <v>-0.84338586314370934</v>
      </c>
      <c r="F36" s="28">
        <f t="shared" si="3"/>
        <v>0</v>
      </c>
      <c r="G36" s="28">
        <f t="shared" si="4"/>
        <v>-0.90318612538734144</v>
      </c>
      <c r="H36" s="4">
        <f t="shared" si="5"/>
        <v>-863.37186073264741</v>
      </c>
      <c r="I36" s="4">
        <f>Dymond!G36</f>
        <v>-814</v>
      </c>
      <c r="J36" s="6">
        <f t="shared" si="6"/>
        <v>6.0653391563448897</v>
      </c>
    </row>
    <row r="37" spans="2:10" x14ac:dyDescent="0.2">
      <c r="B37">
        <f>Dymond!B37</f>
        <v>373.2</v>
      </c>
      <c r="C37" s="28">
        <f t="shared" si="0"/>
        <v>0.66382070437566698</v>
      </c>
      <c r="D37" s="28">
        <f t="shared" si="1"/>
        <v>-0.72438832240087503</v>
      </c>
      <c r="E37" s="28">
        <f t="shared" si="2"/>
        <v>-0.84338586314370934</v>
      </c>
      <c r="F37" s="28">
        <f t="shared" si="3"/>
        <v>0</v>
      </c>
      <c r="G37" s="28">
        <f t="shared" si="4"/>
        <v>-0.90318612538734144</v>
      </c>
      <c r="H37" s="4">
        <f t="shared" si="5"/>
        <v>-863.37186073264741</v>
      </c>
      <c r="I37" s="4">
        <f>Dymond!G37</f>
        <v>-833</v>
      </c>
      <c r="J37" s="6">
        <f t="shared" si="6"/>
        <v>3.6460817206059306</v>
      </c>
    </row>
    <row r="38" spans="2:10" x14ac:dyDescent="0.2">
      <c r="B38">
        <f>Dymond!B38</f>
        <v>376.9</v>
      </c>
      <c r="C38" s="28">
        <f t="shared" si="0"/>
        <v>0.67040199217360363</v>
      </c>
      <c r="D38" s="28">
        <f t="shared" si="1"/>
        <v>-0.7109394179525943</v>
      </c>
      <c r="E38" s="28">
        <f t="shared" si="2"/>
        <v>-0.79978895636109271</v>
      </c>
      <c r="F38" s="28">
        <f t="shared" si="3"/>
        <v>0</v>
      </c>
      <c r="G38" s="28">
        <f t="shared" si="4"/>
        <v>-0.8804946767011459</v>
      </c>
      <c r="H38" s="4">
        <f t="shared" si="5"/>
        <v>-841.68069683603835</v>
      </c>
      <c r="I38" s="4">
        <f>Dymond!G38</f>
        <v>-830</v>
      </c>
      <c r="J38" s="6">
        <f t="shared" si="6"/>
        <v>1.4073128718118495</v>
      </c>
    </row>
    <row r="39" spans="2:10" x14ac:dyDescent="0.2">
      <c r="B39">
        <f>Dymond!B39</f>
        <v>380.47</v>
      </c>
      <c r="C39" s="28">
        <f t="shared" si="0"/>
        <v>0.6767520455353967</v>
      </c>
      <c r="D39" s="28">
        <f t="shared" si="1"/>
        <v>-0.6983641336993035</v>
      </c>
      <c r="E39" s="28">
        <f t="shared" si="2"/>
        <v>-0.76015234831024892</v>
      </c>
      <c r="F39" s="28">
        <f t="shared" si="3"/>
        <v>0</v>
      </c>
      <c r="G39" s="28">
        <f t="shared" si="4"/>
        <v>-0.85951643154107626</v>
      </c>
      <c r="H39" s="4">
        <f t="shared" si="5"/>
        <v>-821.6272150013973</v>
      </c>
      <c r="I39" s="4">
        <f>Dymond!G39</f>
        <v>-785</v>
      </c>
      <c r="J39" s="6">
        <f t="shared" si="6"/>
        <v>4.6658872613244977</v>
      </c>
    </row>
    <row r="40" spans="2:10" x14ac:dyDescent="0.2">
      <c r="B40">
        <f>Dymond!B40</f>
        <v>383.2</v>
      </c>
      <c r="C40" s="28">
        <f t="shared" si="0"/>
        <v>0.68160796869441476</v>
      </c>
      <c r="D40" s="28">
        <f t="shared" si="1"/>
        <v>-0.68900134684461645</v>
      </c>
      <c r="E40" s="28">
        <f t="shared" si="2"/>
        <v>-0.73134421217182144</v>
      </c>
      <c r="F40" s="28">
        <f t="shared" si="3"/>
        <v>0</v>
      </c>
      <c r="G40" s="28">
        <f t="shared" si="4"/>
        <v>-0.84404631982504252</v>
      </c>
      <c r="H40" s="4">
        <f t="shared" si="5"/>
        <v>-806.83905698769229</v>
      </c>
      <c r="I40" s="4">
        <f>Dymond!G40</f>
        <v>-808</v>
      </c>
      <c r="J40" s="6">
        <f t="shared" si="6"/>
        <v>0.14368106587966731</v>
      </c>
    </row>
    <row r="41" spans="2:10" x14ac:dyDescent="0.2">
      <c r="B41">
        <f>Dymond!B41</f>
        <v>393.1</v>
      </c>
      <c r="C41" s="28">
        <f t="shared" si="0"/>
        <v>0.69921736036997506</v>
      </c>
      <c r="D41" s="28">
        <f t="shared" si="1"/>
        <v>-0.65676204383228776</v>
      </c>
      <c r="E41" s="28">
        <f t="shared" si="2"/>
        <v>-0.63667938296620719</v>
      </c>
      <c r="F41" s="28">
        <f t="shared" si="3"/>
        <v>0</v>
      </c>
      <c r="G41" s="28">
        <f t="shared" si="4"/>
        <v>-0.79173807302112365</v>
      </c>
      <c r="H41" s="4">
        <f t="shared" si="5"/>
        <v>-756.83666312297919</v>
      </c>
      <c r="I41" s="4">
        <f>Dymond!G41</f>
        <v>-729</v>
      </c>
      <c r="J41" s="6">
        <f t="shared" si="6"/>
        <v>3.8184723076789009</v>
      </c>
    </row>
    <row r="42" spans="2:10" x14ac:dyDescent="0.2">
      <c r="B42">
        <f>Dymond!B42</f>
        <v>405</v>
      </c>
      <c r="C42" s="28">
        <f t="shared" si="0"/>
        <v>0.7203842049092849</v>
      </c>
      <c r="D42" s="28">
        <f t="shared" si="1"/>
        <v>-0.62120751027529264</v>
      </c>
      <c r="E42" s="28">
        <f t="shared" si="2"/>
        <v>-0.54026050911061962</v>
      </c>
      <c r="F42" s="28">
        <f t="shared" si="3"/>
        <v>0</v>
      </c>
      <c r="G42" s="28">
        <f t="shared" si="4"/>
        <v>-0.73574273820674396</v>
      </c>
      <c r="H42" s="4">
        <f t="shared" si="5"/>
        <v>-703.30971551812604</v>
      </c>
      <c r="I42" s="4">
        <f>Dymond!G42</f>
        <v>-724</v>
      </c>
      <c r="J42" s="6">
        <f t="shared" si="6"/>
        <v>2.8577740997063481</v>
      </c>
    </row>
    <row r="43" spans="2:10" x14ac:dyDescent="0.2">
      <c r="B43">
        <f>Dymond!B43</f>
        <v>409</v>
      </c>
      <c r="C43" s="28">
        <f t="shared" si="0"/>
        <v>0.72749911063678396</v>
      </c>
      <c r="D43" s="28">
        <f t="shared" si="1"/>
        <v>-0.60995956412362773</v>
      </c>
      <c r="E43" s="28">
        <f t="shared" si="2"/>
        <v>-0.51146116688924492</v>
      </c>
      <c r="F43" s="28">
        <f t="shared" si="3"/>
        <v>0</v>
      </c>
      <c r="G43" s="28">
        <f t="shared" si="4"/>
        <v>-0.71838933150414763</v>
      </c>
      <c r="H43" s="4">
        <f t="shared" si="5"/>
        <v>-686.72128195638857</v>
      </c>
      <c r="I43" s="4">
        <f>Dymond!G43</f>
        <v>-668</v>
      </c>
      <c r="J43" s="6">
        <f t="shared" si="6"/>
        <v>2.802587119219845</v>
      </c>
    </row>
    <row r="44" spans="2:10" x14ac:dyDescent="0.2">
      <c r="B44">
        <f>Dymond!B44</f>
        <v>416.08</v>
      </c>
      <c r="C44" s="28">
        <f t="shared" si="0"/>
        <v>0.74009249377445741</v>
      </c>
      <c r="D44" s="28">
        <f t="shared" si="1"/>
        <v>-0.59084141199446216</v>
      </c>
      <c r="E44" s="28">
        <f t="shared" si="2"/>
        <v>-0.46435061749841372</v>
      </c>
      <c r="F44" s="28">
        <f t="shared" si="3"/>
        <v>0</v>
      </c>
      <c r="G44" s="28">
        <f t="shared" si="4"/>
        <v>-0.68928374290412586</v>
      </c>
      <c r="H44" s="4">
        <f t="shared" si="5"/>
        <v>-658.89872636017299</v>
      </c>
      <c r="I44" s="4">
        <f>Dymond!G44</f>
        <v>-641</v>
      </c>
      <c r="J44" s="6">
        <f t="shared" si="6"/>
        <v>2.7923130047071743</v>
      </c>
    </row>
    <row r="45" spans="2:10" x14ac:dyDescent="0.2">
      <c r="B45">
        <f>Dymond!B45</f>
        <v>416.5</v>
      </c>
      <c r="C45" s="28">
        <f t="shared" si="0"/>
        <v>0.74083955887584485</v>
      </c>
      <c r="D45" s="28">
        <f t="shared" si="1"/>
        <v>-0.5897376453458848</v>
      </c>
      <c r="E45" s="28">
        <f t="shared" si="2"/>
        <v>-0.46170073140844059</v>
      </c>
      <c r="F45" s="28">
        <f t="shared" si="3"/>
        <v>0</v>
      </c>
      <c r="G45" s="28">
        <f t="shared" si="4"/>
        <v>-0.68761820040447419</v>
      </c>
      <c r="H45" s="4">
        <f t="shared" si="5"/>
        <v>-657.30660433057824</v>
      </c>
      <c r="I45" s="4">
        <f>Dymond!G45</f>
        <v>-638</v>
      </c>
      <c r="J45" s="6">
        <f t="shared" si="6"/>
        <v>3.0261135314385954</v>
      </c>
    </row>
    <row r="46" spans="2:10" x14ac:dyDescent="0.2">
      <c r="B46">
        <f>Dymond!B46</f>
        <v>424.2</v>
      </c>
      <c r="C46" s="28">
        <f t="shared" si="0"/>
        <v>0.75453575240128057</v>
      </c>
      <c r="D46" s="28">
        <f t="shared" si="1"/>
        <v>-0.57007088135016248</v>
      </c>
      <c r="E46" s="28">
        <f t="shared" si="2"/>
        <v>-0.41574880636648281</v>
      </c>
      <c r="F46" s="28">
        <f t="shared" si="3"/>
        <v>0</v>
      </c>
      <c r="G46" s="28">
        <f t="shared" si="4"/>
        <v>-0.65820962829985685</v>
      </c>
      <c r="H46" s="4">
        <f t="shared" si="5"/>
        <v>-629.19442135327142</v>
      </c>
      <c r="I46" s="4">
        <f>Dymond!G46</f>
        <v>-572</v>
      </c>
      <c r="J46" s="6">
        <f t="shared" si="6"/>
        <v>9.9990247121103888</v>
      </c>
    </row>
    <row r="47" spans="2:10" x14ac:dyDescent="0.2">
      <c r="B47">
        <f>Dymond!B47</f>
        <v>429.7</v>
      </c>
      <c r="C47" s="28">
        <f t="shared" si="0"/>
        <v>0.76431874777659192</v>
      </c>
      <c r="D47" s="28">
        <f t="shared" si="1"/>
        <v>-0.55665161524320406</v>
      </c>
      <c r="E47" s="28">
        <f t="shared" si="2"/>
        <v>-0.38575082600174149</v>
      </c>
      <c r="F47" s="28">
        <f t="shared" si="3"/>
        <v>0</v>
      </c>
      <c r="G47" s="28">
        <f t="shared" si="4"/>
        <v>-0.63843079035557326</v>
      </c>
      <c r="H47" s="4">
        <f t="shared" si="5"/>
        <v>-610.28747444710405</v>
      </c>
      <c r="I47" s="4">
        <f>Dymond!G47</f>
        <v>-599</v>
      </c>
      <c r="J47" s="6">
        <f t="shared" si="6"/>
        <v>1.884386385159273</v>
      </c>
    </row>
    <row r="48" spans="2:10" x14ac:dyDescent="0.2">
      <c r="B48">
        <f>Dymond!B48</f>
        <v>437.8</v>
      </c>
      <c r="C48" s="28">
        <f t="shared" si="0"/>
        <v>0.77872643187477764</v>
      </c>
      <c r="D48" s="28">
        <f t="shared" si="1"/>
        <v>-0.53777196883890854</v>
      </c>
      <c r="E48" s="28">
        <f t="shared" si="2"/>
        <v>-0.34537419048557305</v>
      </c>
      <c r="F48" s="28">
        <f t="shared" si="3"/>
        <v>0</v>
      </c>
      <c r="G48" s="28">
        <f t="shared" si="4"/>
        <v>-0.61099129722185008</v>
      </c>
      <c r="H48" s="4">
        <f t="shared" si="5"/>
        <v>-584.0575694712461</v>
      </c>
      <c r="I48" s="4">
        <f>Dymond!G48</f>
        <v>-516</v>
      </c>
      <c r="J48" s="6">
        <f t="shared" si="6"/>
        <v>13.189451447915909</v>
      </c>
    </row>
    <row r="49" spans="1:10" x14ac:dyDescent="0.2">
      <c r="B49">
        <f>Dymond!B49</f>
        <v>457.67</v>
      </c>
      <c r="C49" s="28">
        <f t="shared" si="0"/>
        <v>0.81406972607612949</v>
      </c>
      <c r="D49" s="28">
        <f t="shared" si="1"/>
        <v>-0.49543670193509776</v>
      </c>
      <c r="E49" s="28">
        <f t="shared" si="2"/>
        <v>-0.26238263869213702</v>
      </c>
      <c r="F49" s="28">
        <f t="shared" si="3"/>
        <v>0</v>
      </c>
      <c r="G49" s="28">
        <f t="shared" si="4"/>
        <v>-0.55106182133783077</v>
      </c>
      <c r="H49" s="4">
        <f t="shared" si="5"/>
        <v>-526.76990566382415</v>
      </c>
      <c r="I49" s="4">
        <f>Dymond!G49</f>
        <v>-521</v>
      </c>
      <c r="J49" s="6">
        <f t="shared" si="6"/>
        <v>1.1074674978549228</v>
      </c>
    </row>
    <row r="50" spans="1:10" x14ac:dyDescent="0.2">
      <c r="C50" s="28"/>
      <c r="D50" s="28"/>
      <c r="E50" s="28"/>
      <c r="F50" s="28"/>
      <c r="G50" s="28"/>
      <c r="H50" s="4"/>
      <c r="I50" s="4"/>
      <c r="J50" s="6"/>
    </row>
    <row r="51" spans="1:10" x14ac:dyDescent="0.2">
      <c r="C51" s="28"/>
      <c r="D51" s="28"/>
      <c r="E51" s="28"/>
      <c r="F51" s="28"/>
      <c r="G51" s="28"/>
      <c r="H51" s="4"/>
      <c r="I51" s="4"/>
      <c r="J51" s="6"/>
    </row>
    <row r="52" spans="1:10" x14ac:dyDescent="0.2">
      <c r="A52">
        <v>55</v>
      </c>
      <c r="B52">
        <f>A52+273.15</f>
        <v>328.15</v>
      </c>
      <c r="C52" s="28">
        <f t="shared" si="0"/>
        <v>0.5836890786197082</v>
      </c>
      <c r="D52" s="28">
        <f t="shared" si="1"/>
        <v>-0.93329541563851537</v>
      </c>
      <c r="E52" s="28">
        <f t="shared" si="2"/>
        <v>-1.6856849082207948</v>
      </c>
      <c r="F52" s="28">
        <f t="shared" si="3"/>
        <v>0</v>
      </c>
      <c r="G52" s="28">
        <f t="shared" si="4"/>
        <v>-1.2906606161813239</v>
      </c>
      <c r="H52" s="4">
        <f t="shared" si="5"/>
        <v>-1233.7656950707988</v>
      </c>
      <c r="I52" s="4">
        <f>Dymond!G52</f>
        <v>0</v>
      </c>
      <c r="J52" s="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75" workbookViewId="0">
      <selection activeCell="P21" sqref="P21"/>
    </sheetView>
  </sheetViews>
  <sheetFormatPr defaultRowHeight="12.75" x14ac:dyDescent="0.2"/>
  <sheetData>
    <row r="1" spans="1:13" ht="18" x14ac:dyDescent="0.25">
      <c r="B1" s="30" t="str">
        <f>Dymond!B1</f>
        <v>Benzene</v>
      </c>
      <c r="M1" t="s">
        <v>41</v>
      </c>
    </row>
    <row r="2" spans="1:13" ht="14.25" x14ac:dyDescent="0.2">
      <c r="D2" s="1" t="s">
        <v>40</v>
      </c>
      <c r="E2">
        <v>115.4</v>
      </c>
      <c r="F2" t="s">
        <v>46</v>
      </c>
      <c r="G2" t="s">
        <v>51</v>
      </c>
      <c r="M2" t="s">
        <v>42</v>
      </c>
    </row>
    <row r="3" spans="1:13" ht="14.25" x14ac:dyDescent="0.2">
      <c r="A3">
        <f>[1]Exp!A3</f>
        <v>1</v>
      </c>
      <c r="D3" s="1" t="s">
        <v>40</v>
      </c>
      <c r="E3">
        <f>1.5*E2</f>
        <v>173.10000000000002</v>
      </c>
      <c r="F3" t="s">
        <v>46</v>
      </c>
      <c r="G3" s="25" t="s">
        <v>30</v>
      </c>
      <c r="H3" s="26">
        <f>22.4142*101.325/273.16</f>
        <v>8.3142437216283493</v>
      </c>
      <c r="I3" s="26" t="s">
        <v>31</v>
      </c>
      <c r="M3" t="s">
        <v>43</v>
      </c>
    </row>
    <row r="4" spans="1:13" ht="14.25" x14ac:dyDescent="0.2">
      <c r="A4">
        <f>[1]Exp!A4</f>
        <v>2</v>
      </c>
      <c r="D4" s="31" t="s">
        <v>44</v>
      </c>
      <c r="E4">
        <v>-9.4233503147539501</v>
      </c>
      <c r="F4" t="s">
        <v>47</v>
      </c>
      <c r="G4" s="25" t="s">
        <v>30</v>
      </c>
      <c r="H4" s="26">
        <v>82.056826000000001</v>
      </c>
      <c r="I4" s="26" t="s">
        <v>32</v>
      </c>
      <c r="M4" t="s">
        <v>50</v>
      </c>
    </row>
    <row r="5" spans="1:13" ht="14.25" x14ac:dyDescent="0.2">
      <c r="A5">
        <f>[1]Exp!A5</f>
        <v>3</v>
      </c>
      <c r="D5" s="31" t="s">
        <v>45</v>
      </c>
      <c r="E5">
        <v>-5.3711799420857409E-2</v>
      </c>
      <c r="F5" t="s">
        <v>48</v>
      </c>
      <c r="G5" s="25" t="s">
        <v>30</v>
      </c>
      <c r="H5" s="27">
        <f>22414.2*760/273.15</f>
        <v>62364.23942888523</v>
      </c>
      <c r="I5" s="26" t="s">
        <v>33</v>
      </c>
    </row>
    <row r="6" spans="1:13" x14ac:dyDescent="0.2">
      <c r="A6">
        <f>[1]Exp!A6</f>
        <v>4</v>
      </c>
    </row>
    <row r="9" spans="1:13" ht="14.25" x14ac:dyDescent="0.2">
      <c r="D9" t="s">
        <v>52</v>
      </c>
    </row>
    <row r="12" spans="1:13" x14ac:dyDescent="0.2">
      <c r="A12" t="str">
        <f>[1]Exp!A12</f>
        <v>T, oC</v>
      </c>
      <c r="B12" t="str">
        <f>[1]Exp!B12</f>
        <v>T, K</v>
      </c>
      <c r="C12" t="str">
        <f>[1]Exp!C12</f>
        <v>B, cm3/mol</v>
      </c>
      <c r="D12" s="32" t="s">
        <v>49</v>
      </c>
      <c r="E12" s="23" t="s">
        <v>23</v>
      </c>
      <c r="H12" t="str">
        <f>[1]Exp!H12</f>
        <v>B, cm3/mol</v>
      </c>
      <c r="I12" s="23" t="str">
        <f>[1]Exp!I12</f>
        <v>Error:</v>
      </c>
      <c r="J12" s="23"/>
    </row>
    <row r="13" spans="1:13" x14ac:dyDescent="0.2">
      <c r="G13" t="str">
        <f>[1]Exp!G13</f>
        <v>Smoothed</v>
      </c>
      <c r="H13" t="str">
        <f>[1]Exp!H13</f>
        <v>Predicted</v>
      </c>
      <c r="I13" s="6">
        <f>AVERAGE(I14:I49)</f>
        <v>-1.6701482302241677</v>
      </c>
      <c r="J13" s="6"/>
    </row>
    <row r="14" spans="1:13" x14ac:dyDescent="0.2">
      <c r="A14">
        <f>Dymond!A14</f>
        <v>22.050000000000011</v>
      </c>
      <c r="B14">
        <f>Dymond!B14</f>
        <v>295.2</v>
      </c>
      <c r="D14" s="6">
        <f>1000*(-$E$4/B14+$E$5)/$H$3</f>
        <v>-2.6207893032725211</v>
      </c>
      <c r="E14" s="6">
        <f>EXP(D14)</f>
        <v>7.2745421961670789E-2</v>
      </c>
      <c r="G14">
        <f>Dymond!G14</f>
        <v>-1528</v>
      </c>
      <c r="H14" s="4">
        <f>$E$3-$H$5*B14*E14/760</f>
        <v>-1589.0548049888507</v>
      </c>
      <c r="I14" s="33">
        <f>100*ABS(G14-H14)/G14</f>
        <v>-3.9957333107886597</v>
      </c>
      <c r="J14" s="33"/>
    </row>
    <row r="15" spans="1:13" x14ac:dyDescent="0.2">
      <c r="A15">
        <f>Dymond!A15</f>
        <v>35.050000000000011</v>
      </c>
      <c r="B15">
        <f>Dymond!B15</f>
        <v>308.2</v>
      </c>
      <c r="D15" s="6">
        <f t="shared" ref="D15:D32" si="0">1000*(-$E$4/B15+$E$5)/$H$3</f>
        <v>-2.7827378107946372</v>
      </c>
      <c r="E15" s="6">
        <f t="shared" ref="E15:E49" si="1">EXP(D15)</f>
        <v>6.186888997829923E-2</v>
      </c>
      <c r="G15">
        <f>Dymond!G15</f>
        <v>-1352</v>
      </c>
      <c r="H15" s="4">
        <f t="shared" ref="H15:H49" si="2">$E$3-$H$5*B15*E15/760</f>
        <v>-1391.5852786023852</v>
      </c>
      <c r="I15" s="33">
        <f t="shared" ref="I15:I49" si="3">100*ABS(G15-H15)/G15</f>
        <v>-2.9279052220699104</v>
      </c>
      <c r="J15" s="33"/>
    </row>
    <row r="16" spans="1:13" x14ac:dyDescent="0.2">
      <c r="A16">
        <f>Dymond!A16</f>
        <v>35.220000000000027</v>
      </c>
      <c r="B16">
        <f>Dymond!B16</f>
        <v>308.37</v>
      </c>
      <c r="D16" s="6">
        <f t="shared" si="0"/>
        <v>-2.7847651515519916</v>
      </c>
      <c r="E16" s="6">
        <f t="shared" si="1"/>
        <v>6.1743587714144683E-2</v>
      </c>
      <c r="G16">
        <f>Dymond!G16</f>
        <v>-1394</v>
      </c>
      <c r="H16" s="4">
        <f t="shared" si="2"/>
        <v>-1389.2776583138871</v>
      </c>
      <c r="I16" s="33">
        <f t="shared" si="3"/>
        <v>-0.33876195739691112</v>
      </c>
      <c r="J16" s="33"/>
    </row>
    <row r="17" spans="1:10" x14ac:dyDescent="0.2">
      <c r="A17">
        <f>Dymond!A17</f>
        <v>50.050000000000011</v>
      </c>
      <c r="B17">
        <f>Dymond!B17</f>
        <v>323.2</v>
      </c>
      <c r="D17" s="6">
        <f t="shared" si="0"/>
        <v>-2.9534127896855189</v>
      </c>
      <c r="E17" s="6">
        <f t="shared" si="1"/>
        <v>5.2161385997150041E-2</v>
      </c>
      <c r="G17">
        <f>Dymond!G17</f>
        <v>-1202</v>
      </c>
      <c r="H17" s="4">
        <f t="shared" si="2"/>
        <v>-1210.2832492300859</v>
      </c>
      <c r="I17" s="33">
        <f t="shared" si="3"/>
        <v>-0.68912223212028767</v>
      </c>
      <c r="J17" s="33"/>
    </row>
    <row r="18" spans="1:10" x14ac:dyDescent="0.2">
      <c r="A18">
        <f>Dymond!A18</f>
        <v>57.970000000000027</v>
      </c>
      <c r="B18">
        <f>Dymond!B18</f>
        <v>331.12</v>
      </c>
      <c r="D18" s="6">
        <f t="shared" si="0"/>
        <v>-3.0372913565039581</v>
      </c>
      <c r="E18" s="6">
        <f t="shared" si="1"/>
        <v>4.7964632791355218E-2</v>
      </c>
      <c r="G18">
        <f>Dymond!G18</f>
        <v>-1123</v>
      </c>
      <c r="H18" s="4">
        <f t="shared" si="2"/>
        <v>-1130.1525257182775</v>
      </c>
      <c r="I18" s="33">
        <f t="shared" si="3"/>
        <v>-0.63691235247350864</v>
      </c>
      <c r="J18" s="33"/>
    </row>
    <row r="19" spans="1:10" x14ac:dyDescent="0.2">
      <c r="A19">
        <f>Dymond!A19</f>
        <v>58.010000000000048</v>
      </c>
      <c r="B19">
        <f>Dymond!B19</f>
        <v>331.16</v>
      </c>
      <c r="D19" s="6">
        <f t="shared" si="0"/>
        <v>-3.0377048029748837</v>
      </c>
      <c r="E19" s="6">
        <f t="shared" si="1"/>
        <v>4.7944806082122302E-2</v>
      </c>
      <c r="G19">
        <f>Dymond!G19</f>
        <v>-1125</v>
      </c>
      <c r="H19" s="4">
        <f t="shared" si="2"/>
        <v>-1129.7711825313295</v>
      </c>
      <c r="I19" s="33">
        <f t="shared" si="3"/>
        <v>-0.42410511389595434</v>
      </c>
      <c r="J19" s="33"/>
    </row>
    <row r="20" spans="1:10" x14ac:dyDescent="0.2">
      <c r="A20">
        <f>Dymond!A20</f>
        <v>60.010000000000048</v>
      </c>
      <c r="B20">
        <f>Dymond!B20</f>
        <v>333.16</v>
      </c>
      <c r="D20" s="6">
        <f t="shared" si="0"/>
        <v>-3.0582505460792295</v>
      </c>
      <c r="E20" s="6">
        <f t="shared" si="1"/>
        <v>4.6969794876070163E-2</v>
      </c>
      <c r="G20">
        <f>Dymond!G20</f>
        <v>-1117</v>
      </c>
      <c r="H20" s="4">
        <f t="shared" si="2"/>
        <v>-1110.9843557453537</v>
      </c>
      <c r="I20" s="33">
        <f t="shared" si="3"/>
        <v>-0.53855364858068966</v>
      </c>
      <c r="J20" s="33"/>
    </row>
    <row r="21" spans="1:10" x14ac:dyDescent="0.2">
      <c r="A21">
        <f>Dymond!A21</f>
        <v>62.010000000000048</v>
      </c>
      <c r="B21">
        <f>Dymond!B21</f>
        <v>335.16</v>
      </c>
      <c r="D21" s="6">
        <f t="shared" si="0"/>
        <v>-3.0785510839907797</v>
      </c>
      <c r="E21" s="6">
        <f t="shared" si="1"/>
        <v>4.602589601754048E-2</v>
      </c>
      <c r="G21">
        <f>Dymond!G21</f>
        <v>-1103</v>
      </c>
      <c r="H21" s="4">
        <f t="shared" si="2"/>
        <v>-1092.7331696325896</v>
      </c>
      <c r="I21" s="33">
        <f t="shared" si="3"/>
        <v>-0.93080964346422679</v>
      </c>
      <c r="J21" s="33"/>
    </row>
    <row r="22" spans="1:10" x14ac:dyDescent="0.2">
      <c r="A22">
        <f>Dymond!A22</f>
        <v>64.490000000000009</v>
      </c>
      <c r="B22">
        <f>Dymond!B22</f>
        <v>337.64</v>
      </c>
      <c r="D22" s="6">
        <f t="shared" si="0"/>
        <v>-3.1033897457049102</v>
      </c>
      <c r="E22" s="6">
        <f t="shared" si="1"/>
        <v>4.4896755577177712E-2</v>
      </c>
      <c r="G22">
        <f>Dymond!G22</f>
        <v>-1065</v>
      </c>
      <c r="H22" s="4">
        <f t="shared" si="2"/>
        <v>-1070.8155238689628</v>
      </c>
      <c r="I22" s="33">
        <f t="shared" si="3"/>
        <v>-0.54605857924533596</v>
      </c>
      <c r="J22" s="33"/>
    </row>
    <row r="23" spans="1:10" x14ac:dyDescent="0.2">
      <c r="A23">
        <f>Dymond!A23</f>
        <v>65.010000000000048</v>
      </c>
      <c r="B23">
        <f>Dymond!B23</f>
        <v>338.16</v>
      </c>
      <c r="D23" s="6">
        <f t="shared" si="0"/>
        <v>-3.1085516482678028</v>
      </c>
      <c r="E23" s="6">
        <f t="shared" si="1"/>
        <v>4.4665600014011306E-2</v>
      </c>
      <c r="G23">
        <f>Dymond!G23</f>
        <v>-1088</v>
      </c>
      <c r="H23" s="4">
        <f t="shared" si="2"/>
        <v>-1066.3169900443095</v>
      </c>
      <c r="I23" s="33">
        <f t="shared" si="3"/>
        <v>-1.9929237091627319</v>
      </c>
      <c r="J23" s="33"/>
    </row>
    <row r="24" spans="1:10" x14ac:dyDescent="0.2">
      <c r="A24">
        <f>Dymond!A24</f>
        <v>67.150000000000034</v>
      </c>
      <c r="B24">
        <f>Dymond!B24</f>
        <v>340.3</v>
      </c>
      <c r="D24" s="6">
        <f t="shared" si="0"/>
        <v>-3.1296288122636953</v>
      </c>
      <c r="E24" s="6">
        <f t="shared" si="1"/>
        <v>4.3734027775048478E-2</v>
      </c>
      <c r="G24">
        <f>Dymond!G24</f>
        <v>-1046</v>
      </c>
      <c r="H24" s="4">
        <f t="shared" si="2"/>
        <v>-1048.146869465399</v>
      </c>
      <c r="I24" s="33">
        <f t="shared" si="3"/>
        <v>-0.20524564678767204</v>
      </c>
      <c r="J24" s="33"/>
    </row>
    <row r="25" spans="1:10" x14ac:dyDescent="0.2">
      <c r="A25">
        <f>Dymond!A25</f>
        <v>68.010000000000048</v>
      </c>
      <c r="B25">
        <f>Dymond!B25</f>
        <v>341.16</v>
      </c>
      <c r="D25" s="6">
        <f t="shared" si="0"/>
        <v>-3.1380245909430493</v>
      </c>
      <c r="E25" s="6">
        <f t="shared" si="1"/>
        <v>4.3368383638539849E-2</v>
      </c>
      <c r="G25">
        <f>Dymond!G25</f>
        <v>-1054</v>
      </c>
      <c r="H25" s="4">
        <f t="shared" si="2"/>
        <v>-1040.9969825802873</v>
      </c>
      <c r="I25" s="33">
        <f t="shared" si="3"/>
        <v>-1.2336828671454179</v>
      </c>
      <c r="J25" s="33"/>
    </row>
    <row r="26" spans="1:10" x14ac:dyDescent="0.2">
      <c r="A26">
        <f>Dymond!A26</f>
        <v>70.010000000000048</v>
      </c>
      <c r="B26">
        <f>Dymond!B26</f>
        <v>343.16</v>
      </c>
      <c r="D26" s="6">
        <f t="shared" si="0"/>
        <v>-3.157386929784137</v>
      </c>
      <c r="E26" s="6">
        <f t="shared" si="1"/>
        <v>4.2536747491524078E-2</v>
      </c>
      <c r="G26">
        <f>Dymond!G26</f>
        <v>-1023</v>
      </c>
      <c r="H26" s="4">
        <f t="shared" si="2"/>
        <v>-1024.6963249339556</v>
      </c>
      <c r="I26" s="33">
        <f t="shared" si="3"/>
        <v>-0.1658186641207787</v>
      </c>
      <c r="J26" s="33"/>
    </row>
    <row r="27" spans="1:10" x14ac:dyDescent="0.2">
      <c r="A27">
        <f>Dymond!A27</f>
        <v>70.010000000000048</v>
      </c>
      <c r="B27">
        <f>Dymond!B27</f>
        <v>343.16</v>
      </c>
      <c r="D27" s="6">
        <f t="shared" si="0"/>
        <v>-3.157386929784137</v>
      </c>
      <c r="E27" s="6">
        <f t="shared" si="1"/>
        <v>4.2536747491524078E-2</v>
      </c>
      <c r="G27">
        <f>Dymond!G27</f>
        <v>-1035</v>
      </c>
      <c r="H27" s="4">
        <f t="shared" si="2"/>
        <v>-1024.6963249339556</v>
      </c>
      <c r="I27" s="33">
        <f t="shared" si="3"/>
        <v>-0.99552416097047669</v>
      </c>
      <c r="J27" s="33"/>
    </row>
    <row r="28" spans="1:10" x14ac:dyDescent="0.2">
      <c r="A28">
        <f>Dymond!A28</f>
        <v>70.050000000000011</v>
      </c>
      <c r="B28">
        <f>Dymond!B28</f>
        <v>343.2</v>
      </c>
      <c r="D28" s="6">
        <f t="shared" si="0"/>
        <v>-3.1577718747444528</v>
      </c>
      <c r="E28" s="6">
        <f t="shared" si="1"/>
        <v>4.2520376336148032E-2</v>
      </c>
      <c r="G28">
        <f>Dymond!G28</f>
        <v>-1035</v>
      </c>
      <c r="H28" s="4">
        <f t="shared" si="2"/>
        <v>-1024.3748938485451</v>
      </c>
      <c r="I28" s="33">
        <f t="shared" si="3"/>
        <v>-1.026580304488399</v>
      </c>
      <c r="J28" s="33"/>
    </row>
    <row r="29" spans="1:10" x14ac:dyDescent="0.2">
      <c r="A29">
        <f>Dymond!A29</f>
        <v>75.010000000000048</v>
      </c>
      <c r="B29">
        <f>Dymond!B29</f>
        <v>348.16</v>
      </c>
      <c r="D29" s="6">
        <f t="shared" si="0"/>
        <v>-3.2048195435179476</v>
      </c>
      <c r="E29" s="6">
        <f t="shared" si="1"/>
        <v>4.0566221415008215E-2</v>
      </c>
      <c r="G29">
        <f>Dymond!G29</f>
        <v>-1011</v>
      </c>
      <c r="H29" s="4">
        <f t="shared" si="2"/>
        <v>-985.85205095377216</v>
      </c>
      <c r="I29" s="33">
        <f t="shared" si="3"/>
        <v>-2.4874331400818828</v>
      </c>
      <c r="J29" s="33"/>
    </row>
    <row r="30" spans="1:10" x14ac:dyDescent="0.2">
      <c r="A30">
        <f>Dymond!A30</f>
        <v>75.950000000000045</v>
      </c>
      <c r="B30">
        <f>Dymond!B30</f>
        <v>349.1</v>
      </c>
      <c r="D30" s="6">
        <f t="shared" si="0"/>
        <v>-3.2135851448844104</v>
      </c>
      <c r="E30" s="6">
        <f t="shared" si="1"/>
        <v>4.0212188013839217E-2</v>
      </c>
      <c r="G30">
        <f>Dymond!G30</f>
        <v>-969</v>
      </c>
      <c r="H30" s="4">
        <f t="shared" si="2"/>
        <v>-978.83928969725946</v>
      </c>
      <c r="I30" s="33">
        <f t="shared" si="3"/>
        <v>-1.0154065735045883</v>
      </c>
      <c r="J30" s="33"/>
    </row>
    <row r="31" spans="1:10" x14ac:dyDescent="0.2">
      <c r="A31">
        <f>Dymond!A31</f>
        <v>80.050000000000011</v>
      </c>
      <c r="B31">
        <f>Dymond!B31</f>
        <v>353.2</v>
      </c>
      <c r="D31" s="6">
        <f t="shared" si="0"/>
        <v>-3.2512725206830817</v>
      </c>
      <c r="E31" s="6">
        <f t="shared" si="1"/>
        <v>3.8724898230683591E-2</v>
      </c>
      <c r="G31">
        <f>Dymond!G31</f>
        <v>-944</v>
      </c>
      <c r="H31" s="4">
        <f t="shared" si="2"/>
        <v>-949.26216451516336</v>
      </c>
      <c r="I31" s="33">
        <f t="shared" si="3"/>
        <v>-0.55743268169103422</v>
      </c>
      <c r="J31" s="33"/>
    </row>
    <row r="32" spans="1:10" x14ac:dyDescent="0.2">
      <c r="A32">
        <f>Dymond!A32</f>
        <v>81.330000000000041</v>
      </c>
      <c r="B32">
        <f>Dymond!B32</f>
        <v>354.48</v>
      </c>
      <c r="D32" s="6">
        <f t="shared" si="0"/>
        <v>-3.2628597639008254</v>
      </c>
      <c r="E32" s="6">
        <f t="shared" si="1"/>
        <v>3.8278773088110535E-2</v>
      </c>
      <c r="G32">
        <f>Dymond!G32</f>
        <v>-938</v>
      </c>
      <c r="H32" s="4">
        <f t="shared" si="2"/>
        <v>-940.35272960791269</v>
      </c>
      <c r="I32" s="33">
        <f t="shared" si="3"/>
        <v>-0.25082405201627855</v>
      </c>
      <c r="J32" s="33"/>
    </row>
    <row r="33" spans="1:10" x14ac:dyDescent="0.2">
      <c r="A33">
        <f>Dymond!A33</f>
        <v>81.81</v>
      </c>
      <c r="B33">
        <f>Dymond!B33</f>
        <v>354.96</v>
      </c>
      <c r="D33" s="6">
        <f t="shared" ref="D33:D49" si="4">1000*(-$E$4/B33+$E$5)/$H$3</f>
        <v>-3.2671834351995352</v>
      </c>
      <c r="E33" s="6">
        <f t="shared" si="1"/>
        <v>3.8113625534702128E-2</v>
      </c>
      <c r="G33">
        <f>Dymond!G33</f>
        <v>-939</v>
      </c>
      <c r="H33" s="4">
        <f t="shared" si="2"/>
        <v>-937.05013575417649</v>
      </c>
      <c r="I33" s="33">
        <f t="shared" si="3"/>
        <v>-0.20765327431560227</v>
      </c>
      <c r="J33" s="33"/>
    </row>
    <row r="34" spans="1:10" x14ac:dyDescent="0.2">
      <c r="A34">
        <f>Dymond!A34</f>
        <v>89.850000000000023</v>
      </c>
      <c r="B34">
        <f>Dymond!B34</f>
        <v>363</v>
      </c>
      <c r="D34" s="6">
        <f t="shared" si="4"/>
        <v>-3.3379051191745828</v>
      </c>
      <c r="E34" s="6">
        <f t="shared" si="1"/>
        <v>3.5511271737166457E-2</v>
      </c>
      <c r="G34">
        <f>Dymond!G34</f>
        <v>-900</v>
      </c>
      <c r="H34" s="4">
        <f t="shared" si="2"/>
        <v>-884.6788729655658</v>
      </c>
      <c r="I34" s="33">
        <f t="shared" si="3"/>
        <v>-1.7023474482704666</v>
      </c>
      <c r="J34" s="33"/>
    </row>
    <row r="35" spans="1:10" x14ac:dyDescent="0.2">
      <c r="A35">
        <f>Dymond!A35</f>
        <v>90.050000000000011</v>
      </c>
      <c r="B35">
        <f>Dymond!B35</f>
        <v>363.2</v>
      </c>
      <c r="D35" s="6">
        <f t="shared" si="4"/>
        <v>-3.3396244526383061</v>
      </c>
      <c r="E35" s="6">
        <f t="shared" si="1"/>
        <v>3.5450268476830506E-2</v>
      </c>
      <c r="G35">
        <f>Dymond!G35</f>
        <v>-891</v>
      </c>
      <c r="H35" s="4">
        <f t="shared" si="2"/>
        <v>-883.44355802391931</v>
      </c>
      <c r="I35" s="33">
        <f t="shared" si="3"/>
        <v>-0.84808551920097541</v>
      </c>
      <c r="J35" s="33"/>
    </row>
    <row r="36" spans="1:10" x14ac:dyDescent="0.2">
      <c r="A36">
        <f>Dymond!A36</f>
        <v>100.05000000000001</v>
      </c>
      <c r="B36">
        <f>Dymond!B36</f>
        <v>373.2</v>
      </c>
      <c r="D36" s="6">
        <f t="shared" si="4"/>
        <v>-3.4232415543708496</v>
      </c>
      <c r="E36" s="6">
        <f t="shared" si="1"/>
        <v>3.2606567482821501E-2</v>
      </c>
      <c r="G36">
        <f>Dymond!G36</f>
        <v>-814</v>
      </c>
      <c r="H36" s="4">
        <f t="shared" si="2"/>
        <v>-825.44756215549853</v>
      </c>
      <c r="I36" s="33">
        <f t="shared" si="3"/>
        <v>-1.4063344171374117</v>
      </c>
      <c r="J36" s="33"/>
    </row>
    <row r="37" spans="1:10" x14ac:dyDescent="0.2">
      <c r="A37">
        <f>Dymond!A37</f>
        <v>100.05000000000001</v>
      </c>
      <c r="B37">
        <f>Dymond!B37</f>
        <v>373.2</v>
      </c>
      <c r="D37" s="6">
        <f t="shared" si="4"/>
        <v>-3.4232415543708496</v>
      </c>
      <c r="E37" s="6">
        <f t="shared" si="1"/>
        <v>3.2606567482821501E-2</v>
      </c>
      <c r="G37">
        <f>Dymond!G37</f>
        <v>-833</v>
      </c>
      <c r="H37" s="4">
        <f t="shared" si="2"/>
        <v>-825.44756215549853</v>
      </c>
      <c r="I37" s="33">
        <f t="shared" si="3"/>
        <v>-0.90665520342154493</v>
      </c>
      <c r="J37" s="33"/>
    </row>
    <row r="38" spans="1:10" x14ac:dyDescent="0.2">
      <c r="A38">
        <f>Dymond!A38</f>
        <v>103.75</v>
      </c>
      <c r="B38">
        <f>Dymond!B38</f>
        <v>376.9</v>
      </c>
      <c r="D38" s="6">
        <f t="shared" si="4"/>
        <v>-3.4530552996593245</v>
      </c>
      <c r="E38" s="6">
        <f t="shared" si="1"/>
        <v>3.1648791965742697E-2</v>
      </c>
      <c r="G38">
        <f>Dymond!G38</f>
        <v>-830</v>
      </c>
      <c r="H38" s="4">
        <f t="shared" si="2"/>
        <v>-805.72558594151735</v>
      </c>
      <c r="I38" s="33">
        <f t="shared" si="3"/>
        <v>-2.9246281998171866</v>
      </c>
      <c r="J38" s="33"/>
    </row>
    <row r="39" spans="1:10" x14ac:dyDescent="0.2">
      <c r="A39">
        <f>Dymond!A39</f>
        <v>107.32000000000005</v>
      </c>
      <c r="B39">
        <f>Dymond!B39</f>
        <v>380.47</v>
      </c>
      <c r="D39" s="6">
        <f t="shared" si="4"/>
        <v>-3.4812718713233348</v>
      </c>
      <c r="E39" s="6">
        <f t="shared" si="1"/>
        <v>3.0768252877458432E-2</v>
      </c>
      <c r="G39">
        <f>Dymond!G39</f>
        <v>-785</v>
      </c>
      <c r="H39" s="4">
        <f t="shared" si="2"/>
        <v>-787.50599487119382</v>
      </c>
      <c r="I39" s="33">
        <f t="shared" si="3"/>
        <v>-0.31923501543870325</v>
      </c>
      <c r="J39" s="33"/>
    </row>
    <row r="40" spans="1:10" x14ac:dyDescent="0.2">
      <c r="A40">
        <f>Dymond!A40</f>
        <v>110.05000000000001</v>
      </c>
      <c r="B40">
        <f>Dymond!B40</f>
        <v>383.2</v>
      </c>
      <c r="D40" s="6">
        <f t="shared" si="4"/>
        <v>-3.5024945067436573</v>
      </c>
      <c r="E40" s="6">
        <f t="shared" si="1"/>
        <v>3.0122149720231532E-2</v>
      </c>
      <c r="G40">
        <f>Dymond!G40</f>
        <v>-808</v>
      </c>
      <c r="H40" s="4">
        <f t="shared" si="2"/>
        <v>-774.08214161058265</v>
      </c>
      <c r="I40" s="33">
        <f t="shared" si="3"/>
        <v>-4.1977547511655136</v>
      </c>
    </row>
    <row r="41" spans="1:10" x14ac:dyDescent="0.2">
      <c r="A41">
        <f>Dymond!A41</f>
        <v>119.95000000000005</v>
      </c>
      <c r="B41">
        <f>Dymond!B41</f>
        <v>393.1</v>
      </c>
      <c r="D41" s="6">
        <f t="shared" si="4"/>
        <v>-3.5769830079069145</v>
      </c>
      <c r="E41" s="6">
        <f t="shared" si="1"/>
        <v>2.795992600981868E-2</v>
      </c>
      <c r="G41">
        <f>Dymond!G41</f>
        <v>-729</v>
      </c>
      <c r="H41" s="4">
        <f t="shared" si="2"/>
        <v>-728.80563335194279</v>
      </c>
      <c r="I41" s="33">
        <f t="shared" si="3"/>
        <v>-2.6662091640221115E-2</v>
      </c>
    </row>
    <row r="42" spans="1:10" x14ac:dyDescent="0.2">
      <c r="A42">
        <f>Dymond!A42</f>
        <v>131.85000000000002</v>
      </c>
      <c r="B42">
        <f>Dymond!B42</f>
        <v>405</v>
      </c>
      <c r="D42" s="6">
        <f t="shared" si="4"/>
        <v>-3.6617001857057785</v>
      </c>
      <c r="E42" s="6">
        <f t="shared" si="1"/>
        <v>2.5688799846585317E-2</v>
      </c>
      <c r="G42">
        <f>Dymond!G42</f>
        <v>-724</v>
      </c>
      <c r="H42" s="4">
        <f t="shared" si="2"/>
        <v>-680.63065530345852</v>
      </c>
      <c r="I42" s="33">
        <f t="shared" si="3"/>
        <v>-5.9902409801852867</v>
      </c>
    </row>
    <row r="43" spans="1:10" x14ac:dyDescent="0.2">
      <c r="A43">
        <f>Dymond!A43</f>
        <v>135.85000000000002</v>
      </c>
      <c r="B43">
        <f>Dymond!B43</f>
        <v>409</v>
      </c>
      <c r="D43" s="6">
        <f t="shared" si="4"/>
        <v>-3.6890695207042241</v>
      </c>
      <c r="E43" s="6">
        <f t="shared" si="1"/>
        <v>2.4995248786780555E-2</v>
      </c>
      <c r="G43">
        <f>Dymond!G43</f>
        <v>-668</v>
      </c>
      <c r="H43" s="4">
        <f t="shared" si="2"/>
        <v>-665.78573564295289</v>
      </c>
      <c r="I43" s="33">
        <f t="shared" si="3"/>
        <v>-0.33147670015675357</v>
      </c>
    </row>
    <row r="44" spans="1:10" x14ac:dyDescent="0.2">
      <c r="A44">
        <f>Dymond!A44</f>
        <v>142.93</v>
      </c>
      <c r="B44">
        <f>Dymond!B44</f>
        <v>416.08</v>
      </c>
      <c r="D44" s="6">
        <f t="shared" si="4"/>
        <v>-3.7362232118060206</v>
      </c>
      <c r="E44" s="6">
        <f t="shared" si="1"/>
        <v>2.3843986976850355E-2</v>
      </c>
      <c r="G44">
        <f>Dymond!G44</f>
        <v>-641</v>
      </c>
      <c r="H44" s="4">
        <f t="shared" si="2"/>
        <v>-640.99999984032115</v>
      </c>
      <c r="I44" s="33">
        <f t="shared" si="3"/>
        <v>-2.491089671168421E-8</v>
      </c>
    </row>
    <row r="45" spans="1:10" x14ac:dyDescent="0.2">
      <c r="A45">
        <f>Dymond!A45</f>
        <v>143.35000000000002</v>
      </c>
      <c r="B45">
        <f>Dymond!B45</f>
        <v>416.5</v>
      </c>
      <c r="D45" s="6">
        <f t="shared" si="4"/>
        <v>-3.7389700939681965</v>
      </c>
      <c r="E45" s="6">
        <f t="shared" si="1"/>
        <v>2.3778580227791085E-2</v>
      </c>
      <c r="G45">
        <f>Dymond!G45</f>
        <v>-638</v>
      </c>
      <c r="H45" s="4">
        <f t="shared" si="2"/>
        <v>-639.58634724598539</v>
      </c>
      <c r="I45" s="33">
        <f t="shared" si="3"/>
        <v>-0.24864376896322787</v>
      </c>
    </row>
    <row r="46" spans="1:10" x14ac:dyDescent="0.2">
      <c r="A46">
        <f>Dymond!A46</f>
        <v>151.05000000000001</v>
      </c>
      <c r="B46">
        <f>Dymond!B46</f>
        <v>424.2</v>
      </c>
      <c r="D46" s="6">
        <f t="shared" si="4"/>
        <v>-3.7883656229263072</v>
      </c>
      <c r="E46" s="6">
        <f t="shared" si="1"/>
        <v>2.2632561779756387E-2</v>
      </c>
      <c r="G46">
        <f>Dymond!G46</f>
        <v>-572</v>
      </c>
      <c r="H46" s="4">
        <f t="shared" si="2"/>
        <v>-614.71893846101625</v>
      </c>
      <c r="I46" s="33">
        <f t="shared" si="3"/>
        <v>-7.4683458847930506</v>
      </c>
    </row>
    <row r="47" spans="1:10" x14ac:dyDescent="0.2">
      <c r="A47">
        <f>Dymond!A47</f>
        <v>156.55000000000001</v>
      </c>
      <c r="B47">
        <f>Dymond!B47</f>
        <v>429.7</v>
      </c>
      <c r="D47" s="6">
        <f t="shared" si="4"/>
        <v>-3.8225642961053574</v>
      </c>
      <c r="E47" s="6">
        <f t="shared" si="1"/>
        <v>2.1871643552628044E-2</v>
      </c>
      <c r="G47">
        <f>Dymond!G47</f>
        <v>-599</v>
      </c>
      <c r="H47" s="4">
        <f t="shared" si="2"/>
        <v>-598.1031789733496</v>
      </c>
      <c r="I47" s="33">
        <f t="shared" si="3"/>
        <v>-0.14971970394831388</v>
      </c>
    </row>
    <row r="48" spans="1:10" x14ac:dyDescent="0.2">
      <c r="A48">
        <f>Dymond!A48</f>
        <v>164.65000000000003</v>
      </c>
      <c r="B48">
        <f>Dymond!B48</f>
        <v>437.8</v>
      </c>
      <c r="D48" s="6">
        <f t="shared" si="4"/>
        <v>-3.8713650457281328</v>
      </c>
      <c r="E48" s="6">
        <f t="shared" si="1"/>
        <v>2.0829916221515286E-2</v>
      </c>
      <c r="G48">
        <f>Dymond!G48</f>
        <v>-516</v>
      </c>
      <c r="H48" s="4">
        <f t="shared" si="2"/>
        <v>-575.21649495818292</v>
      </c>
      <c r="I48" s="33">
        <f t="shared" si="3"/>
        <v>-11.476064914376535</v>
      </c>
    </row>
    <row r="49" spans="1:9" x14ac:dyDescent="0.2">
      <c r="A49">
        <f>Dymond!A49</f>
        <v>184.52000000000004</v>
      </c>
      <c r="B49">
        <f>Dymond!B49</f>
        <v>457.67</v>
      </c>
      <c r="D49" s="6">
        <f t="shared" si="4"/>
        <v>-3.9837614064634002</v>
      </c>
      <c r="E49" s="6">
        <f t="shared" si="1"/>
        <v>1.8615487071459498E-2</v>
      </c>
      <c r="G49">
        <f>Dymond!G49</f>
        <v>-521</v>
      </c>
      <c r="H49" s="4">
        <f t="shared" si="2"/>
        <v>-526.01543010298599</v>
      </c>
      <c r="I49" s="33">
        <f t="shared" si="3"/>
        <v>-0.96265453032360615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Dymond</vt:lpstr>
      <vt:lpstr>Tsonopolous</vt:lpstr>
      <vt:lpstr>Chem</vt:lpstr>
    </vt:vector>
  </TitlesOfParts>
  <Company>Xyris Technology 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Focke</dc:creator>
  <cp:lastModifiedBy>User</cp:lastModifiedBy>
  <dcterms:created xsi:type="dcterms:W3CDTF">2002-09-22T07:23:23Z</dcterms:created>
  <dcterms:modified xsi:type="dcterms:W3CDTF">2015-04-19T10:13:39Z</dcterms:modified>
</cp:coreProperties>
</file>