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AA A UP\Courses\CIR 310\2016 CIR310 Project\Benzene-cyclohexane\"/>
    </mc:Choice>
  </mc:AlternateContent>
  <bookViews>
    <workbookView xWindow="300" yWindow="90" windowWidth="12120" windowHeight="9120" tabRatio="603" activeTab="4"/>
  </bookViews>
  <sheets>
    <sheet name="Parameters" sheetId="2" r:id="rId1"/>
    <sheet name="Alpha" sheetId="29" r:id="rId2"/>
    <sheet name="8" sheetId="13" r:id="rId3"/>
    <sheet name="10" sheetId="19" r:id="rId4"/>
    <sheet name="14" sheetId="20" r:id="rId5"/>
    <sheet name="20" sheetId="21" r:id="rId6"/>
    <sheet name="24.91" sheetId="22" r:id="rId7"/>
    <sheet name="25" sheetId="23" r:id="rId8"/>
    <sheet name="40" sheetId="24" r:id="rId9"/>
    <sheet name="45" sheetId="25" r:id="rId10"/>
    <sheet name="55" sheetId="28" r:id="rId11"/>
    <sheet name="60" sheetId="27" r:id="rId12"/>
    <sheet name="70" sheetId="26" r:id="rId13"/>
  </sheets>
  <definedNames>
    <definedName name="solver_adj" localSheetId="3" hidden="1">'10'!$B$13:$B$14</definedName>
    <definedName name="solver_adj" localSheetId="4" hidden="1">'14'!$B$13:$B$14</definedName>
    <definedName name="solver_adj" localSheetId="5" hidden="1">'20'!$B$13:$B$14</definedName>
    <definedName name="solver_adj" localSheetId="6" hidden="1">'24.91'!$B$13:$B$14</definedName>
    <definedName name="solver_adj" localSheetId="7" hidden="1">'25'!$B$13:$B$14</definedName>
    <definedName name="solver_adj" localSheetId="8" hidden="1">'40'!$B$13:$B$14</definedName>
    <definedName name="solver_adj" localSheetId="9" hidden="1">'45'!$B$13:$B$14</definedName>
    <definedName name="solver_adj" localSheetId="10" hidden="1">'55'!$B$13:$B$14</definedName>
    <definedName name="solver_adj" localSheetId="11" hidden="1">'60'!$B$13:$B$14</definedName>
    <definedName name="solver_adj" localSheetId="12" hidden="1">'70'!$B$13:$B$14</definedName>
    <definedName name="solver_adj" localSheetId="2" hidden="1">'8'!$B$13:$B$14</definedName>
    <definedName name="solver_adj" localSheetId="0" hidden="1">Parameters!#REF!,Parameters!#REF!</definedName>
    <definedName name="solver_cvg" localSheetId="3" hidden="1">0.001</definedName>
    <definedName name="solver_cvg" localSheetId="4" hidden="1">0.001</definedName>
    <definedName name="solver_cvg" localSheetId="5" hidden="1">0.001</definedName>
    <definedName name="solver_cvg" localSheetId="6" hidden="1">0.001</definedName>
    <definedName name="solver_cvg" localSheetId="7" hidden="1">0.001</definedName>
    <definedName name="solver_cvg" localSheetId="8" hidden="1">0.001</definedName>
    <definedName name="solver_cvg" localSheetId="9" hidden="1">0.001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2" hidden="1">0.001</definedName>
    <definedName name="solver_cvg" localSheetId="0" hidden="1">0.001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2" hidden="1">1</definedName>
    <definedName name="solver_drv" localSheetId="0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2" hidden="1">1</definedName>
    <definedName name="solver_est" localSheetId="0" hidden="1">1</definedName>
    <definedName name="solver_itr" localSheetId="3" hidden="1">1000</definedName>
    <definedName name="solver_itr" localSheetId="4" hidden="1">1000</definedName>
    <definedName name="solver_itr" localSheetId="5" hidden="1">1000</definedName>
    <definedName name="solver_itr" localSheetId="6" hidden="1">1000</definedName>
    <definedName name="solver_itr" localSheetId="7" hidden="1">1000</definedName>
    <definedName name="solver_itr" localSheetId="8" hidden="1">1000</definedName>
    <definedName name="solver_itr" localSheetId="9" hidden="1">1000</definedName>
    <definedName name="solver_itr" localSheetId="10" hidden="1">100</definedName>
    <definedName name="solver_itr" localSheetId="11" hidden="1">100</definedName>
    <definedName name="solver_itr" localSheetId="12" hidden="1">100</definedName>
    <definedName name="solver_itr" localSheetId="2" hidden="1">1000</definedName>
    <definedName name="solver_itr" localSheetId="0" hidden="1">100</definedName>
    <definedName name="solver_lhs1" localSheetId="3" hidden="1">'10'!$S$12:$S$21</definedName>
    <definedName name="solver_lhs1" localSheetId="4" hidden="1">'14'!$S$12:$S$23</definedName>
    <definedName name="solver_lhs1" localSheetId="5" hidden="1">'20'!$S$12:$S$23</definedName>
    <definedName name="solver_lhs1" localSheetId="6" hidden="1">'24.91'!$S$12:$S$21</definedName>
    <definedName name="solver_lhs1" localSheetId="7" hidden="1">'25'!$S$12:$S$22</definedName>
    <definedName name="solver_lhs1" localSheetId="8" hidden="1">'40'!$S$12:$S$26</definedName>
    <definedName name="solver_lhs1" localSheetId="9" hidden="1">'45'!$S$12:$S$16</definedName>
    <definedName name="solver_lhs1" localSheetId="2" hidden="1">'8'!$S$11:$S$24</definedName>
    <definedName name="solver_lhs1" localSheetId="0" hidden="1">Parameters!#REF!</definedName>
    <definedName name="solver_lhs2" localSheetId="3" hidden="1">'10'!$X$11:$X$22</definedName>
    <definedName name="solver_lhs2" localSheetId="4" hidden="1">'14'!$X$11:$X$24</definedName>
    <definedName name="solver_lhs2" localSheetId="5" hidden="1">'20'!$X$11:$X$24</definedName>
    <definedName name="solver_lhs2" localSheetId="6" hidden="1">'24.91'!$X$11:$X$22</definedName>
    <definedName name="solver_lhs2" localSheetId="7" hidden="1">'25'!$X$11:$X$23</definedName>
    <definedName name="solver_lhs2" localSheetId="8" hidden="1">'40'!$X$11:$X$27</definedName>
    <definedName name="solver_lhs2" localSheetId="9" hidden="1">'45'!$X$11:$X$17</definedName>
    <definedName name="solver_lhs2" localSheetId="2" hidden="1">'8'!$L$24</definedName>
    <definedName name="solver_lhs3" localSheetId="3" hidden="1">'10'!$X$12:$X$21</definedName>
    <definedName name="solver_lhs3" localSheetId="4" hidden="1">'14'!$X$12:$X$23</definedName>
    <definedName name="solver_lhs3" localSheetId="5" hidden="1">'20'!$X$12:$X$23</definedName>
    <definedName name="solver_lhs3" localSheetId="6" hidden="1">'24.91'!$X$12:$X$21</definedName>
    <definedName name="solver_lhs3" localSheetId="7" hidden="1">'25'!$X$12:$X$22</definedName>
    <definedName name="solver_lhs3" localSheetId="8" hidden="1">'40'!$X$12:$X$26</definedName>
    <definedName name="solver_lhs3" localSheetId="9" hidden="1">'45'!$X$12:$X$16</definedName>
    <definedName name="solver_lhs3" localSheetId="2" hidden="1">'8'!$X$12:$X$23</definedName>
    <definedName name="solver_lhs4" localSheetId="3" hidden="1">'10'!$K$11</definedName>
    <definedName name="solver_lhs4" localSheetId="4" hidden="1">'14'!$K$11</definedName>
    <definedName name="solver_lhs4" localSheetId="5" hidden="1">'20'!$K$11</definedName>
    <definedName name="solver_lhs4" localSheetId="6" hidden="1">'24.91'!$K$11</definedName>
    <definedName name="solver_lhs4" localSheetId="7" hidden="1">'25'!$K$11</definedName>
    <definedName name="solver_lhs4" localSheetId="8" hidden="1">'40'!$K$11</definedName>
    <definedName name="solver_lhs4" localSheetId="9" hidden="1">'45'!$K$11</definedName>
    <definedName name="solver_lhs4" localSheetId="2" hidden="1">'8'!$K$11</definedName>
    <definedName name="solver_lhs5" localSheetId="3" hidden="1">'10'!$L$22</definedName>
    <definedName name="solver_lhs5" localSheetId="4" hidden="1">'14'!$L$24</definedName>
    <definedName name="solver_lhs5" localSheetId="5" hidden="1">'20'!$L$24</definedName>
    <definedName name="solver_lhs5" localSheetId="6" hidden="1">'24.91'!$L$22</definedName>
    <definedName name="solver_lhs5" localSheetId="7" hidden="1">'25'!$L$23</definedName>
    <definedName name="solver_lhs5" localSheetId="8" hidden="1">'40'!$L$27</definedName>
    <definedName name="solver_lhs5" localSheetId="9" hidden="1">'45'!$L$17</definedName>
    <definedName name="solver_lhs5" localSheetId="2" hidden="1">'8'!$L$24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2" hidden="1">2</definedName>
    <definedName name="solver_lin" localSheetId="0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eg" localSheetId="10" hidden="1">2</definedName>
    <definedName name="solver_neg" localSheetId="11" hidden="1">2</definedName>
    <definedName name="solver_neg" localSheetId="12" hidden="1">2</definedName>
    <definedName name="solver_neg" localSheetId="2" hidden="1">2</definedName>
    <definedName name="solver_neg" localSheetId="0" hidden="1">2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num" localSheetId="7" hidden="1">1</definedName>
    <definedName name="solver_num" localSheetId="8" hidden="1">1</definedName>
    <definedName name="solver_num" localSheetId="9" hidden="1">1</definedName>
    <definedName name="solver_num" localSheetId="10" hidden="1">0</definedName>
    <definedName name="solver_num" localSheetId="11" hidden="1">0</definedName>
    <definedName name="solver_num" localSheetId="12" hidden="1">0</definedName>
    <definedName name="solver_num" localSheetId="2" hidden="1">1</definedName>
    <definedName name="solver_num" localSheetId="0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2" hidden="1">1</definedName>
    <definedName name="solver_nwt" localSheetId="0" hidden="1">1</definedName>
    <definedName name="solver_opt" localSheetId="3" hidden="1">'10'!$R$26</definedName>
    <definedName name="solver_opt" localSheetId="4" hidden="1">'14'!$R$28</definedName>
    <definedName name="solver_opt" localSheetId="5" hidden="1">'20'!$R$28</definedName>
    <definedName name="solver_opt" localSheetId="6" hidden="1">'24.91'!$R$26</definedName>
    <definedName name="solver_opt" localSheetId="7" hidden="1">'25'!$R$27</definedName>
    <definedName name="solver_opt" localSheetId="8" hidden="1">'40'!$R$31</definedName>
    <definedName name="solver_opt" localSheetId="9" hidden="1">'45'!$R$21</definedName>
    <definedName name="solver_opt" localSheetId="10" hidden="1">'55'!$R$30</definedName>
    <definedName name="solver_opt" localSheetId="11" hidden="1">'60'!$R$26</definedName>
    <definedName name="solver_opt" localSheetId="12" hidden="1">'70'!$R$28</definedName>
    <definedName name="solver_opt" localSheetId="2" hidden="1">'8'!$S$28</definedName>
    <definedName name="solver_opt" localSheetId="0" hidden="1">Parameters!#REF!</definedName>
    <definedName name="solver_pre" localSheetId="3" hidden="1">0.0001</definedName>
    <definedName name="solver_pre" localSheetId="4" hidden="1">0.00000000001</definedName>
    <definedName name="solver_pre" localSheetId="5" hidden="1">0.000000000001</definedName>
    <definedName name="solver_pre" localSheetId="6" hidden="1">0.000000000001</definedName>
    <definedName name="solver_pre" localSheetId="7" hidden="1">0.0000000001</definedName>
    <definedName name="solver_pre" localSheetId="8" hidden="1">0.000000000001</definedName>
    <definedName name="solver_pre" localSheetId="9" hidden="1">0.000000000001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2" hidden="1">0.00000000001</definedName>
    <definedName name="solver_pre" localSheetId="0" hidden="1">0.000001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2" hidden="1">1</definedName>
    <definedName name="solver_rel1" localSheetId="0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2" hidden="1">2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2" hidden="1">1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9" hidden="1">2</definedName>
    <definedName name="solver_rel4" localSheetId="2" hidden="1">2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2</definedName>
    <definedName name="solver_rel5" localSheetId="9" hidden="1">2</definedName>
    <definedName name="solver_rel5" localSheetId="2" hidden="1">2</definedName>
    <definedName name="solver_rhs1" localSheetId="3" hidden="1">0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1" localSheetId="9" hidden="1">0</definedName>
    <definedName name="solver_rhs1" localSheetId="2" hidden="1">0</definedName>
    <definedName name="solver_rhs1" localSheetId="0" hidden="1">0</definedName>
    <definedName name="solver_rhs2" localSheetId="3" hidden="1">0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2" localSheetId="7" hidden="1">0</definedName>
    <definedName name="solver_rhs2" localSheetId="8" hidden="1">0</definedName>
    <definedName name="solver_rhs2" localSheetId="9" hidden="1">0</definedName>
    <definedName name="solver_rhs2" localSheetId="2" hidden="1">'8'!$I$24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hs3" localSheetId="8" hidden="1">0</definedName>
    <definedName name="solver_rhs3" localSheetId="9" hidden="1">0</definedName>
    <definedName name="solver_rhs3" localSheetId="2" hidden="1">0</definedName>
    <definedName name="solver_rhs4" localSheetId="3" hidden="1">0.26</definedName>
    <definedName name="solver_rhs4" localSheetId="4" hidden="1">0.26</definedName>
    <definedName name="solver_rhs4" localSheetId="5" hidden="1">0.26</definedName>
    <definedName name="solver_rhs4" localSheetId="6" hidden="1">0.26</definedName>
    <definedName name="solver_rhs4" localSheetId="7" hidden="1">0.26</definedName>
    <definedName name="solver_rhs4" localSheetId="8" hidden="1">0.26</definedName>
    <definedName name="solver_rhs4" localSheetId="9" hidden="1">0.26</definedName>
    <definedName name="solver_rhs4" localSheetId="2" hidden="1">0.26</definedName>
    <definedName name="solver_rhs5" localSheetId="3" hidden="1">0.39</definedName>
    <definedName name="solver_rhs5" localSheetId="4" hidden="1">0.39</definedName>
    <definedName name="solver_rhs5" localSheetId="5" hidden="1">0.39</definedName>
    <definedName name="solver_rhs5" localSheetId="6" hidden="1">0.39</definedName>
    <definedName name="solver_rhs5" localSheetId="7" hidden="1">0.39</definedName>
    <definedName name="solver_rhs5" localSheetId="8" hidden="1">0.39</definedName>
    <definedName name="solver_rhs5" localSheetId="9" hidden="1">0.39</definedName>
    <definedName name="solver_rhs5" localSheetId="2" hidden="1">0.39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cl" localSheetId="11" hidden="1">2</definedName>
    <definedName name="solver_scl" localSheetId="12" hidden="1">2</definedName>
    <definedName name="solver_scl" localSheetId="2" hidden="1">2</definedName>
    <definedName name="solver_scl" localSheetId="0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2" hidden="1">2</definedName>
    <definedName name="solver_sho" localSheetId="0" hidden="1">2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2" hidden="1">100</definedName>
    <definedName name="solver_tim" localSheetId="0" hidden="1">100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2" hidden="1">0.05</definedName>
    <definedName name="solver_tol" localSheetId="0" hidden="1">0.05</definedName>
    <definedName name="solver_typ" localSheetId="3" hidden="1">2</definedName>
    <definedName name="solver_typ" localSheetId="4" hidden="1">2</definedName>
    <definedName name="solver_typ" localSheetId="5" hidden="1">3</definedName>
    <definedName name="solver_typ" localSheetId="6" hidden="1">3</definedName>
    <definedName name="solver_typ" localSheetId="7" hidden="1">2</definedName>
    <definedName name="solver_typ" localSheetId="8" hidden="1">3</definedName>
    <definedName name="solver_typ" localSheetId="9" hidden="1">3</definedName>
    <definedName name="solver_typ" localSheetId="10" hidden="1">3</definedName>
    <definedName name="solver_typ" localSheetId="11" hidden="1">2</definedName>
    <definedName name="solver_typ" localSheetId="12" hidden="1">3</definedName>
    <definedName name="solver_typ" localSheetId="2" hidden="1">3</definedName>
    <definedName name="solver_typ" localSheetId="0" hidden="1">2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2" hidden="1">0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C3" i="19" l="1"/>
  <c r="H3" i="19"/>
  <c r="B9" i="19"/>
  <c r="B11" i="19"/>
  <c r="C11" i="19"/>
  <c r="E11" i="19"/>
  <c r="G11" i="19"/>
  <c r="J11" i="19"/>
  <c r="E12" i="19"/>
  <c r="G12" i="19"/>
  <c r="E13" i="19"/>
  <c r="M13" i="19" s="1"/>
  <c r="G13" i="19"/>
  <c r="K13" i="19"/>
  <c r="N13" i="19"/>
  <c r="L13" i="19" s="1"/>
  <c r="O13" i="19"/>
  <c r="E14" i="19"/>
  <c r="M14" i="19" s="1"/>
  <c r="T14" i="19" s="1"/>
  <c r="V14" i="19" s="1"/>
  <c r="G14" i="19"/>
  <c r="H14" i="19"/>
  <c r="N14" i="19"/>
  <c r="L14" i="19" s="1"/>
  <c r="E15" i="19"/>
  <c r="G15" i="19"/>
  <c r="I15" i="19" s="1"/>
  <c r="H15" i="19"/>
  <c r="M15" i="19"/>
  <c r="N15" i="19"/>
  <c r="L15" i="19" s="1"/>
  <c r="E16" i="19"/>
  <c r="G16" i="19"/>
  <c r="I16" i="19" s="1"/>
  <c r="E17" i="19"/>
  <c r="G17" i="19"/>
  <c r="E18" i="19"/>
  <c r="M18" i="19" s="1"/>
  <c r="K18" i="19" s="1"/>
  <c r="O18" i="19" s="1"/>
  <c r="G15" i="29" s="1"/>
  <c r="G18" i="19"/>
  <c r="H18" i="19"/>
  <c r="N18" i="19"/>
  <c r="L18" i="19" s="1"/>
  <c r="E19" i="19"/>
  <c r="G19" i="19"/>
  <c r="I19" i="19" s="1"/>
  <c r="H19" i="19"/>
  <c r="M19" i="19"/>
  <c r="K19" i="19" s="1"/>
  <c r="N19" i="19"/>
  <c r="L19" i="19" s="1"/>
  <c r="E20" i="19"/>
  <c r="G20" i="19"/>
  <c r="I20" i="19"/>
  <c r="M20" i="19"/>
  <c r="N20" i="19"/>
  <c r="L20" i="19" s="1"/>
  <c r="E21" i="19"/>
  <c r="G21" i="19"/>
  <c r="C22" i="19"/>
  <c r="H13" i="19" s="1"/>
  <c r="E22" i="19"/>
  <c r="G22" i="19"/>
  <c r="J22" i="19"/>
  <c r="U22" i="19"/>
  <c r="N1" i="20"/>
  <c r="N2" i="20"/>
  <c r="C3" i="20"/>
  <c r="H3" i="20"/>
  <c r="B9" i="20"/>
  <c r="B11" i="20"/>
  <c r="C11" i="20"/>
  <c r="E11" i="20"/>
  <c r="G11" i="20"/>
  <c r="J11" i="20"/>
  <c r="E12" i="20"/>
  <c r="G12" i="20"/>
  <c r="E13" i="20"/>
  <c r="N13" i="20" s="1"/>
  <c r="L13" i="20" s="1"/>
  <c r="G13" i="20"/>
  <c r="I13" i="20" s="1"/>
  <c r="M13" i="20"/>
  <c r="E14" i="20"/>
  <c r="N14" i="20" s="1"/>
  <c r="L14" i="20" s="1"/>
  <c r="G14" i="20"/>
  <c r="I14" i="20" s="1"/>
  <c r="M14" i="20"/>
  <c r="E15" i="20"/>
  <c r="G15" i="20"/>
  <c r="N15" i="20"/>
  <c r="L15" i="20" s="1"/>
  <c r="E16" i="20"/>
  <c r="M16" i="20" s="1"/>
  <c r="G16" i="20"/>
  <c r="K16" i="20"/>
  <c r="N16" i="20"/>
  <c r="L16" i="20" s="1"/>
  <c r="E17" i="20"/>
  <c r="G17" i="20"/>
  <c r="I17" i="20" s="1"/>
  <c r="K17" i="20"/>
  <c r="L17" i="20"/>
  <c r="O17" i="20" s="1"/>
  <c r="M17" i="20"/>
  <c r="N17" i="20"/>
  <c r="T17" i="20"/>
  <c r="V17" i="20" s="1"/>
  <c r="E18" i="20"/>
  <c r="G18" i="20"/>
  <c r="I18" i="20"/>
  <c r="L18" i="20"/>
  <c r="M18" i="20"/>
  <c r="K18" i="20" s="1"/>
  <c r="N18" i="20"/>
  <c r="E19" i="20"/>
  <c r="G19" i="20"/>
  <c r="E20" i="20"/>
  <c r="G20" i="20"/>
  <c r="I20" i="20" s="1"/>
  <c r="M20" i="20"/>
  <c r="N20" i="20"/>
  <c r="L20" i="20" s="1"/>
  <c r="E21" i="20"/>
  <c r="M21" i="20" s="1"/>
  <c r="G21" i="20"/>
  <c r="I21" i="20" s="1"/>
  <c r="K21" i="20"/>
  <c r="E22" i="20"/>
  <c r="G22" i="20"/>
  <c r="E23" i="20"/>
  <c r="G23" i="20"/>
  <c r="C24" i="20"/>
  <c r="E24" i="20"/>
  <c r="G24" i="20"/>
  <c r="J24" i="20"/>
  <c r="N1" i="21"/>
  <c r="N2" i="21"/>
  <c r="C3" i="21"/>
  <c r="H3" i="21"/>
  <c r="N7" i="21"/>
  <c r="B9" i="21"/>
  <c r="B11" i="21"/>
  <c r="C11" i="21"/>
  <c r="I22" i="21" s="1"/>
  <c r="E11" i="21"/>
  <c r="G11" i="21"/>
  <c r="J11" i="21"/>
  <c r="M11" i="21"/>
  <c r="K11" i="21" s="1"/>
  <c r="E12" i="21"/>
  <c r="N12" i="21" s="1"/>
  <c r="G12" i="21"/>
  <c r="L12" i="21"/>
  <c r="M12" i="21"/>
  <c r="E13" i="21"/>
  <c r="G13" i="21"/>
  <c r="M13" i="21"/>
  <c r="E14" i="21"/>
  <c r="G14" i="21"/>
  <c r="M14" i="21"/>
  <c r="N14" i="21"/>
  <c r="L14" i="21" s="1"/>
  <c r="E15" i="21"/>
  <c r="M15" i="21" s="1"/>
  <c r="G15" i="21"/>
  <c r="K15" i="21"/>
  <c r="E16" i="21"/>
  <c r="G16" i="21"/>
  <c r="H16" i="21"/>
  <c r="L16" i="21"/>
  <c r="M16" i="21"/>
  <c r="K16" i="21" s="1"/>
  <c r="N16" i="21"/>
  <c r="T16" i="21"/>
  <c r="V16" i="21" s="1"/>
  <c r="E17" i="21"/>
  <c r="M17" i="21" s="1"/>
  <c r="K17" i="21" s="1"/>
  <c r="G17" i="21"/>
  <c r="E18" i="21"/>
  <c r="N18" i="21" s="1"/>
  <c r="L18" i="21" s="1"/>
  <c r="G18" i="21"/>
  <c r="M18" i="21"/>
  <c r="E19" i="21"/>
  <c r="M19" i="21" s="1"/>
  <c r="K19" i="21" s="1"/>
  <c r="G19" i="21"/>
  <c r="H19" i="21"/>
  <c r="L19" i="21"/>
  <c r="N19" i="21"/>
  <c r="E20" i="21"/>
  <c r="N20" i="21" s="1"/>
  <c r="L20" i="21" s="1"/>
  <c r="G20" i="21"/>
  <c r="I20" i="21" s="1"/>
  <c r="E21" i="21"/>
  <c r="G21" i="21"/>
  <c r="H21" i="21"/>
  <c r="N21" i="21"/>
  <c r="L21" i="21" s="1"/>
  <c r="E22" i="21"/>
  <c r="N22" i="21" s="1"/>
  <c r="L22" i="21" s="1"/>
  <c r="G22" i="21"/>
  <c r="K22" i="21"/>
  <c r="M22" i="21"/>
  <c r="E23" i="21"/>
  <c r="M23" i="21" s="1"/>
  <c r="G23" i="21"/>
  <c r="K23" i="21"/>
  <c r="N23" i="21"/>
  <c r="C24" i="21"/>
  <c r="H14" i="21" s="1"/>
  <c r="E24" i="21"/>
  <c r="G24" i="21"/>
  <c r="J24" i="21"/>
  <c r="M24" i="21"/>
  <c r="K24" i="21" s="1"/>
  <c r="N24" i="21"/>
  <c r="U24" i="21"/>
  <c r="N1" i="22"/>
  <c r="N2" i="22"/>
  <c r="C3" i="22"/>
  <c r="H3" i="22"/>
  <c r="B9" i="22"/>
  <c r="B11" i="22"/>
  <c r="C11" i="22"/>
  <c r="E11" i="22"/>
  <c r="M11" i="22" s="1"/>
  <c r="G11" i="22"/>
  <c r="J11" i="22"/>
  <c r="U11" i="22"/>
  <c r="E12" i="22"/>
  <c r="G12" i="22"/>
  <c r="I12" i="22" s="1"/>
  <c r="K12" i="22"/>
  <c r="P12" i="22" s="1"/>
  <c r="Q12" i="22" s="1"/>
  <c r="M12" i="22"/>
  <c r="T12" i="22" s="1"/>
  <c r="V12" i="22" s="1"/>
  <c r="N12" i="22"/>
  <c r="L12" i="22" s="1"/>
  <c r="E13" i="22"/>
  <c r="G13" i="22"/>
  <c r="I13" i="22" s="1"/>
  <c r="M13" i="22"/>
  <c r="K13" i="22" s="1"/>
  <c r="N13" i="22"/>
  <c r="L13" i="22" s="1"/>
  <c r="E14" i="22"/>
  <c r="G14" i="22"/>
  <c r="E15" i="22"/>
  <c r="M15" i="22" s="1"/>
  <c r="G15" i="22"/>
  <c r="I15" i="22" s="1"/>
  <c r="K15" i="22"/>
  <c r="N15" i="22"/>
  <c r="L15" i="22" s="1"/>
  <c r="E16" i="22"/>
  <c r="G16" i="22"/>
  <c r="I16" i="22" s="1"/>
  <c r="K16" i="22"/>
  <c r="L16" i="22"/>
  <c r="O16" i="22" s="1"/>
  <c r="S13" i="29" s="1"/>
  <c r="M16" i="22"/>
  <c r="N16" i="22"/>
  <c r="T16" i="22"/>
  <c r="V16" i="22" s="1"/>
  <c r="E17" i="22"/>
  <c r="G17" i="22"/>
  <c r="I17" i="22"/>
  <c r="M17" i="22"/>
  <c r="K17" i="22" s="1"/>
  <c r="N17" i="22"/>
  <c r="L17" i="22" s="1"/>
  <c r="T17" i="22"/>
  <c r="V17" i="22" s="1"/>
  <c r="E18" i="22"/>
  <c r="G18" i="22"/>
  <c r="M18" i="22"/>
  <c r="E19" i="22"/>
  <c r="G19" i="22"/>
  <c r="E20" i="22"/>
  <c r="G20" i="22"/>
  <c r="E21" i="22"/>
  <c r="G21" i="22"/>
  <c r="M21" i="22"/>
  <c r="C22" i="22"/>
  <c r="H20" i="22" s="1"/>
  <c r="E22" i="22"/>
  <c r="M22" i="22" s="1"/>
  <c r="G22" i="22"/>
  <c r="J22" i="22"/>
  <c r="N22" i="22"/>
  <c r="L22" i="22" s="1"/>
  <c r="N1" i="23"/>
  <c r="N2" i="23"/>
  <c r="C3" i="23"/>
  <c r="H3" i="23"/>
  <c r="N7" i="23"/>
  <c r="B9" i="23"/>
  <c r="B11" i="23"/>
  <c r="C11" i="23"/>
  <c r="E11" i="23"/>
  <c r="G11" i="23"/>
  <c r="J11" i="23"/>
  <c r="M11" i="23"/>
  <c r="N11" i="23"/>
  <c r="L11" i="23" s="1"/>
  <c r="U11" i="23"/>
  <c r="E12" i="23"/>
  <c r="G12" i="23"/>
  <c r="I12" i="23" s="1"/>
  <c r="M12" i="23"/>
  <c r="N12" i="23"/>
  <c r="L12" i="23" s="1"/>
  <c r="E13" i="23"/>
  <c r="N13" i="23" s="1"/>
  <c r="G13" i="23"/>
  <c r="I13" i="23" s="1"/>
  <c r="L13" i="23"/>
  <c r="M13" i="23"/>
  <c r="E14" i="23"/>
  <c r="G14" i="23"/>
  <c r="E15" i="23"/>
  <c r="M15" i="23" s="1"/>
  <c r="G15" i="23"/>
  <c r="N15" i="23"/>
  <c r="L15" i="23" s="1"/>
  <c r="E16" i="23"/>
  <c r="G16" i="23"/>
  <c r="E17" i="23"/>
  <c r="G17" i="23"/>
  <c r="E18" i="23"/>
  <c r="G18" i="23"/>
  <c r="E19" i="23"/>
  <c r="M19" i="23" s="1"/>
  <c r="K19" i="23" s="1"/>
  <c r="G19" i="23"/>
  <c r="E20" i="23"/>
  <c r="N20" i="23" s="1"/>
  <c r="G20" i="23"/>
  <c r="L20" i="23"/>
  <c r="E21" i="23"/>
  <c r="M21" i="23" s="1"/>
  <c r="G21" i="23"/>
  <c r="E22" i="23"/>
  <c r="M22" i="23" s="1"/>
  <c r="G22" i="23"/>
  <c r="N22" i="23"/>
  <c r="L22" i="23" s="1"/>
  <c r="C23" i="23"/>
  <c r="E23" i="23"/>
  <c r="G23" i="23"/>
  <c r="J23" i="23"/>
  <c r="N1" i="24"/>
  <c r="N2" i="24"/>
  <c r="C3" i="24"/>
  <c r="H3" i="24"/>
  <c r="N7" i="24"/>
  <c r="B9" i="24"/>
  <c r="B11" i="24"/>
  <c r="C11" i="24"/>
  <c r="E11" i="24"/>
  <c r="G11" i="24"/>
  <c r="J11" i="24"/>
  <c r="N11" i="24"/>
  <c r="L11" i="24" s="1"/>
  <c r="E12" i="24"/>
  <c r="G12" i="24"/>
  <c r="M12" i="24"/>
  <c r="E13" i="24"/>
  <c r="G13" i="24"/>
  <c r="E14" i="24"/>
  <c r="M14" i="24" s="1"/>
  <c r="K14" i="24" s="1"/>
  <c r="G14" i="24"/>
  <c r="E15" i="24"/>
  <c r="G15" i="24"/>
  <c r="M15" i="24"/>
  <c r="K15" i="24" s="1"/>
  <c r="N15" i="24"/>
  <c r="L15" i="24" s="1"/>
  <c r="E16" i="24"/>
  <c r="G16" i="24"/>
  <c r="H16" i="24"/>
  <c r="M16" i="24"/>
  <c r="E17" i="24"/>
  <c r="G17" i="24"/>
  <c r="M17" i="24"/>
  <c r="N17" i="24"/>
  <c r="L17" i="24" s="1"/>
  <c r="E18" i="24"/>
  <c r="M18" i="24" s="1"/>
  <c r="G18" i="24"/>
  <c r="K18" i="24"/>
  <c r="E19" i="24"/>
  <c r="G19" i="24"/>
  <c r="E20" i="24"/>
  <c r="M20" i="24" s="1"/>
  <c r="G20" i="24"/>
  <c r="N20" i="24"/>
  <c r="L20" i="24" s="1"/>
  <c r="E21" i="24"/>
  <c r="G21" i="24"/>
  <c r="E22" i="24"/>
  <c r="G22" i="24"/>
  <c r="H22" i="24"/>
  <c r="E23" i="24"/>
  <c r="M23" i="24" s="1"/>
  <c r="G23" i="24"/>
  <c r="N23" i="24"/>
  <c r="L23" i="24" s="1"/>
  <c r="E24" i="24"/>
  <c r="G24" i="24"/>
  <c r="E25" i="24"/>
  <c r="G25" i="24"/>
  <c r="H25" i="24"/>
  <c r="M25" i="24"/>
  <c r="N25" i="24"/>
  <c r="L25" i="24" s="1"/>
  <c r="E26" i="24"/>
  <c r="G26" i="24"/>
  <c r="C27" i="24"/>
  <c r="H15" i="24" s="1"/>
  <c r="E27" i="24"/>
  <c r="G27" i="24"/>
  <c r="J27" i="24"/>
  <c r="N1" i="25"/>
  <c r="N2" i="25"/>
  <c r="C3" i="25"/>
  <c r="H3" i="25"/>
  <c r="N7" i="25"/>
  <c r="B9" i="25"/>
  <c r="B11" i="25"/>
  <c r="C11" i="25"/>
  <c r="E11" i="25"/>
  <c r="G11" i="25"/>
  <c r="J11" i="25"/>
  <c r="M11" i="25"/>
  <c r="N11" i="25"/>
  <c r="L11" i="25" s="1"/>
  <c r="U11" i="25"/>
  <c r="E12" i="25"/>
  <c r="G12" i="25"/>
  <c r="E13" i="25"/>
  <c r="N13" i="25" s="1"/>
  <c r="L13" i="25" s="1"/>
  <c r="G13" i="25"/>
  <c r="I13" i="25" s="1"/>
  <c r="E14" i="25"/>
  <c r="G14" i="25"/>
  <c r="E15" i="25"/>
  <c r="M15" i="25" s="1"/>
  <c r="G15" i="25"/>
  <c r="E16" i="25"/>
  <c r="G16" i="25"/>
  <c r="I16" i="25" s="1"/>
  <c r="H16" i="25"/>
  <c r="M16" i="25"/>
  <c r="N16" i="25"/>
  <c r="L16" i="25" s="1"/>
  <c r="C17" i="25"/>
  <c r="E17" i="25"/>
  <c r="U17" i="25" s="1"/>
  <c r="G17" i="25"/>
  <c r="J17" i="25"/>
  <c r="N17" i="25"/>
  <c r="L17" i="25" s="1"/>
  <c r="N1" i="28"/>
  <c r="N2" i="28"/>
  <c r="C3" i="28"/>
  <c r="H3" i="28"/>
  <c r="N7" i="28"/>
  <c r="B9" i="28"/>
  <c r="B11" i="28"/>
  <c r="C11" i="28"/>
  <c r="E11" i="28"/>
  <c r="N11" i="28" s="1"/>
  <c r="G11" i="28"/>
  <c r="J11" i="28"/>
  <c r="L11" i="28"/>
  <c r="M11" i="28"/>
  <c r="K11" i="28" s="1"/>
  <c r="T11" i="28"/>
  <c r="V11" i="28" s="1"/>
  <c r="X11" i="28" s="1"/>
  <c r="U11" i="28"/>
  <c r="E12" i="28"/>
  <c r="M12" i="28" s="1"/>
  <c r="G12" i="28"/>
  <c r="N12" i="28"/>
  <c r="L12" i="28" s="1"/>
  <c r="E13" i="28"/>
  <c r="G13" i="28"/>
  <c r="E14" i="28"/>
  <c r="N14" i="28" s="1"/>
  <c r="L14" i="28" s="1"/>
  <c r="G14" i="28"/>
  <c r="I14" i="28" s="1"/>
  <c r="E15" i="28"/>
  <c r="G15" i="28"/>
  <c r="E16" i="28"/>
  <c r="M16" i="28" s="1"/>
  <c r="G16" i="28"/>
  <c r="I16" i="28" s="1"/>
  <c r="K16" i="28"/>
  <c r="N16" i="28"/>
  <c r="L16" i="28" s="1"/>
  <c r="E17" i="28"/>
  <c r="G17" i="28"/>
  <c r="I17" i="28" s="1"/>
  <c r="K17" i="28"/>
  <c r="L17" i="28"/>
  <c r="O17" i="28" s="1"/>
  <c r="AI14" i="29" s="1"/>
  <c r="M17" i="28"/>
  <c r="N17" i="28"/>
  <c r="T17" i="28"/>
  <c r="V17" i="28" s="1"/>
  <c r="E18" i="28"/>
  <c r="G18" i="28"/>
  <c r="H18" i="28"/>
  <c r="I18" i="28"/>
  <c r="M18" i="28"/>
  <c r="K18" i="28" s="1"/>
  <c r="N18" i="28"/>
  <c r="L18" i="28" s="1"/>
  <c r="T18" i="28"/>
  <c r="V18" i="28" s="1"/>
  <c r="E19" i="28"/>
  <c r="N19" i="28" s="1"/>
  <c r="L19" i="28" s="1"/>
  <c r="G19" i="28"/>
  <c r="I19" i="28" s="1"/>
  <c r="E20" i="28"/>
  <c r="M20" i="28" s="1"/>
  <c r="G20" i="28"/>
  <c r="E21" i="28"/>
  <c r="G21" i="28"/>
  <c r="E22" i="28"/>
  <c r="G22" i="28"/>
  <c r="I22" i="28"/>
  <c r="L22" i="28"/>
  <c r="M22" i="28"/>
  <c r="K22" i="28" s="1"/>
  <c r="N22" i="28"/>
  <c r="E23" i="28"/>
  <c r="G23" i="28"/>
  <c r="E24" i="28"/>
  <c r="G24" i="28"/>
  <c r="I24" i="28" s="1"/>
  <c r="E25" i="28"/>
  <c r="N25" i="28" s="1"/>
  <c r="G25" i="28"/>
  <c r="L25" i="28"/>
  <c r="M25" i="28"/>
  <c r="E26" i="28"/>
  <c r="G26" i="28"/>
  <c r="I26" i="28" s="1"/>
  <c r="M26" i="28"/>
  <c r="N26" i="28"/>
  <c r="L26" i="28" s="1"/>
  <c r="C27" i="28"/>
  <c r="E27" i="28"/>
  <c r="M27" i="28" s="1"/>
  <c r="K27" i="28" s="1"/>
  <c r="O27" i="28" s="1"/>
  <c r="AI24" i="29" s="1"/>
  <c r="G27" i="28"/>
  <c r="J27" i="28"/>
  <c r="N27" i="28"/>
  <c r="L27" i="28" s="1"/>
  <c r="N1" i="27"/>
  <c r="N2" i="27"/>
  <c r="C3" i="27"/>
  <c r="H3" i="27"/>
  <c r="B9" i="27"/>
  <c r="B11" i="27"/>
  <c r="C11" i="27"/>
  <c r="E11" i="27"/>
  <c r="M11" i="27" s="1"/>
  <c r="G11" i="27"/>
  <c r="J11" i="27"/>
  <c r="N11" i="27"/>
  <c r="L11" i="27" s="1"/>
  <c r="U11" i="27"/>
  <c r="E12" i="27"/>
  <c r="G12" i="27"/>
  <c r="I12" i="27" s="1"/>
  <c r="K12" i="27"/>
  <c r="L12" i="27"/>
  <c r="O12" i="27" s="1"/>
  <c r="AM9" i="29" s="1"/>
  <c r="M12" i="27"/>
  <c r="N12" i="27"/>
  <c r="T12" i="27"/>
  <c r="V12" i="27" s="1"/>
  <c r="E13" i="27"/>
  <c r="G13" i="27"/>
  <c r="H13" i="27"/>
  <c r="I13" i="27"/>
  <c r="M13" i="27"/>
  <c r="K13" i="27" s="1"/>
  <c r="N13" i="27"/>
  <c r="L13" i="27" s="1"/>
  <c r="T13" i="27"/>
  <c r="V13" i="27" s="1"/>
  <c r="E14" i="27"/>
  <c r="N14" i="27" s="1"/>
  <c r="L14" i="27" s="1"/>
  <c r="G14" i="27"/>
  <c r="E15" i="27"/>
  <c r="M15" i="27" s="1"/>
  <c r="K15" i="27" s="1"/>
  <c r="G15" i="27"/>
  <c r="E16" i="27"/>
  <c r="N16" i="27" s="1"/>
  <c r="L16" i="27" s="1"/>
  <c r="G16" i="27"/>
  <c r="I16" i="27" s="1"/>
  <c r="H16" i="27"/>
  <c r="M16" i="27"/>
  <c r="E17" i="27"/>
  <c r="G17" i="27"/>
  <c r="E18" i="27"/>
  <c r="N18" i="27" s="1"/>
  <c r="L18" i="27" s="1"/>
  <c r="G18" i="27"/>
  <c r="I18" i="27" s="1"/>
  <c r="E19" i="27"/>
  <c r="M19" i="27" s="1"/>
  <c r="G19" i="27"/>
  <c r="I19" i="27" s="1"/>
  <c r="K19" i="27"/>
  <c r="N19" i="27"/>
  <c r="L19" i="27" s="1"/>
  <c r="T19" i="27"/>
  <c r="V19" i="27" s="1"/>
  <c r="E20" i="27"/>
  <c r="G20" i="27"/>
  <c r="H20" i="27"/>
  <c r="I20" i="27"/>
  <c r="M20" i="27"/>
  <c r="N20" i="27"/>
  <c r="L20" i="27" s="1"/>
  <c r="E21" i="27"/>
  <c r="M21" i="27" s="1"/>
  <c r="G21" i="27"/>
  <c r="H21" i="27"/>
  <c r="C22" i="27"/>
  <c r="H17" i="27" s="1"/>
  <c r="E22" i="27"/>
  <c r="G22" i="27"/>
  <c r="J22" i="27"/>
  <c r="N1" i="26"/>
  <c r="N2" i="26"/>
  <c r="C3" i="26"/>
  <c r="H3" i="26"/>
  <c r="B9" i="26"/>
  <c r="B11" i="26"/>
  <c r="C11" i="26"/>
  <c r="I13" i="26" s="1"/>
  <c r="E11" i="26"/>
  <c r="G11" i="26"/>
  <c r="J11" i="26"/>
  <c r="M11" i="26"/>
  <c r="N11" i="26"/>
  <c r="L11" i="26" s="1"/>
  <c r="U11" i="26"/>
  <c r="E12" i="26"/>
  <c r="N12" i="26" s="1"/>
  <c r="L12" i="26" s="1"/>
  <c r="G12" i="26"/>
  <c r="M12" i="26"/>
  <c r="K12" i="26" s="1"/>
  <c r="E13" i="26"/>
  <c r="G13" i="26"/>
  <c r="H13" i="26"/>
  <c r="M13" i="26"/>
  <c r="K13" i="26" s="1"/>
  <c r="N13" i="26"/>
  <c r="L13" i="26" s="1"/>
  <c r="E14" i="26"/>
  <c r="N14" i="26" s="1"/>
  <c r="L14" i="26" s="1"/>
  <c r="G14" i="26"/>
  <c r="E15" i="26"/>
  <c r="M15" i="26" s="1"/>
  <c r="G15" i="26"/>
  <c r="H15" i="26"/>
  <c r="E16" i="26"/>
  <c r="G16" i="26"/>
  <c r="I16" i="26" s="1"/>
  <c r="M16" i="26"/>
  <c r="K16" i="26" s="1"/>
  <c r="P16" i="26" s="1"/>
  <c r="Q16" i="26" s="1"/>
  <c r="N16" i="26"/>
  <c r="L16" i="26" s="1"/>
  <c r="E17" i="26"/>
  <c r="G17" i="26"/>
  <c r="I17" i="26" s="1"/>
  <c r="H17" i="26"/>
  <c r="M17" i="26"/>
  <c r="N17" i="26"/>
  <c r="L17" i="26" s="1"/>
  <c r="E18" i="26"/>
  <c r="M18" i="26" s="1"/>
  <c r="K18" i="26" s="1"/>
  <c r="G18" i="26"/>
  <c r="I18" i="26" s="1"/>
  <c r="N18" i="26"/>
  <c r="L18" i="26" s="1"/>
  <c r="E19" i="26"/>
  <c r="M19" i="26" s="1"/>
  <c r="K19" i="26" s="1"/>
  <c r="G19" i="26"/>
  <c r="E20" i="26"/>
  <c r="G20" i="26"/>
  <c r="L20" i="26"/>
  <c r="M20" i="26"/>
  <c r="K20" i="26" s="1"/>
  <c r="N20" i="26"/>
  <c r="E21" i="26"/>
  <c r="G21" i="26"/>
  <c r="I21" i="26" s="1"/>
  <c r="M21" i="26"/>
  <c r="K21" i="26" s="1"/>
  <c r="N21" i="26"/>
  <c r="L21" i="26" s="1"/>
  <c r="E22" i="26"/>
  <c r="M22" i="26" s="1"/>
  <c r="G22" i="26"/>
  <c r="N22" i="26"/>
  <c r="L22" i="26" s="1"/>
  <c r="E23" i="26"/>
  <c r="M23" i="26" s="1"/>
  <c r="G23" i="26"/>
  <c r="C24" i="26"/>
  <c r="H20" i="26" s="1"/>
  <c r="E24" i="26"/>
  <c r="N24" i="26" s="1"/>
  <c r="L24" i="26" s="1"/>
  <c r="G24" i="26"/>
  <c r="J24" i="26"/>
  <c r="M24" i="26"/>
  <c r="U24" i="26"/>
  <c r="N1" i="13"/>
  <c r="N2" i="13"/>
  <c r="C3" i="13"/>
  <c r="H3" i="13"/>
  <c r="B9" i="13"/>
  <c r="B11" i="13"/>
  <c r="C11" i="13"/>
  <c r="E11" i="13"/>
  <c r="G11" i="13"/>
  <c r="J11" i="13"/>
  <c r="E12" i="13"/>
  <c r="G12" i="13"/>
  <c r="E13" i="13"/>
  <c r="M13" i="13" s="1"/>
  <c r="K13" i="13" s="1"/>
  <c r="G13" i="13"/>
  <c r="I13" i="13" s="1"/>
  <c r="N13" i="13"/>
  <c r="L13" i="13" s="1"/>
  <c r="O13" i="13" s="1"/>
  <c r="C10" i="29" s="1"/>
  <c r="T13" i="13"/>
  <c r="V13" i="13" s="1"/>
  <c r="E14" i="13"/>
  <c r="M14" i="13" s="1"/>
  <c r="K14" i="13" s="1"/>
  <c r="G14" i="13"/>
  <c r="I14" i="13"/>
  <c r="N14" i="13"/>
  <c r="L14" i="13" s="1"/>
  <c r="E15" i="13"/>
  <c r="G15" i="13"/>
  <c r="M15" i="13"/>
  <c r="E16" i="13"/>
  <c r="G16" i="13"/>
  <c r="E17" i="13"/>
  <c r="M17" i="13" s="1"/>
  <c r="G17" i="13"/>
  <c r="I17" i="13" s="1"/>
  <c r="E18" i="13"/>
  <c r="G18" i="13"/>
  <c r="I18" i="13" s="1"/>
  <c r="M18" i="13"/>
  <c r="N18" i="13"/>
  <c r="L18" i="13" s="1"/>
  <c r="E19" i="13"/>
  <c r="M19" i="13" s="1"/>
  <c r="G19" i="13"/>
  <c r="E20" i="13"/>
  <c r="N20" i="13" s="1"/>
  <c r="L20" i="13" s="1"/>
  <c r="G20" i="13"/>
  <c r="I20" i="13" s="1"/>
  <c r="M20" i="13"/>
  <c r="E21" i="13"/>
  <c r="M21" i="13" s="1"/>
  <c r="G21" i="13"/>
  <c r="K21" i="13"/>
  <c r="N21" i="13"/>
  <c r="L21" i="13" s="1"/>
  <c r="T21" i="13"/>
  <c r="V21" i="13" s="1"/>
  <c r="E22" i="13"/>
  <c r="G22" i="13"/>
  <c r="E23" i="13"/>
  <c r="G23" i="13"/>
  <c r="I23" i="13"/>
  <c r="M23" i="13"/>
  <c r="K23" i="13" s="1"/>
  <c r="N23" i="13"/>
  <c r="L23" i="13" s="1"/>
  <c r="C24" i="13"/>
  <c r="H15" i="13" s="1"/>
  <c r="E24" i="13"/>
  <c r="G24" i="13"/>
  <c r="J24" i="13"/>
  <c r="B7" i="29"/>
  <c r="C7" i="29"/>
  <c r="F7" i="29"/>
  <c r="G7" i="29"/>
  <c r="J7" i="29"/>
  <c r="K7" i="29"/>
  <c r="N7" i="29"/>
  <c r="O7" i="29"/>
  <c r="R7" i="29"/>
  <c r="S7" i="29"/>
  <c r="V7" i="29"/>
  <c r="W7" i="29"/>
  <c r="Z7" i="29"/>
  <c r="AA7" i="29"/>
  <c r="AD7" i="29"/>
  <c r="AE7" i="29"/>
  <c r="AH7" i="29"/>
  <c r="AI7" i="29"/>
  <c r="AL7" i="29"/>
  <c r="AM7" i="29"/>
  <c r="AP7" i="29"/>
  <c r="AQ7" i="29"/>
  <c r="G10" i="29"/>
  <c r="K14" i="29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 s="1"/>
  <c r="A5" i="2"/>
  <c r="B5" i="2"/>
  <c r="C5" i="2"/>
  <c r="D5" i="2"/>
  <c r="E5" i="2"/>
  <c r="F5" i="2"/>
  <c r="G5" i="2"/>
  <c r="H5" i="2"/>
  <c r="I5" i="2"/>
  <c r="J5" i="2"/>
  <c r="K5" i="2"/>
  <c r="L5" i="2"/>
  <c r="J13" i="26" l="1"/>
  <c r="AP10" i="29" s="1"/>
  <c r="T18" i="13"/>
  <c r="V18" i="13" s="1"/>
  <c r="K18" i="13"/>
  <c r="O18" i="13" s="1"/>
  <c r="C15" i="29" s="1"/>
  <c r="N23" i="26"/>
  <c r="L23" i="26" s="1"/>
  <c r="K16" i="27"/>
  <c r="O16" i="27" s="1"/>
  <c r="AM13" i="29" s="1"/>
  <c r="T16" i="27"/>
  <c r="V16" i="27" s="1"/>
  <c r="M21" i="28"/>
  <c r="N21" i="28"/>
  <c r="L21" i="28" s="1"/>
  <c r="M15" i="28"/>
  <c r="K15" i="28" s="1"/>
  <c r="N15" i="28"/>
  <c r="L15" i="28" s="1"/>
  <c r="K13" i="23"/>
  <c r="O13" i="23" s="1"/>
  <c r="W10" i="29" s="1"/>
  <c r="T13" i="23"/>
  <c r="V13" i="23" s="1"/>
  <c r="X13" i="23" s="1"/>
  <c r="N20" i="22"/>
  <c r="L20" i="22" s="1"/>
  <c r="M20" i="22"/>
  <c r="I14" i="22"/>
  <c r="M14" i="22"/>
  <c r="K14" i="22" s="1"/>
  <c r="N14" i="22"/>
  <c r="L14" i="22" s="1"/>
  <c r="T18" i="21"/>
  <c r="V18" i="21" s="1"/>
  <c r="K18" i="21"/>
  <c r="P18" i="21" s="1"/>
  <c r="Q18" i="21" s="1"/>
  <c r="K14" i="20"/>
  <c r="R14" i="20" s="1"/>
  <c r="S14" i="20" s="1"/>
  <c r="T14" i="20"/>
  <c r="V14" i="20" s="1"/>
  <c r="K15" i="19"/>
  <c r="P15" i="19" s="1"/>
  <c r="Q15" i="19" s="1"/>
  <c r="T15" i="19"/>
  <c r="V15" i="19" s="1"/>
  <c r="O21" i="13"/>
  <c r="C18" i="29" s="1"/>
  <c r="N17" i="13"/>
  <c r="L17" i="13" s="1"/>
  <c r="P17" i="13" s="1"/>
  <c r="N16" i="13"/>
  <c r="L16" i="13" s="1"/>
  <c r="M16" i="13"/>
  <c r="N19" i="26"/>
  <c r="L19" i="26" s="1"/>
  <c r="P19" i="26" s="1"/>
  <c r="Q19" i="26" s="1"/>
  <c r="K17" i="26"/>
  <c r="O17" i="26" s="1"/>
  <c r="AQ14" i="29" s="1"/>
  <c r="T17" i="26"/>
  <c r="V17" i="26" s="1"/>
  <c r="O19" i="27"/>
  <c r="AM16" i="29" s="1"/>
  <c r="N14" i="25"/>
  <c r="L14" i="25" s="1"/>
  <c r="M14" i="25"/>
  <c r="K14" i="25" s="1"/>
  <c r="M21" i="24"/>
  <c r="N21" i="24"/>
  <c r="L21" i="24" s="1"/>
  <c r="I18" i="23"/>
  <c r="M18" i="23"/>
  <c r="K18" i="23" s="1"/>
  <c r="N18" i="23"/>
  <c r="L18" i="23" s="1"/>
  <c r="N11" i="21"/>
  <c r="L11" i="21" s="1"/>
  <c r="O11" i="21" s="1"/>
  <c r="O8" i="29" s="1"/>
  <c r="U11" i="21"/>
  <c r="H22" i="20"/>
  <c r="J22" i="20" s="1"/>
  <c r="J19" i="29" s="1"/>
  <c r="P17" i="20"/>
  <c r="Q17" i="20" s="1"/>
  <c r="P18" i="20"/>
  <c r="R18" i="20" s="1"/>
  <c r="S18" i="20" s="1"/>
  <c r="H23" i="20"/>
  <c r="P12" i="26"/>
  <c r="Q12" i="26" s="1"/>
  <c r="K20" i="27"/>
  <c r="O20" i="27" s="1"/>
  <c r="AM17" i="29" s="1"/>
  <c r="T20" i="27"/>
  <c r="V20" i="27" s="1"/>
  <c r="K16" i="25"/>
  <c r="P16" i="25" s="1"/>
  <c r="Q16" i="25" s="1"/>
  <c r="T16" i="25"/>
  <c r="V16" i="25" s="1"/>
  <c r="M13" i="24"/>
  <c r="N13" i="24"/>
  <c r="L13" i="24" s="1"/>
  <c r="K12" i="21"/>
  <c r="O12" i="21" s="1"/>
  <c r="O9" i="29" s="1"/>
  <c r="T12" i="21"/>
  <c r="V12" i="21" s="1"/>
  <c r="X12" i="21" s="1"/>
  <c r="N11" i="20"/>
  <c r="L11" i="20" s="1"/>
  <c r="M11" i="20"/>
  <c r="U11" i="20"/>
  <c r="H23" i="13"/>
  <c r="I22" i="13"/>
  <c r="N22" i="13"/>
  <c r="L22" i="13" s="1"/>
  <c r="M22" i="13"/>
  <c r="H21" i="13"/>
  <c r="J21" i="13" s="1"/>
  <c r="B18" i="29" s="1"/>
  <c r="D18" i="29" s="1"/>
  <c r="K17" i="13"/>
  <c r="H14" i="13"/>
  <c r="U14" i="13" s="1"/>
  <c r="W14" i="13" s="1"/>
  <c r="N12" i="13"/>
  <c r="L12" i="13" s="1"/>
  <c r="M12" i="13"/>
  <c r="H14" i="26"/>
  <c r="U14" i="26" s="1"/>
  <c r="W14" i="26" s="1"/>
  <c r="H23" i="26"/>
  <c r="H12" i="26"/>
  <c r="J12" i="26" s="1"/>
  <c r="AP9" i="29" s="1"/>
  <c r="AR9" i="29" s="1"/>
  <c r="H19" i="26"/>
  <c r="H21" i="26"/>
  <c r="J21" i="26" s="1"/>
  <c r="AP18" i="29" s="1"/>
  <c r="H16" i="26"/>
  <c r="U16" i="26" s="1"/>
  <c r="W16" i="26" s="1"/>
  <c r="I12" i="26"/>
  <c r="U12" i="26" s="1"/>
  <c r="W12" i="26" s="1"/>
  <c r="K25" i="28"/>
  <c r="T25" i="28"/>
  <c r="V25" i="28" s="1"/>
  <c r="I23" i="28"/>
  <c r="M23" i="28"/>
  <c r="K23" i="28" s="1"/>
  <c r="N23" i="28"/>
  <c r="L23" i="28" s="1"/>
  <c r="N19" i="24"/>
  <c r="L19" i="24" s="1"/>
  <c r="M19" i="24"/>
  <c r="K21" i="22"/>
  <c r="M19" i="20"/>
  <c r="K19" i="20" s="1"/>
  <c r="N19" i="20"/>
  <c r="L19" i="20" s="1"/>
  <c r="K13" i="20"/>
  <c r="T13" i="20"/>
  <c r="V13" i="20" s="1"/>
  <c r="M12" i="20"/>
  <c r="K12" i="20" s="1"/>
  <c r="P12" i="20" s="1"/>
  <c r="Q12" i="20" s="1"/>
  <c r="N12" i="20"/>
  <c r="L12" i="20" s="1"/>
  <c r="O12" i="20" s="1"/>
  <c r="K9" i="29" s="1"/>
  <c r="J13" i="27"/>
  <c r="AL10" i="29" s="1"/>
  <c r="M12" i="25"/>
  <c r="N12" i="25"/>
  <c r="L12" i="25" s="1"/>
  <c r="I25" i="24"/>
  <c r="U25" i="24" s="1"/>
  <c r="W25" i="24" s="1"/>
  <c r="N17" i="23"/>
  <c r="L17" i="23" s="1"/>
  <c r="I17" i="23"/>
  <c r="M22" i="20"/>
  <c r="N22" i="20"/>
  <c r="L22" i="20" s="1"/>
  <c r="I16" i="13"/>
  <c r="I12" i="13"/>
  <c r="N15" i="26"/>
  <c r="L15" i="26" s="1"/>
  <c r="M18" i="27"/>
  <c r="N15" i="27"/>
  <c r="L15" i="27" s="1"/>
  <c r="H13" i="28"/>
  <c r="H21" i="28"/>
  <c r="U21" i="28" s="1"/>
  <c r="W21" i="28" s="1"/>
  <c r="I15" i="28"/>
  <c r="I14" i="25"/>
  <c r="I12" i="25"/>
  <c r="U12" i="25" s="1"/>
  <c r="W12" i="25" s="1"/>
  <c r="K25" i="24"/>
  <c r="O25" i="24" s="1"/>
  <c r="AA22" i="29" s="1"/>
  <c r="T25" i="24"/>
  <c r="V25" i="24" s="1"/>
  <c r="H13" i="23"/>
  <c r="U13" i="23" s="1"/>
  <c r="W13" i="23" s="1"/>
  <c r="H16" i="23"/>
  <c r="U16" i="23" s="1"/>
  <c r="W16" i="23" s="1"/>
  <c r="H21" i="23"/>
  <c r="M20" i="23"/>
  <c r="N19" i="23"/>
  <c r="L19" i="23" s="1"/>
  <c r="P19" i="23" s="1"/>
  <c r="N21" i="22"/>
  <c r="L21" i="22" s="1"/>
  <c r="O21" i="22" s="1"/>
  <c r="S18" i="29" s="1"/>
  <c r="I21" i="22"/>
  <c r="I20" i="22"/>
  <c r="J20" i="22" s="1"/>
  <c r="R17" i="29" s="1"/>
  <c r="O12" i="22"/>
  <c r="S9" i="29" s="1"/>
  <c r="U14" i="21"/>
  <c r="W14" i="21" s="1"/>
  <c r="M20" i="21"/>
  <c r="I19" i="20"/>
  <c r="N22" i="19"/>
  <c r="L22" i="19" s="1"/>
  <c r="M22" i="19"/>
  <c r="K22" i="19" s="1"/>
  <c r="I13" i="19"/>
  <c r="J13" i="19" s="1"/>
  <c r="F10" i="29" s="1"/>
  <c r="H10" i="29" s="1"/>
  <c r="K26" i="28"/>
  <c r="O26" i="28" s="1"/>
  <c r="AI23" i="29" s="1"/>
  <c r="T26" i="28"/>
  <c r="V26" i="28" s="1"/>
  <c r="K12" i="23"/>
  <c r="O12" i="23" s="1"/>
  <c r="W9" i="29" s="1"/>
  <c r="T12" i="23"/>
  <c r="V12" i="23" s="1"/>
  <c r="M5" i="2"/>
  <c r="N5" i="2" s="1"/>
  <c r="N6" i="2" s="1"/>
  <c r="I21" i="13"/>
  <c r="I20" i="26"/>
  <c r="U20" i="26" s="1"/>
  <c r="W20" i="26" s="1"/>
  <c r="M24" i="28"/>
  <c r="K24" i="28" s="1"/>
  <c r="N24" i="28"/>
  <c r="L24" i="28" s="1"/>
  <c r="J18" i="28"/>
  <c r="AH15" i="29" s="1"/>
  <c r="U18" i="28"/>
  <c r="W18" i="28" s="1"/>
  <c r="X18" i="28" s="1"/>
  <c r="M14" i="28"/>
  <c r="M13" i="28"/>
  <c r="N13" i="28"/>
  <c r="L13" i="28" s="1"/>
  <c r="M17" i="25"/>
  <c r="K17" i="25" s="1"/>
  <c r="H15" i="25"/>
  <c r="H13" i="25"/>
  <c r="H12" i="25"/>
  <c r="J12" i="25" s="1"/>
  <c r="AD9" i="29" s="1"/>
  <c r="M13" i="25"/>
  <c r="I15" i="24"/>
  <c r="M17" i="23"/>
  <c r="M16" i="23"/>
  <c r="N16" i="23"/>
  <c r="L16" i="23" s="1"/>
  <c r="M19" i="22"/>
  <c r="N19" i="22"/>
  <c r="L19" i="22" s="1"/>
  <c r="H17" i="22"/>
  <c r="J17" i="22" s="1"/>
  <c r="R14" i="29" s="1"/>
  <c r="T14" i="29" s="1"/>
  <c r="H12" i="22"/>
  <c r="U12" i="22" s="1"/>
  <c r="W12" i="22" s="1"/>
  <c r="X12" i="22" s="1"/>
  <c r="N11" i="22"/>
  <c r="L11" i="22" s="1"/>
  <c r="I15" i="21"/>
  <c r="I12" i="21"/>
  <c r="J19" i="19"/>
  <c r="F16" i="29" s="1"/>
  <c r="U19" i="19"/>
  <c r="W19" i="19" s="1"/>
  <c r="T18" i="19"/>
  <c r="V18" i="19" s="1"/>
  <c r="N16" i="19"/>
  <c r="L16" i="19" s="1"/>
  <c r="M16" i="19"/>
  <c r="K16" i="19" s="1"/>
  <c r="K14" i="19"/>
  <c r="P14" i="19" s="1"/>
  <c r="Q14" i="19" s="1"/>
  <c r="H21" i="24"/>
  <c r="J21" i="24" s="1"/>
  <c r="Z18" i="29" s="1"/>
  <c r="H20" i="24"/>
  <c r="U20" i="24" s="1"/>
  <c r="W20" i="24" s="1"/>
  <c r="I18" i="24"/>
  <c r="I17" i="24"/>
  <c r="H12" i="24"/>
  <c r="H23" i="21"/>
  <c r="T19" i="21"/>
  <c r="V19" i="21" s="1"/>
  <c r="I19" i="21"/>
  <c r="H17" i="21"/>
  <c r="J17" i="21" s="1"/>
  <c r="N14" i="29" s="1"/>
  <c r="I16" i="21"/>
  <c r="U16" i="21" s="1"/>
  <c r="W16" i="21" s="1"/>
  <c r="X16" i="21" s="1"/>
  <c r="J14" i="21"/>
  <c r="N11" i="29" s="1"/>
  <c r="H13" i="21"/>
  <c r="I15" i="20"/>
  <c r="U13" i="19"/>
  <c r="W13" i="19" s="1"/>
  <c r="I14" i="19"/>
  <c r="U14" i="19" s="1"/>
  <c r="W14" i="19" s="1"/>
  <c r="X14" i="19" s="1"/>
  <c r="I25" i="28"/>
  <c r="I21" i="28"/>
  <c r="M19" i="28"/>
  <c r="I13" i="28"/>
  <c r="U13" i="28" s="1"/>
  <c r="W13" i="28" s="1"/>
  <c r="H26" i="24"/>
  <c r="I23" i="24"/>
  <c r="I21" i="24"/>
  <c r="U21" i="24" s="1"/>
  <c r="W21" i="24" s="1"/>
  <c r="I19" i="24"/>
  <c r="I14" i="24"/>
  <c r="I13" i="24"/>
  <c r="I22" i="23"/>
  <c r="I20" i="23"/>
  <c r="I19" i="23"/>
  <c r="I16" i="23"/>
  <c r="I23" i="21"/>
  <c r="T22" i="21"/>
  <c r="V22" i="21" s="1"/>
  <c r="I18" i="21"/>
  <c r="I14" i="21"/>
  <c r="H12" i="21"/>
  <c r="I22" i="20"/>
  <c r="O18" i="20"/>
  <c r="K15" i="29" s="1"/>
  <c r="H21" i="19"/>
  <c r="P13" i="19"/>
  <c r="T20" i="13"/>
  <c r="V20" i="13" s="1"/>
  <c r="K20" i="13"/>
  <c r="P18" i="13"/>
  <c r="Q18" i="13" s="1"/>
  <c r="P14" i="13"/>
  <c r="Q14" i="13" s="1"/>
  <c r="O14" i="13"/>
  <c r="C11" i="29" s="1"/>
  <c r="I19" i="13"/>
  <c r="N19" i="13"/>
  <c r="L19" i="13" s="1"/>
  <c r="K19" i="13"/>
  <c r="T22" i="26"/>
  <c r="V22" i="26" s="1"/>
  <c r="O20" i="26"/>
  <c r="AQ17" i="29" s="1"/>
  <c r="M14" i="26"/>
  <c r="T18" i="27"/>
  <c r="V18" i="27" s="1"/>
  <c r="K18" i="27"/>
  <c r="I17" i="27"/>
  <c r="J17" i="27" s="1"/>
  <c r="AL14" i="29" s="1"/>
  <c r="N17" i="27"/>
  <c r="L17" i="27" s="1"/>
  <c r="P25" i="28"/>
  <c r="Q25" i="28" s="1"/>
  <c r="P16" i="28"/>
  <c r="Q16" i="28" s="1"/>
  <c r="M27" i="24"/>
  <c r="U27" i="24"/>
  <c r="J13" i="23"/>
  <c r="V10" i="29" s="1"/>
  <c r="K18" i="22"/>
  <c r="T23" i="21"/>
  <c r="V23" i="21" s="1"/>
  <c r="L23" i="21"/>
  <c r="P22" i="21"/>
  <c r="Q22" i="21" s="1"/>
  <c r="O22" i="21"/>
  <c r="O19" i="29" s="1"/>
  <c r="O23" i="13"/>
  <c r="C20" i="29" s="1"/>
  <c r="K23" i="26"/>
  <c r="K22" i="26"/>
  <c r="I21" i="27"/>
  <c r="U21" i="27" s="1"/>
  <c r="W21" i="27" s="1"/>
  <c r="N21" i="27"/>
  <c r="L21" i="27" s="1"/>
  <c r="O22" i="28"/>
  <c r="AI19" i="29" s="1"/>
  <c r="T20" i="28"/>
  <c r="V20" i="28" s="1"/>
  <c r="K20" i="28"/>
  <c r="P17" i="28"/>
  <c r="Q17" i="28" s="1"/>
  <c r="U16" i="25"/>
  <c r="W16" i="25" s="1"/>
  <c r="X16" i="25" s="1"/>
  <c r="J16" i="25"/>
  <c r="AD13" i="29" s="1"/>
  <c r="K15" i="25"/>
  <c r="K12" i="25"/>
  <c r="T12" i="25"/>
  <c r="V12" i="25" s="1"/>
  <c r="N27" i="24"/>
  <c r="L27" i="24" s="1"/>
  <c r="P25" i="24"/>
  <c r="Q25" i="24" s="1"/>
  <c r="T23" i="24"/>
  <c r="V23" i="24" s="1"/>
  <c r="K23" i="24"/>
  <c r="M22" i="24"/>
  <c r="I22" i="24"/>
  <c r="J22" i="24" s="1"/>
  <c r="Z19" i="29" s="1"/>
  <c r="N22" i="24"/>
  <c r="L22" i="24" s="1"/>
  <c r="J20" i="24"/>
  <c r="Z17" i="29" s="1"/>
  <c r="H12" i="13"/>
  <c r="H16" i="13"/>
  <c r="H20" i="13"/>
  <c r="P13" i="13"/>
  <c r="Q13" i="13" s="1"/>
  <c r="P21" i="13"/>
  <c r="H13" i="13"/>
  <c r="H17" i="13"/>
  <c r="H22" i="13"/>
  <c r="H19" i="13"/>
  <c r="H18" i="13"/>
  <c r="R13" i="13"/>
  <c r="S13" i="13" s="1"/>
  <c r="K12" i="13"/>
  <c r="U23" i="26"/>
  <c r="W23" i="26" s="1"/>
  <c r="J23" i="26"/>
  <c r="AP20" i="29" s="1"/>
  <c r="I22" i="26"/>
  <c r="T21" i="26"/>
  <c r="V21" i="26" s="1"/>
  <c r="P20" i="26"/>
  <c r="Q20" i="26" s="1"/>
  <c r="T19" i="26"/>
  <c r="V19" i="26" s="1"/>
  <c r="T18" i="26"/>
  <c r="V18" i="26" s="1"/>
  <c r="J17" i="26"/>
  <c r="AP14" i="29" s="1"/>
  <c r="R16" i="26"/>
  <c r="S16" i="26" s="1"/>
  <c r="O16" i="26"/>
  <c r="AQ13" i="29" s="1"/>
  <c r="I14" i="26"/>
  <c r="T13" i="26"/>
  <c r="V13" i="26" s="1"/>
  <c r="X13" i="26" s="1"/>
  <c r="J16" i="27"/>
  <c r="AL13" i="29" s="1"/>
  <c r="U16" i="27"/>
  <c r="W16" i="27" s="1"/>
  <c r="X16" i="27" s="1"/>
  <c r="M14" i="27"/>
  <c r="U13" i="27"/>
  <c r="W13" i="27" s="1"/>
  <c r="X13" i="27" s="1"/>
  <c r="P27" i="28"/>
  <c r="R27" i="28" s="1"/>
  <c r="S27" i="28" s="1"/>
  <c r="H12" i="28"/>
  <c r="H16" i="28"/>
  <c r="H20" i="28"/>
  <c r="H24" i="28"/>
  <c r="H15" i="28"/>
  <c r="H19" i="28"/>
  <c r="H23" i="28"/>
  <c r="H22" i="28"/>
  <c r="H25" i="28"/>
  <c r="H14" i="28"/>
  <c r="H17" i="28"/>
  <c r="P26" i="28"/>
  <c r="Q26" i="28" s="1"/>
  <c r="H26" i="28"/>
  <c r="T22" i="28"/>
  <c r="V22" i="28" s="1"/>
  <c r="N20" i="28"/>
  <c r="L20" i="28" s="1"/>
  <c r="O16" i="28"/>
  <c r="AI13" i="29" s="1"/>
  <c r="P11" i="28"/>
  <c r="Q11" i="28" s="1"/>
  <c r="N15" i="25"/>
  <c r="L15" i="25" s="1"/>
  <c r="N18" i="22"/>
  <c r="L18" i="22" s="1"/>
  <c r="I18" i="22"/>
  <c r="L24" i="21"/>
  <c r="P24" i="21" s="1"/>
  <c r="T24" i="21"/>
  <c r="V24" i="21" s="1"/>
  <c r="X24" i="21" s="1"/>
  <c r="T20" i="21"/>
  <c r="V20" i="21" s="1"/>
  <c r="K20" i="21"/>
  <c r="O12" i="26"/>
  <c r="AQ9" i="29" s="1"/>
  <c r="M17" i="27"/>
  <c r="O25" i="28"/>
  <c r="AI22" i="29" s="1"/>
  <c r="K19" i="28"/>
  <c r="T19" i="28"/>
  <c r="V19" i="28" s="1"/>
  <c r="M24" i="13"/>
  <c r="U24" i="13"/>
  <c r="N24" i="13"/>
  <c r="L24" i="13" s="1"/>
  <c r="T23" i="13"/>
  <c r="V23" i="13" s="1"/>
  <c r="T14" i="13"/>
  <c r="V14" i="13" s="1"/>
  <c r="J14" i="13"/>
  <c r="B11" i="29" s="1"/>
  <c r="N11" i="13"/>
  <c r="L11" i="13" s="1"/>
  <c r="U11" i="13"/>
  <c r="M11" i="13"/>
  <c r="K15" i="26"/>
  <c r="K21" i="27"/>
  <c r="T21" i="27"/>
  <c r="V21" i="27" s="1"/>
  <c r="P20" i="27"/>
  <c r="Q20" i="27" s="1"/>
  <c r="P23" i="13"/>
  <c r="Q23" i="13" s="1"/>
  <c r="T16" i="13"/>
  <c r="V16" i="13" s="1"/>
  <c r="K16" i="13"/>
  <c r="K15" i="13"/>
  <c r="I15" i="13"/>
  <c r="N15" i="13"/>
  <c r="L15" i="13" s="1"/>
  <c r="K24" i="26"/>
  <c r="T24" i="26"/>
  <c r="V24" i="26" s="1"/>
  <c r="X24" i="26" s="1"/>
  <c r="O19" i="26"/>
  <c r="AQ16" i="29" s="1"/>
  <c r="R19" i="26"/>
  <c r="S19" i="26" s="1"/>
  <c r="P18" i="26"/>
  <c r="Q18" i="26" s="1"/>
  <c r="R18" i="26"/>
  <c r="S18" i="26" s="1"/>
  <c r="O18" i="26"/>
  <c r="AQ15" i="29" s="1"/>
  <c r="T11" i="26"/>
  <c r="V11" i="26" s="1"/>
  <c r="X11" i="26" s="1"/>
  <c r="K11" i="26"/>
  <c r="M22" i="27"/>
  <c r="U22" i="27"/>
  <c r="N22" i="27"/>
  <c r="L22" i="27" s="1"/>
  <c r="J20" i="27"/>
  <c r="AL17" i="29" s="1"/>
  <c r="AN17" i="29" s="1"/>
  <c r="U20" i="27"/>
  <c r="W20" i="27" s="1"/>
  <c r="X20" i="27" s="1"/>
  <c r="P15" i="27"/>
  <c r="O15" i="27"/>
  <c r="AM12" i="29" s="1"/>
  <c r="I14" i="27"/>
  <c r="P12" i="27"/>
  <c r="Q12" i="27" s="1"/>
  <c r="P24" i="28"/>
  <c r="Q24" i="28" s="1"/>
  <c r="P22" i="28"/>
  <c r="Q22" i="28" s="1"/>
  <c r="J13" i="28"/>
  <c r="AH10" i="29" s="1"/>
  <c r="T12" i="28"/>
  <c r="V12" i="28" s="1"/>
  <c r="K12" i="28"/>
  <c r="T11" i="25"/>
  <c r="V11" i="25" s="1"/>
  <c r="X11" i="25" s="1"/>
  <c r="K11" i="25"/>
  <c r="M26" i="24"/>
  <c r="I26" i="24"/>
  <c r="J26" i="24" s="1"/>
  <c r="Z23" i="29" s="1"/>
  <c r="N26" i="24"/>
  <c r="L26" i="24" s="1"/>
  <c r="U26" i="24"/>
  <c r="W26" i="24" s="1"/>
  <c r="K20" i="24"/>
  <c r="T20" i="24"/>
  <c r="V20" i="24" s="1"/>
  <c r="K12" i="24"/>
  <c r="I23" i="26"/>
  <c r="O21" i="26"/>
  <c r="AQ18" i="29" s="1"/>
  <c r="AR18" i="29" s="1"/>
  <c r="J20" i="26"/>
  <c r="AP17" i="29" s="1"/>
  <c r="AR17" i="29" s="1"/>
  <c r="I19" i="26"/>
  <c r="U19" i="26" s="1"/>
  <c r="W19" i="26" s="1"/>
  <c r="J16" i="26"/>
  <c r="AP13" i="29" s="1"/>
  <c r="I15" i="26"/>
  <c r="U15" i="26" s="1"/>
  <c r="W15" i="26" s="1"/>
  <c r="O13" i="26"/>
  <c r="AQ10" i="29" s="1"/>
  <c r="H15" i="27"/>
  <c r="H14" i="27"/>
  <c r="H18" i="27"/>
  <c r="H19" i="27"/>
  <c r="O13" i="27"/>
  <c r="AM10" i="29" s="1"/>
  <c r="AN10" i="29" s="1"/>
  <c r="H12" i="27"/>
  <c r="K11" i="27"/>
  <c r="T11" i="27"/>
  <c r="V11" i="27" s="1"/>
  <c r="X11" i="27" s="1"/>
  <c r="T23" i="28"/>
  <c r="V23" i="28" s="1"/>
  <c r="O18" i="28"/>
  <c r="AI15" i="29" s="1"/>
  <c r="T16" i="28"/>
  <c r="V16" i="28" s="1"/>
  <c r="I12" i="28"/>
  <c r="R16" i="25"/>
  <c r="S16" i="25" s="1"/>
  <c r="I15" i="25"/>
  <c r="J15" i="25" s="1"/>
  <c r="AD12" i="29" s="1"/>
  <c r="M24" i="24"/>
  <c r="N24" i="24"/>
  <c r="L24" i="24" s="1"/>
  <c r="P15" i="24"/>
  <c r="Q15" i="24" s="1"/>
  <c r="O15" i="24"/>
  <c r="AA12" i="29" s="1"/>
  <c r="N14" i="23"/>
  <c r="L14" i="23" s="1"/>
  <c r="I14" i="23"/>
  <c r="M14" i="23"/>
  <c r="O13" i="22"/>
  <c r="S10" i="29" s="1"/>
  <c r="P13" i="22"/>
  <c r="Q13" i="22" s="1"/>
  <c r="K11" i="20"/>
  <c r="T11" i="20"/>
  <c r="V11" i="20" s="1"/>
  <c r="X11" i="20" s="1"/>
  <c r="U21" i="26"/>
  <c r="W21" i="26" s="1"/>
  <c r="P21" i="26"/>
  <c r="T20" i="26"/>
  <c r="V20" i="26" s="1"/>
  <c r="U17" i="26"/>
  <c r="W17" i="26" s="1"/>
  <c r="X17" i="26" s="1"/>
  <c r="T16" i="26"/>
  <c r="V16" i="26" s="1"/>
  <c r="U13" i="26"/>
  <c r="W13" i="26" s="1"/>
  <c r="P13" i="26"/>
  <c r="T12" i="26"/>
  <c r="V12" i="26" s="1"/>
  <c r="P19" i="27"/>
  <c r="I15" i="27"/>
  <c r="P13" i="27"/>
  <c r="Q13" i="27" s="1"/>
  <c r="T27" i="28"/>
  <c r="V27" i="28" s="1"/>
  <c r="X27" i="28" s="1"/>
  <c r="R26" i="28"/>
  <c r="S26" i="28" s="1"/>
  <c r="T24" i="28"/>
  <c r="V24" i="28" s="1"/>
  <c r="I20" i="28"/>
  <c r="P18" i="28"/>
  <c r="Q18" i="28" s="1"/>
  <c r="O11" i="28"/>
  <c r="AI8" i="29" s="1"/>
  <c r="I20" i="24"/>
  <c r="T15" i="24"/>
  <c r="V15" i="24" s="1"/>
  <c r="X15" i="24" s="1"/>
  <c r="J15" i="24"/>
  <c r="Z12" i="29" s="1"/>
  <c r="U15" i="24"/>
  <c r="W15" i="24" s="1"/>
  <c r="T13" i="24"/>
  <c r="V13" i="24" s="1"/>
  <c r="K13" i="24"/>
  <c r="I12" i="24"/>
  <c r="J12" i="24" s="1"/>
  <c r="Z9" i="29" s="1"/>
  <c r="N12" i="24"/>
  <c r="L12" i="24" s="1"/>
  <c r="O19" i="23"/>
  <c r="W16" i="29" s="1"/>
  <c r="T22" i="22"/>
  <c r="V22" i="22" s="1"/>
  <c r="X22" i="22" s="1"/>
  <c r="K22" i="22"/>
  <c r="U17" i="22"/>
  <c r="W17" i="22" s="1"/>
  <c r="X17" i="22" s="1"/>
  <c r="P15" i="22"/>
  <c r="Q15" i="22" s="1"/>
  <c r="O15" i="22"/>
  <c r="S12" i="29" s="1"/>
  <c r="T13" i="22"/>
  <c r="V13" i="22" s="1"/>
  <c r="P12" i="21"/>
  <c r="Q12" i="21" s="1"/>
  <c r="I23" i="20"/>
  <c r="U23" i="20" s="1"/>
  <c r="W23" i="20" s="1"/>
  <c r="N23" i="20"/>
  <c r="L23" i="20" s="1"/>
  <c r="M23" i="20"/>
  <c r="H22" i="26"/>
  <c r="H18" i="26"/>
  <c r="U27" i="28"/>
  <c r="H14" i="25"/>
  <c r="H13" i="24"/>
  <c r="H17" i="24"/>
  <c r="H14" i="24"/>
  <c r="H18" i="24"/>
  <c r="H23" i="24"/>
  <c r="H24" i="24"/>
  <c r="H19" i="24"/>
  <c r="T22" i="23"/>
  <c r="V22" i="23" s="1"/>
  <c r="K22" i="23"/>
  <c r="K21" i="23"/>
  <c r="I21" i="23"/>
  <c r="J21" i="23" s="1"/>
  <c r="V18" i="29" s="1"/>
  <c r="N21" i="23"/>
  <c r="L21" i="23" s="1"/>
  <c r="U20" i="22"/>
  <c r="W20" i="22" s="1"/>
  <c r="T19" i="22"/>
  <c r="V19" i="22" s="1"/>
  <c r="K19" i="22"/>
  <c r="P16" i="22"/>
  <c r="Q16" i="22" s="1"/>
  <c r="K11" i="22"/>
  <c r="T11" i="22"/>
  <c r="V11" i="22" s="1"/>
  <c r="X11" i="22" s="1"/>
  <c r="I24" i="24"/>
  <c r="T17" i="24"/>
  <c r="V17" i="24" s="1"/>
  <c r="K17" i="24"/>
  <c r="K16" i="24"/>
  <c r="I16" i="24"/>
  <c r="N16" i="24"/>
  <c r="L16" i="24" s="1"/>
  <c r="N23" i="23"/>
  <c r="L23" i="23" s="1"/>
  <c r="M23" i="23"/>
  <c r="U23" i="23"/>
  <c r="T15" i="23"/>
  <c r="V15" i="23" s="1"/>
  <c r="K15" i="23"/>
  <c r="P12" i="23"/>
  <c r="Q12" i="23" s="1"/>
  <c r="O18" i="21"/>
  <c r="O15" i="29" s="1"/>
  <c r="Q18" i="20"/>
  <c r="H15" i="23"/>
  <c r="H19" i="23"/>
  <c r="H14" i="23"/>
  <c r="H18" i="23"/>
  <c r="H22" i="23"/>
  <c r="T18" i="23"/>
  <c r="V18" i="23" s="1"/>
  <c r="H12" i="23"/>
  <c r="K11" i="23"/>
  <c r="T11" i="23"/>
  <c r="V11" i="23" s="1"/>
  <c r="X11" i="23" s="1"/>
  <c r="H15" i="22"/>
  <c r="H19" i="22"/>
  <c r="H14" i="22"/>
  <c r="H18" i="22"/>
  <c r="O17" i="22"/>
  <c r="S14" i="29" s="1"/>
  <c r="H16" i="22"/>
  <c r="T15" i="22"/>
  <c r="V15" i="22" s="1"/>
  <c r="H13" i="22"/>
  <c r="R12" i="22"/>
  <c r="S12" i="22" s="1"/>
  <c r="O19" i="21"/>
  <c r="O16" i="29" s="1"/>
  <c r="P19" i="21"/>
  <c r="Q19" i="21" s="1"/>
  <c r="R19" i="21"/>
  <c r="S19" i="21" s="1"/>
  <c r="T14" i="21"/>
  <c r="V14" i="21" s="1"/>
  <c r="K14" i="21"/>
  <c r="M17" i="19"/>
  <c r="N17" i="19"/>
  <c r="L17" i="19" s="1"/>
  <c r="N18" i="24"/>
  <c r="N14" i="24"/>
  <c r="M11" i="24"/>
  <c r="U11" i="24"/>
  <c r="H20" i="23"/>
  <c r="T19" i="23"/>
  <c r="V19" i="23" s="1"/>
  <c r="H17" i="23"/>
  <c r="I15" i="23"/>
  <c r="P13" i="23"/>
  <c r="Q13" i="23" s="1"/>
  <c r="H21" i="22"/>
  <c r="I19" i="22"/>
  <c r="P17" i="22"/>
  <c r="Q17" i="22" s="1"/>
  <c r="U23" i="21"/>
  <c r="W23" i="21" s="1"/>
  <c r="J23" i="21"/>
  <c r="N20" i="29" s="1"/>
  <c r="J19" i="21"/>
  <c r="N16" i="29" s="1"/>
  <c r="P16" i="21"/>
  <c r="Q16" i="21" s="1"/>
  <c r="O16" i="21"/>
  <c r="O13" i="29" s="1"/>
  <c r="K13" i="21"/>
  <c r="I13" i="21"/>
  <c r="N13" i="21"/>
  <c r="L13" i="21" s="1"/>
  <c r="J12" i="21"/>
  <c r="N9" i="29" s="1"/>
  <c r="P9" i="29" s="1"/>
  <c r="U12" i="21"/>
  <c r="W12" i="21" s="1"/>
  <c r="U22" i="22"/>
  <c r="I21" i="21"/>
  <c r="U21" i="21" s="1"/>
  <c r="W21" i="21" s="1"/>
  <c r="M21" i="21"/>
  <c r="I17" i="21"/>
  <c r="N17" i="21"/>
  <c r="P11" i="21"/>
  <c r="Q11" i="21" s="1"/>
  <c r="P16" i="20"/>
  <c r="O16" i="20"/>
  <c r="K13" i="29" s="1"/>
  <c r="M21" i="19"/>
  <c r="N21" i="19"/>
  <c r="L21" i="19" s="1"/>
  <c r="N12" i="19"/>
  <c r="L12" i="19" s="1"/>
  <c r="I12" i="19"/>
  <c r="M12" i="19"/>
  <c r="U19" i="21"/>
  <c r="W19" i="21" s="1"/>
  <c r="J16" i="21"/>
  <c r="N13" i="29" s="1"/>
  <c r="M24" i="20"/>
  <c r="U24" i="20"/>
  <c r="N24" i="20"/>
  <c r="L24" i="20" s="1"/>
  <c r="T20" i="20"/>
  <c r="V20" i="20" s="1"/>
  <c r="K20" i="20"/>
  <c r="T19" i="20"/>
  <c r="V19" i="20" s="1"/>
  <c r="U18" i="19"/>
  <c r="W18" i="19" s="1"/>
  <c r="X18" i="19" s="1"/>
  <c r="J15" i="19"/>
  <c r="F12" i="29" s="1"/>
  <c r="U15" i="19"/>
  <c r="W15" i="19" s="1"/>
  <c r="X15" i="19" s="1"/>
  <c r="H20" i="21"/>
  <c r="H12" i="20"/>
  <c r="H16" i="20"/>
  <c r="H15" i="20"/>
  <c r="H19" i="20"/>
  <c r="H14" i="20"/>
  <c r="H17" i="20"/>
  <c r="H18" i="20"/>
  <c r="H20" i="20"/>
  <c r="N21" i="20"/>
  <c r="H21" i="20"/>
  <c r="M15" i="20"/>
  <c r="T19" i="19"/>
  <c r="V19" i="19" s="1"/>
  <c r="X19" i="19" s="1"/>
  <c r="H22" i="21"/>
  <c r="H18" i="21"/>
  <c r="N15" i="21"/>
  <c r="H15" i="21"/>
  <c r="O14" i="20"/>
  <c r="K11" i="29" s="1"/>
  <c r="P14" i="20"/>
  <c r="Q14" i="20" s="1"/>
  <c r="H13" i="20"/>
  <c r="R19" i="19"/>
  <c r="S19" i="19" s="1"/>
  <c r="O19" i="19"/>
  <c r="G16" i="29" s="1"/>
  <c r="H16" i="29" s="1"/>
  <c r="P19" i="19"/>
  <c r="Q19" i="19" s="1"/>
  <c r="P18" i="19"/>
  <c r="Q18" i="19" s="1"/>
  <c r="I17" i="19"/>
  <c r="R14" i="19"/>
  <c r="S14" i="19" s="1"/>
  <c r="T18" i="20"/>
  <c r="V18" i="20" s="1"/>
  <c r="R17" i="20"/>
  <c r="S17" i="20" s="1"/>
  <c r="I16" i="20"/>
  <c r="K20" i="19"/>
  <c r="T20" i="19"/>
  <c r="V20" i="19" s="1"/>
  <c r="I18" i="19"/>
  <c r="J18" i="19" s="1"/>
  <c r="F15" i="29" s="1"/>
  <c r="H15" i="29" s="1"/>
  <c r="R15" i="19"/>
  <c r="S15" i="19" s="1"/>
  <c r="O15" i="19"/>
  <c r="G12" i="29" s="1"/>
  <c r="T13" i="19"/>
  <c r="V13" i="19" s="1"/>
  <c r="X13" i="19" s="1"/>
  <c r="M11" i="19"/>
  <c r="U11" i="19"/>
  <c r="N11" i="19"/>
  <c r="L11" i="19" s="1"/>
  <c r="T16" i="20"/>
  <c r="V16" i="20" s="1"/>
  <c r="I12" i="20"/>
  <c r="I21" i="19"/>
  <c r="J21" i="19" s="1"/>
  <c r="F18" i="29" s="1"/>
  <c r="T16" i="19"/>
  <c r="V16" i="19" s="1"/>
  <c r="H20" i="19"/>
  <c r="H16" i="19"/>
  <c r="H12" i="19"/>
  <c r="H17" i="19"/>
  <c r="Q19" i="23" l="1"/>
  <c r="R19" i="23"/>
  <c r="S19" i="23" s="1"/>
  <c r="X16" i="26"/>
  <c r="R22" i="28"/>
  <c r="S22" i="28" s="1"/>
  <c r="K13" i="25"/>
  <c r="T13" i="25"/>
  <c r="V13" i="25" s="1"/>
  <c r="K19" i="24"/>
  <c r="T19" i="24"/>
  <c r="V19" i="24" s="1"/>
  <c r="J23" i="13"/>
  <c r="B20" i="29" s="1"/>
  <c r="D20" i="29" s="1"/>
  <c r="U23" i="13"/>
  <c r="W23" i="13" s="1"/>
  <c r="X23" i="13" s="1"/>
  <c r="X19" i="21"/>
  <c r="U22" i="20"/>
  <c r="W22" i="20" s="1"/>
  <c r="J23" i="20"/>
  <c r="J20" i="29" s="1"/>
  <c r="R12" i="23"/>
  <c r="S12" i="23" s="1"/>
  <c r="J16" i="23"/>
  <c r="V13" i="29" s="1"/>
  <c r="J25" i="24"/>
  <c r="Z22" i="29" s="1"/>
  <c r="AB22" i="29" s="1"/>
  <c r="T15" i="28"/>
  <c r="V15" i="28" s="1"/>
  <c r="X12" i="26"/>
  <c r="P17" i="26"/>
  <c r="R17" i="26" s="1"/>
  <c r="S17" i="26" s="1"/>
  <c r="AN13" i="29"/>
  <c r="J21" i="28"/>
  <c r="AH18" i="29" s="1"/>
  <c r="Q13" i="19"/>
  <c r="R13" i="19"/>
  <c r="S13" i="19" s="1"/>
  <c r="T16" i="23"/>
  <c r="V16" i="23" s="1"/>
  <c r="X16" i="23" s="1"/>
  <c r="K16" i="23"/>
  <c r="O13" i="28"/>
  <c r="AI10" i="29" s="1"/>
  <c r="AJ10" i="29" s="1"/>
  <c r="K22" i="20"/>
  <c r="T22" i="20"/>
  <c r="V22" i="20" s="1"/>
  <c r="X22" i="20" s="1"/>
  <c r="T22" i="13"/>
  <c r="V22" i="13" s="1"/>
  <c r="K22" i="13"/>
  <c r="J14" i="19"/>
  <c r="F11" i="29" s="1"/>
  <c r="H11" i="29" s="1"/>
  <c r="T12" i="20"/>
  <c r="V12" i="20" s="1"/>
  <c r="O24" i="21"/>
  <c r="O21" i="29" s="1"/>
  <c r="T14" i="22"/>
  <c r="V14" i="22" s="1"/>
  <c r="X14" i="22" s="1"/>
  <c r="X14" i="21"/>
  <c r="T16" i="24"/>
  <c r="V16" i="24" s="1"/>
  <c r="U12" i="24"/>
  <c r="W12" i="24" s="1"/>
  <c r="T17" i="25"/>
  <c r="V17" i="25" s="1"/>
  <c r="X17" i="25" s="1"/>
  <c r="T22" i="19"/>
  <c r="V22" i="19" s="1"/>
  <c r="X22" i="19" s="1"/>
  <c r="J12" i="22"/>
  <c r="R9" i="29" s="1"/>
  <c r="T9" i="29" s="1"/>
  <c r="R13" i="22"/>
  <c r="S13" i="22" s="1"/>
  <c r="T15" i="13"/>
  <c r="V15" i="13" s="1"/>
  <c r="U21" i="13"/>
  <c r="W21" i="13" s="1"/>
  <c r="X21" i="13" s="1"/>
  <c r="T14" i="25"/>
  <c r="V14" i="25" s="1"/>
  <c r="R12" i="26"/>
  <c r="S12" i="26" s="1"/>
  <c r="J21" i="21"/>
  <c r="N18" i="29" s="1"/>
  <c r="R25" i="28"/>
  <c r="S25" i="28" s="1"/>
  <c r="T19" i="13"/>
  <c r="V19" i="13" s="1"/>
  <c r="X19" i="13" s="1"/>
  <c r="R18" i="13"/>
  <c r="S18" i="13" s="1"/>
  <c r="K17" i="23"/>
  <c r="T17" i="23"/>
  <c r="V17" i="23" s="1"/>
  <c r="J13" i="25"/>
  <c r="AD10" i="29" s="1"/>
  <c r="U13" i="25"/>
  <c r="W13" i="25" s="1"/>
  <c r="T13" i="28"/>
  <c r="V13" i="28" s="1"/>
  <c r="X13" i="28" s="1"/>
  <c r="K13" i="28"/>
  <c r="P13" i="28" s="1"/>
  <c r="Q13" i="28" s="1"/>
  <c r="K20" i="23"/>
  <c r="T20" i="23"/>
  <c r="V20" i="23" s="1"/>
  <c r="X25" i="24"/>
  <c r="O16" i="25"/>
  <c r="AE13" i="29" s="1"/>
  <c r="T21" i="22"/>
  <c r="V21" i="22" s="1"/>
  <c r="T17" i="13"/>
  <c r="V17" i="13" s="1"/>
  <c r="K21" i="28"/>
  <c r="T21" i="28"/>
  <c r="V21" i="28" s="1"/>
  <c r="X21" i="28" s="1"/>
  <c r="T11" i="21"/>
  <c r="V11" i="21" s="1"/>
  <c r="X11" i="21" s="1"/>
  <c r="U17" i="21"/>
  <c r="W17" i="21" s="1"/>
  <c r="P16" i="29"/>
  <c r="X20" i="26"/>
  <c r="AJ15" i="29"/>
  <c r="AR10" i="29"/>
  <c r="P16" i="27"/>
  <c r="Q16" i="27" s="1"/>
  <c r="T15" i="26"/>
  <c r="V15" i="26" s="1"/>
  <c r="T15" i="27"/>
  <c r="V15" i="27" s="1"/>
  <c r="J14" i="26"/>
  <c r="AP11" i="29" s="1"/>
  <c r="T12" i="13"/>
  <c r="V12" i="13" s="1"/>
  <c r="AF13" i="29"/>
  <c r="R16" i="28"/>
  <c r="S16" i="28" s="1"/>
  <c r="T23" i="26"/>
  <c r="V23" i="26" s="1"/>
  <c r="K14" i="28"/>
  <c r="T14" i="28"/>
  <c r="V14" i="28" s="1"/>
  <c r="O24" i="28"/>
  <c r="AI21" i="29" s="1"/>
  <c r="O14" i="19"/>
  <c r="G11" i="29" s="1"/>
  <c r="P13" i="20"/>
  <c r="O13" i="20"/>
  <c r="K10" i="29" s="1"/>
  <c r="P21" i="22"/>
  <c r="O17" i="13"/>
  <c r="C14" i="29" s="1"/>
  <c r="K21" i="24"/>
  <c r="T21" i="24"/>
  <c r="V21" i="24" s="1"/>
  <c r="X21" i="24" s="1"/>
  <c r="K20" i="22"/>
  <c r="T20" i="22"/>
  <c r="V20" i="22" s="1"/>
  <c r="X20" i="22" s="1"/>
  <c r="K15" i="20"/>
  <c r="T15" i="20"/>
  <c r="V15" i="20" s="1"/>
  <c r="U19" i="20"/>
  <c r="W19" i="20" s="1"/>
  <c r="X19" i="20" s="1"/>
  <c r="J19" i="20"/>
  <c r="J16" i="29" s="1"/>
  <c r="K24" i="20"/>
  <c r="T24" i="20"/>
  <c r="V24" i="20" s="1"/>
  <c r="X24" i="20" s="1"/>
  <c r="T21" i="19"/>
  <c r="V21" i="19" s="1"/>
  <c r="K21" i="19"/>
  <c r="L14" i="24"/>
  <c r="T14" i="24"/>
  <c r="V14" i="24" s="1"/>
  <c r="R17" i="22"/>
  <c r="S17" i="22" s="1"/>
  <c r="U12" i="23"/>
  <c r="W12" i="23" s="1"/>
  <c r="X12" i="23" s="1"/>
  <c r="J12" i="23"/>
  <c r="V9" i="29" s="1"/>
  <c r="X9" i="29" s="1"/>
  <c r="U19" i="23"/>
  <c r="W19" i="23" s="1"/>
  <c r="J19" i="23"/>
  <c r="V16" i="29" s="1"/>
  <c r="X16" i="29" s="1"/>
  <c r="K23" i="23"/>
  <c r="T23" i="23"/>
  <c r="V23" i="23" s="1"/>
  <c r="X23" i="23" s="1"/>
  <c r="P19" i="22"/>
  <c r="Q19" i="22" s="1"/>
  <c r="O19" i="22"/>
  <c r="S16" i="29" s="1"/>
  <c r="P22" i="23"/>
  <c r="Q22" i="23" s="1"/>
  <c r="R22" i="23"/>
  <c r="S22" i="23" s="1"/>
  <c r="O22" i="23"/>
  <c r="W19" i="29" s="1"/>
  <c r="U17" i="24"/>
  <c r="W17" i="24" s="1"/>
  <c r="J17" i="24"/>
  <c r="Z14" i="29" s="1"/>
  <c r="O17" i="25"/>
  <c r="AE14" i="29" s="1"/>
  <c r="P17" i="25"/>
  <c r="Q17" i="25" s="1"/>
  <c r="R13" i="26"/>
  <c r="S13" i="26" s="1"/>
  <c r="Q13" i="26"/>
  <c r="R13" i="27"/>
  <c r="S13" i="27" s="1"/>
  <c r="K26" i="24"/>
  <c r="T26" i="24"/>
  <c r="V26" i="24" s="1"/>
  <c r="X26" i="24" s="1"/>
  <c r="J15" i="13"/>
  <c r="B12" i="29" s="1"/>
  <c r="U15" i="13"/>
  <c r="W15" i="13" s="1"/>
  <c r="X15" i="13" s="1"/>
  <c r="O14" i="25"/>
  <c r="AE11" i="29" s="1"/>
  <c r="P14" i="25"/>
  <c r="Q14" i="25" s="1"/>
  <c r="U23" i="28"/>
  <c r="W23" i="28" s="1"/>
  <c r="J23" i="28"/>
  <c r="AH20" i="29" s="1"/>
  <c r="J19" i="13"/>
  <c r="B16" i="29" s="1"/>
  <c r="U19" i="13"/>
  <c r="W19" i="13" s="1"/>
  <c r="O12" i="25"/>
  <c r="AE9" i="29" s="1"/>
  <c r="AF9" i="29" s="1"/>
  <c r="P12" i="25"/>
  <c r="Q12" i="25" s="1"/>
  <c r="P20" i="28"/>
  <c r="Q20" i="28" s="1"/>
  <c r="O20" i="28"/>
  <c r="AI17" i="29" s="1"/>
  <c r="R20" i="28"/>
  <c r="S20" i="28" s="1"/>
  <c r="O23" i="21"/>
  <c r="O20" i="29" s="1"/>
  <c r="P20" i="29" s="1"/>
  <c r="P23" i="21"/>
  <c r="K11" i="19"/>
  <c r="T11" i="19"/>
  <c r="V11" i="19" s="1"/>
  <c r="X11" i="19" s="1"/>
  <c r="R18" i="19"/>
  <c r="S18" i="19" s="1"/>
  <c r="U21" i="20"/>
  <c r="W21" i="20" s="1"/>
  <c r="J21" i="20"/>
  <c r="J18" i="29" s="1"/>
  <c r="J15" i="20"/>
  <c r="J12" i="29" s="1"/>
  <c r="U15" i="20"/>
  <c r="W15" i="20" s="1"/>
  <c r="J20" i="21"/>
  <c r="N17" i="29" s="1"/>
  <c r="U20" i="21"/>
  <c r="W20" i="21" s="1"/>
  <c r="X20" i="21" s="1"/>
  <c r="P19" i="20"/>
  <c r="Q19" i="20" s="1"/>
  <c r="O19" i="20"/>
  <c r="K16" i="29" s="1"/>
  <c r="K21" i="21"/>
  <c r="T21" i="21"/>
  <c r="V21" i="21" s="1"/>
  <c r="X21" i="21" s="1"/>
  <c r="J20" i="23"/>
  <c r="V17" i="29" s="1"/>
  <c r="U20" i="23"/>
  <c r="W20" i="23" s="1"/>
  <c r="X20" i="23" s="1"/>
  <c r="U15" i="22"/>
  <c r="W15" i="22" s="1"/>
  <c r="X15" i="22" s="1"/>
  <c r="J15" i="22"/>
  <c r="R12" i="29" s="1"/>
  <c r="T12" i="29" s="1"/>
  <c r="J22" i="23"/>
  <c r="V19" i="29" s="1"/>
  <c r="U22" i="23"/>
  <c r="W22" i="23" s="1"/>
  <c r="X22" i="23" s="1"/>
  <c r="O16" i="24"/>
  <c r="AA13" i="29" s="1"/>
  <c r="P16" i="24"/>
  <c r="Q16" i="24" s="1"/>
  <c r="U24" i="24"/>
  <c r="W24" i="24" s="1"/>
  <c r="J24" i="24"/>
  <c r="Z21" i="29" s="1"/>
  <c r="J13" i="24"/>
  <c r="Z10" i="29" s="1"/>
  <c r="U13" i="24"/>
  <c r="W13" i="24" s="1"/>
  <c r="P22" i="22"/>
  <c r="Q22" i="22" s="1"/>
  <c r="O22" i="22"/>
  <c r="S19" i="29" s="1"/>
  <c r="X13" i="24"/>
  <c r="O22" i="19"/>
  <c r="G19" i="29" s="1"/>
  <c r="P22" i="19"/>
  <c r="Q22" i="19" s="1"/>
  <c r="U21" i="23"/>
  <c r="W21" i="23" s="1"/>
  <c r="R18" i="28"/>
  <c r="S18" i="28" s="1"/>
  <c r="U19" i="27"/>
  <c r="W19" i="27" s="1"/>
  <c r="X19" i="27" s="1"/>
  <c r="J19" i="27"/>
  <c r="AL16" i="29" s="1"/>
  <c r="AN16" i="29" s="1"/>
  <c r="AR13" i="29"/>
  <c r="K22" i="27"/>
  <c r="T22" i="27"/>
  <c r="V22" i="27" s="1"/>
  <c r="X22" i="27" s="1"/>
  <c r="R20" i="27"/>
  <c r="S20" i="27" s="1"/>
  <c r="D11" i="29"/>
  <c r="J26" i="28"/>
  <c r="AH23" i="29" s="1"/>
  <c r="AJ23" i="29" s="1"/>
  <c r="U26" i="28"/>
  <c r="W26" i="28" s="1"/>
  <c r="X26" i="28" s="1"/>
  <c r="U25" i="28"/>
  <c r="W25" i="28" s="1"/>
  <c r="X25" i="28" s="1"/>
  <c r="J25" i="28"/>
  <c r="AH22" i="29" s="1"/>
  <c r="AJ22" i="29" s="1"/>
  <c r="J19" i="28"/>
  <c r="AH16" i="29" s="1"/>
  <c r="U19" i="28"/>
  <c r="W19" i="28" s="1"/>
  <c r="X19" i="28" s="1"/>
  <c r="U16" i="28"/>
  <c r="W16" i="28" s="1"/>
  <c r="J16" i="28"/>
  <c r="AH13" i="29" s="1"/>
  <c r="AJ13" i="29" s="1"/>
  <c r="J22" i="13"/>
  <c r="B19" i="29" s="1"/>
  <c r="U22" i="13"/>
  <c r="W22" i="13" s="1"/>
  <c r="X22" i="13" s="1"/>
  <c r="Q21" i="13"/>
  <c r="R21" i="13"/>
  <c r="S21" i="13" s="1"/>
  <c r="K22" i="24"/>
  <c r="T22" i="24"/>
  <c r="V22" i="24" s="1"/>
  <c r="R25" i="24"/>
  <c r="S25" i="24" s="1"/>
  <c r="P15" i="25"/>
  <c r="Q15" i="25" s="1"/>
  <c r="O15" i="25"/>
  <c r="AE12" i="29" s="1"/>
  <c r="X20" i="28"/>
  <c r="P22" i="26"/>
  <c r="Q22" i="26" s="1"/>
  <c r="O22" i="26"/>
  <c r="AQ19" i="29" s="1"/>
  <c r="X23" i="21"/>
  <c r="X10" i="29"/>
  <c r="T14" i="26"/>
  <c r="V14" i="26" s="1"/>
  <c r="X14" i="26" s="1"/>
  <c r="K14" i="26"/>
  <c r="R20" i="26"/>
  <c r="S20" i="26" s="1"/>
  <c r="J21" i="27"/>
  <c r="AL18" i="29" s="1"/>
  <c r="P20" i="13"/>
  <c r="Q20" i="13" s="1"/>
  <c r="O20" i="13"/>
  <c r="C17" i="29" s="1"/>
  <c r="U16" i="19"/>
  <c r="W16" i="19" s="1"/>
  <c r="X16" i="19" s="1"/>
  <c r="J16" i="19"/>
  <c r="F13" i="29" s="1"/>
  <c r="O16" i="19"/>
  <c r="G13" i="29" s="1"/>
  <c r="P16" i="19"/>
  <c r="Q16" i="19" s="1"/>
  <c r="X16" i="20"/>
  <c r="U21" i="19"/>
  <c r="W21" i="19" s="1"/>
  <c r="U13" i="20"/>
  <c r="W13" i="20" s="1"/>
  <c r="X13" i="20" s="1"/>
  <c r="J13" i="20"/>
  <c r="J10" i="29" s="1"/>
  <c r="L10" i="29" s="1"/>
  <c r="J22" i="21"/>
  <c r="N19" i="29" s="1"/>
  <c r="P19" i="29" s="1"/>
  <c r="U22" i="21"/>
  <c r="W22" i="21" s="1"/>
  <c r="X22" i="21" s="1"/>
  <c r="T21" i="20"/>
  <c r="V21" i="20" s="1"/>
  <c r="L21" i="20"/>
  <c r="U17" i="20"/>
  <c r="W17" i="20" s="1"/>
  <c r="X17" i="20" s="1"/>
  <c r="J17" i="20"/>
  <c r="J14" i="29" s="1"/>
  <c r="L14" i="29" s="1"/>
  <c r="U16" i="20"/>
  <c r="W16" i="20" s="1"/>
  <c r="J16" i="20"/>
  <c r="J13" i="29" s="1"/>
  <c r="L13" i="29" s="1"/>
  <c r="R12" i="20"/>
  <c r="S12" i="20" s="1"/>
  <c r="P13" i="29"/>
  <c r="Q16" i="20"/>
  <c r="R16" i="20"/>
  <c r="S16" i="20" s="1"/>
  <c r="L17" i="21"/>
  <c r="T17" i="21"/>
  <c r="V17" i="21" s="1"/>
  <c r="T13" i="21"/>
  <c r="V13" i="21" s="1"/>
  <c r="R16" i="21"/>
  <c r="S16" i="21" s="1"/>
  <c r="U16" i="22"/>
  <c r="W16" i="22" s="1"/>
  <c r="X16" i="22" s="1"/>
  <c r="J16" i="22"/>
  <c r="R13" i="29" s="1"/>
  <c r="T13" i="29" s="1"/>
  <c r="J18" i="22"/>
  <c r="R15" i="29" s="1"/>
  <c r="U18" i="22"/>
  <c r="W18" i="22" s="1"/>
  <c r="R13" i="23"/>
  <c r="S13" i="23" s="1"/>
  <c r="U18" i="23"/>
  <c r="W18" i="23" s="1"/>
  <c r="X18" i="23" s="1"/>
  <c r="J18" i="23"/>
  <c r="V15" i="29" s="1"/>
  <c r="X15" i="23"/>
  <c r="P17" i="24"/>
  <c r="Q17" i="24" s="1"/>
  <c r="O17" i="24"/>
  <c r="AA14" i="29" s="1"/>
  <c r="R16" i="22"/>
  <c r="S16" i="22" s="1"/>
  <c r="T21" i="23"/>
  <c r="V21" i="23" s="1"/>
  <c r="X21" i="23" s="1"/>
  <c r="U18" i="24"/>
  <c r="W18" i="24" s="1"/>
  <c r="J18" i="24"/>
  <c r="Z15" i="29" s="1"/>
  <c r="J14" i="25"/>
  <c r="AD11" i="29" s="1"/>
  <c r="AF11" i="29" s="1"/>
  <c r="U14" i="25"/>
  <c r="W14" i="25" s="1"/>
  <c r="K23" i="20"/>
  <c r="T23" i="20"/>
  <c r="V23" i="20" s="1"/>
  <c r="X23" i="20" s="1"/>
  <c r="R12" i="21"/>
  <c r="S12" i="21" s="1"/>
  <c r="R15" i="22"/>
  <c r="S15" i="22" s="1"/>
  <c r="U15" i="25"/>
  <c r="W15" i="25" s="1"/>
  <c r="R11" i="28"/>
  <c r="S11" i="28" s="1"/>
  <c r="Q19" i="27"/>
  <c r="R19" i="27"/>
  <c r="S19" i="27" s="1"/>
  <c r="R21" i="26"/>
  <c r="S21" i="26" s="1"/>
  <c r="Q21" i="26"/>
  <c r="R15" i="24"/>
  <c r="S15" i="24" s="1"/>
  <c r="R13" i="28"/>
  <c r="S13" i="28" s="1"/>
  <c r="X23" i="28"/>
  <c r="U12" i="27"/>
  <c r="W12" i="27" s="1"/>
  <c r="X12" i="27" s="1"/>
  <c r="J12" i="27"/>
  <c r="AL9" i="29" s="1"/>
  <c r="AN9" i="29" s="1"/>
  <c r="O20" i="24"/>
  <c r="AA17" i="29" s="1"/>
  <c r="AB17" i="29" s="1"/>
  <c r="P20" i="24"/>
  <c r="Q20" i="24" s="1"/>
  <c r="R12" i="27"/>
  <c r="S12" i="27" s="1"/>
  <c r="Q15" i="27"/>
  <c r="R15" i="27"/>
  <c r="S15" i="27" s="1"/>
  <c r="P11" i="26"/>
  <c r="Q11" i="26" s="1"/>
  <c r="O11" i="26"/>
  <c r="AQ8" i="29" s="1"/>
  <c r="O24" i="26"/>
  <c r="AQ21" i="29" s="1"/>
  <c r="P24" i="26"/>
  <c r="Q24" i="26" s="1"/>
  <c r="O15" i="13"/>
  <c r="C12" i="29" s="1"/>
  <c r="P15" i="13"/>
  <c r="Q15" i="13" s="1"/>
  <c r="X21" i="27"/>
  <c r="X14" i="13"/>
  <c r="K24" i="13"/>
  <c r="T24" i="13"/>
  <c r="V24" i="13" s="1"/>
  <c r="X24" i="13" s="1"/>
  <c r="O19" i="28"/>
  <c r="AI16" i="29" s="1"/>
  <c r="P19" i="28"/>
  <c r="Q19" i="28" s="1"/>
  <c r="K17" i="27"/>
  <c r="T17" i="27"/>
  <c r="V17" i="27" s="1"/>
  <c r="X17" i="27" s="1"/>
  <c r="R20" i="21"/>
  <c r="S20" i="21" s="1"/>
  <c r="P20" i="21"/>
  <c r="Q20" i="21" s="1"/>
  <c r="O20" i="21"/>
  <c r="O17" i="29" s="1"/>
  <c r="J22" i="28"/>
  <c r="AH19" i="29" s="1"/>
  <c r="AJ19" i="29" s="1"/>
  <c r="U22" i="28"/>
  <c r="W22" i="28" s="1"/>
  <c r="X22" i="28" s="1"/>
  <c r="U15" i="28"/>
  <c r="W15" i="28" s="1"/>
  <c r="J15" i="28"/>
  <c r="AH12" i="29" s="1"/>
  <c r="U12" i="28"/>
  <c r="W12" i="28" s="1"/>
  <c r="X12" i="28" s="1"/>
  <c r="J12" i="28"/>
  <c r="AH9" i="29" s="1"/>
  <c r="K14" i="27"/>
  <c r="T14" i="27"/>
  <c r="V14" i="27" s="1"/>
  <c r="J15" i="26"/>
  <c r="AP12" i="29" s="1"/>
  <c r="AR14" i="29"/>
  <c r="X21" i="26"/>
  <c r="P12" i="13"/>
  <c r="Q12" i="13" s="1"/>
  <c r="O12" i="13"/>
  <c r="C9" i="29" s="1"/>
  <c r="R12" i="13"/>
  <c r="S12" i="13" s="1"/>
  <c r="J18" i="13"/>
  <c r="B15" i="29" s="1"/>
  <c r="D15" i="29" s="1"/>
  <c r="U18" i="13"/>
  <c r="W18" i="13" s="1"/>
  <c r="X18" i="13" s="1"/>
  <c r="R23" i="13"/>
  <c r="S23" i="13" s="1"/>
  <c r="Q17" i="13"/>
  <c r="R17" i="13"/>
  <c r="S17" i="13" s="1"/>
  <c r="J16" i="13"/>
  <c r="B13" i="29" s="1"/>
  <c r="U16" i="13"/>
  <c r="W16" i="13" s="1"/>
  <c r="X16" i="13" s="1"/>
  <c r="U22" i="24"/>
  <c r="W22" i="24" s="1"/>
  <c r="P23" i="24"/>
  <c r="Q23" i="24" s="1"/>
  <c r="O23" i="24"/>
  <c r="AA20" i="29" s="1"/>
  <c r="R23" i="24"/>
  <c r="S23" i="24" s="1"/>
  <c r="T15" i="25"/>
  <c r="V15" i="25" s="1"/>
  <c r="X15" i="25" s="1"/>
  <c r="R17" i="28"/>
  <c r="S17" i="28" s="1"/>
  <c r="U17" i="27"/>
  <c r="W17" i="27" s="1"/>
  <c r="O23" i="26"/>
  <c r="AQ20" i="29" s="1"/>
  <c r="AR20" i="29" s="1"/>
  <c r="R23" i="26"/>
  <c r="S23" i="26" s="1"/>
  <c r="P23" i="26"/>
  <c r="Q23" i="26" s="1"/>
  <c r="R22" i="21"/>
  <c r="S22" i="21" s="1"/>
  <c r="T18" i="22"/>
  <c r="V18" i="22" s="1"/>
  <c r="X18" i="22" s="1"/>
  <c r="P18" i="27"/>
  <c r="Q18" i="27" s="1"/>
  <c r="O18" i="27"/>
  <c r="AM15" i="29" s="1"/>
  <c r="J19" i="26"/>
  <c r="AP16" i="29" s="1"/>
  <c r="AR16" i="29" s="1"/>
  <c r="R14" i="13"/>
  <c r="S14" i="13" s="1"/>
  <c r="U17" i="19"/>
  <c r="W17" i="19" s="1"/>
  <c r="J17" i="19"/>
  <c r="F14" i="29" s="1"/>
  <c r="T15" i="21"/>
  <c r="V15" i="21" s="1"/>
  <c r="L15" i="21"/>
  <c r="U20" i="20"/>
  <c r="W20" i="20" s="1"/>
  <c r="X20" i="20" s="1"/>
  <c r="J20" i="20"/>
  <c r="J17" i="29" s="1"/>
  <c r="K12" i="19"/>
  <c r="T12" i="19"/>
  <c r="V12" i="19" s="1"/>
  <c r="X19" i="23"/>
  <c r="J13" i="22"/>
  <c r="R10" i="29" s="1"/>
  <c r="T10" i="29" s="1"/>
  <c r="U13" i="22"/>
  <c r="W13" i="22" s="1"/>
  <c r="U19" i="22"/>
  <c r="W19" i="22" s="1"/>
  <c r="X19" i="22" s="1"/>
  <c r="J19" i="22"/>
  <c r="R16" i="29" s="1"/>
  <c r="T16" i="29" s="1"/>
  <c r="O18" i="23"/>
  <c r="W15" i="29" s="1"/>
  <c r="P18" i="23"/>
  <c r="Q18" i="23" s="1"/>
  <c r="R18" i="23"/>
  <c r="S18" i="23" s="1"/>
  <c r="O11" i="22"/>
  <c r="S8" i="29" s="1"/>
  <c r="P11" i="22"/>
  <c r="Q11" i="22" s="1"/>
  <c r="R11" i="22"/>
  <c r="S11" i="22" s="1"/>
  <c r="J19" i="24"/>
  <c r="Z16" i="29" s="1"/>
  <c r="U19" i="24"/>
  <c r="W19" i="24" s="1"/>
  <c r="X19" i="24" s="1"/>
  <c r="J18" i="26"/>
  <c r="AP15" i="29" s="1"/>
  <c r="AR15" i="29" s="1"/>
  <c r="U18" i="26"/>
  <c r="W18" i="26" s="1"/>
  <c r="X18" i="26" s="1"/>
  <c r="X13" i="22"/>
  <c r="P13" i="24"/>
  <c r="Q13" i="24" s="1"/>
  <c r="O13" i="24"/>
  <c r="AA10" i="29" s="1"/>
  <c r="O15" i="28"/>
  <c r="AI12" i="29" s="1"/>
  <c r="P15" i="28"/>
  <c r="Q15" i="28" s="1"/>
  <c r="T24" i="24"/>
  <c r="V24" i="24" s="1"/>
  <c r="K24" i="24"/>
  <c r="J14" i="27"/>
  <c r="AL11" i="29" s="1"/>
  <c r="U14" i="27"/>
  <c r="W14" i="27" s="1"/>
  <c r="O12" i="24"/>
  <c r="AA9" i="29" s="1"/>
  <c r="AB9" i="29" s="1"/>
  <c r="P12" i="24"/>
  <c r="Q12" i="24" s="1"/>
  <c r="O15" i="26"/>
  <c r="AQ12" i="29" s="1"/>
  <c r="P15" i="26"/>
  <c r="Q15" i="26" s="1"/>
  <c r="J14" i="28"/>
  <c r="AH11" i="29" s="1"/>
  <c r="U14" i="28"/>
  <c r="W14" i="28" s="1"/>
  <c r="X14" i="28" s="1"/>
  <c r="U20" i="28"/>
  <c r="W20" i="28" s="1"/>
  <c r="J20" i="28"/>
  <c r="AH17" i="29" s="1"/>
  <c r="AJ17" i="29" s="1"/>
  <c r="X19" i="26"/>
  <c r="U13" i="13"/>
  <c r="W13" i="13" s="1"/>
  <c r="X13" i="13" s="1"/>
  <c r="J13" i="13"/>
  <c r="B10" i="29" s="1"/>
  <c r="D10" i="29" s="1"/>
  <c r="O19" i="13"/>
  <c r="C16" i="29" s="1"/>
  <c r="P19" i="13"/>
  <c r="Q19" i="13" s="1"/>
  <c r="U12" i="19"/>
  <c r="W12" i="19" s="1"/>
  <c r="J12" i="19"/>
  <c r="F9" i="29" s="1"/>
  <c r="O20" i="19"/>
  <c r="G17" i="29" s="1"/>
  <c r="P20" i="19"/>
  <c r="Q20" i="19" s="1"/>
  <c r="X12" i="20"/>
  <c r="J18" i="21"/>
  <c r="N15" i="29" s="1"/>
  <c r="P15" i="29" s="1"/>
  <c r="U18" i="21"/>
  <c r="W18" i="21" s="1"/>
  <c r="X18" i="21" s="1"/>
  <c r="J18" i="20"/>
  <c r="J15" i="29" s="1"/>
  <c r="L15" i="29" s="1"/>
  <c r="U18" i="20"/>
  <c r="W18" i="20" s="1"/>
  <c r="X18" i="20" s="1"/>
  <c r="J13" i="21"/>
  <c r="N10" i="29" s="1"/>
  <c r="U13" i="21"/>
  <c r="W13" i="21" s="1"/>
  <c r="T18" i="24"/>
  <c r="V18" i="24" s="1"/>
  <c r="L18" i="24"/>
  <c r="U15" i="23"/>
  <c r="W15" i="23" s="1"/>
  <c r="J15" i="23"/>
  <c r="V12" i="29" s="1"/>
  <c r="P15" i="23"/>
  <c r="Q15" i="23" s="1"/>
  <c r="O15" i="23"/>
  <c r="W12" i="29" s="1"/>
  <c r="J23" i="24"/>
  <c r="Z20" i="29" s="1"/>
  <c r="AB20" i="29" s="1"/>
  <c r="U23" i="24"/>
  <c r="W23" i="24" s="1"/>
  <c r="J22" i="26"/>
  <c r="AP19" i="29" s="1"/>
  <c r="U22" i="26"/>
  <c r="W22" i="26" s="1"/>
  <c r="X22" i="26" s="1"/>
  <c r="O11" i="27"/>
  <c r="AM8" i="29" s="1"/>
  <c r="P11" i="27"/>
  <c r="Q11" i="27" s="1"/>
  <c r="U15" i="27"/>
  <c r="W15" i="27" s="1"/>
  <c r="X15" i="27" s="1"/>
  <c r="J15" i="27"/>
  <c r="AL12" i="29" s="1"/>
  <c r="AN12" i="29" s="1"/>
  <c r="X20" i="24"/>
  <c r="P11" i="25"/>
  <c r="Q11" i="25" s="1"/>
  <c r="O11" i="25"/>
  <c r="AE8" i="29" s="1"/>
  <c r="K11" i="13"/>
  <c r="T11" i="13"/>
  <c r="V11" i="13" s="1"/>
  <c r="X11" i="13" s="1"/>
  <c r="X15" i="26"/>
  <c r="J20" i="13"/>
  <c r="B17" i="29" s="1"/>
  <c r="D17" i="29" s="1"/>
  <c r="U20" i="13"/>
  <c r="W20" i="13" s="1"/>
  <c r="X20" i="13" s="1"/>
  <c r="J20" i="19"/>
  <c r="F17" i="29" s="1"/>
  <c r="U20" i="19"/>
  <c r="W20" i="19" s="1"/>
  <c r="X20" i="19" s="1"/>
  <c r="U15" i="21"/>
  <c r="W15" i="21" s="1"/>
  <c r="J15" i="21"/>
  <c r="N12" i="29" s="1"/>
  <c r="J14" i="20"/>
  <c r="J11" i="29" s="1"/>
  <c r="L11" i="29" s="1"/>
  <c r="U14" i="20"/>
  <c r="W14" i="20" s="1"/>
  <c r="X14" i="20" s="1"/>
  <c r="U12" i="20"/>
  <c r="W12" i="20" s="1"/>
  <c r="J12" i="20"/>
  <c r="J9" i="29" s="1"/>
  <c r="L9" i="29" s="1"/>
  <c r="H12" i="29"/>
  <c r="P20" i="20"/>
  <c r="Q20" i="20" s="1"/>
  <c r="O20" i="20"/>
  <c r="K17" i="29" s="1"/>
  <c r="R11" i="21"/>
  <c r="S11" i="21" s="1"/>
  <c r="O13" i="21"/>
  <c r="O10" i="29" s="1"/>
  <c r="P13" i="21"/>
  <c r="Q13" i="21" s="1"/>
  <c r="R13" i="21"/>
  <c r="S13" i="21" s="1"/>
  <c r="O14" i="22"/>
  <c r="S11" i="29" s="1"/>
  <c r="P14" i="22"/>
  <c r="Q14" i="22" s="1"/>
  <c r="R14" i="22"/>
  <c r="S14" i="22" s="1"/>
  <c r="J21" i="22"/>
  <c r="R18" i="29" s="1"/>
  <c r="T18" i="29" s="1"/>
  <c r="U21" i="22"/>
  <c r="W21" i="22" s="1"/>
  <c r="X21" i="22" s="1"/>
  <c r="J17" i="23"/>
  <c r="V14" i="29" s="1"/>
  <c r="U17" i="23"/>
  <c r="W17" i="23" s="1"/>
  <c r="X17" i="23" s="1"/>
  <c r="T11" i="24"/>
  <c r="V11" i="24" s="1"/>
  <c r="X11" i="24" s="1"/>
  <c r="K11" i="24"/>
  <c r="T17" i="19"/>
  <c r="V17" i="19" s="1"/>
  <c r="K17" i="19"/>
  <c r="P14" i="21"/>
  <c r="Q14" i="21" s="1"/>
  <c r="O14" i="21"/>
  <c r="O11" i="29" s="1"/>
  <c r="P11" i="29" s="1"/>
  <c r="U14" i="22"/>
  <c r="W14" i="22" s="1"/>
  <c r="J14" i="22"/>
  <c r="R11" i="29" s="1"/>
  <c r="O11" i="23"/>
  <c r="W8" i="29" s="1"/>
  <c r="P11" i="23"/>
  <c r="Q11" i="23" s="1"/>
  <c r="J14" i="23"/>
  <c r="V11" i="29" s="1"/>
  <c r="U14" i="23"/>
  <c r="W14" i="23" s="1"/>
  <c r="R18" i="21"/>
  <c r="S18" i="21" s="1"/>
  <c r="U16" i="24"/>
  <c r="W16" i="24" s="1"/>
  <c r="X16" i="24" s="1"/>
  <c r="J16" i="24"/>
  <c r="Z13" i="29" s="1"/>
  <c r="X17" i="24"/>
  <c r="O21" i="23"/>
  <c r="W18" i="29" s="1"/>
  <c r="X18" i="29" s="1"/>
  <c r="P21" i="23"/>
  <c r="Q21" i="23" s="1"/>
  <c r="U14" i="24"/>
  <c r="W14" i="24" s="1"/>
  <c r="J14" i="24"/>
  <c r="Z11" i="29" s="1"/>
  <c r="AB12" i="29"/>
  <c r="X15" i="28"/>
  <c r="Q17" i="26"/>
  <c r="R11" i="20"/>
  <c r="S11" i="20" s="1"/>
  <c r="O11" i="20"/>
  <c r="K8" i="29" s="1"/>
  <c r="P11" i="20"/>
  <c r="Q11" i="20" s="1"/>
  <c r="K14" i="23"/>
  <c r="T14" i="23"/>
  <c r="V14" i="23" s="1"/>
  <c r="X14" i="23" s="1"/>
  <c r="AF12" i="29"/>
  <c r="X16" i="28"/>
  <c r="O23" i="28"/>
  <c r="AI20" i="29" s="1"/>
  <c r="P23" i="28"/>
  <c r="Q23" i="28" s="1"/>
  <c r="J18" i="27"/>
  <c r="AL15" i="29" s="1"/>
  <c r="U18" i="27"/>
  <c r="W18" i="27" s="1"/>
  <c r="T12" i="24"/>
  <c r="V12" i="24" s="1"/>
  <c r="X12" i="24" s="1"/>
  <c r="P12" i="28"/>
  <c r="Q12" i="28" s="1"/>
  <c r="O12" i="28"/>
  <c r="AI9" i="29" s="1"/>
  <c r="R24" i="28"/>
  <c r="S24" i="28" s="1"/>
  <c r="P16" i="13"/>
  <c r="Q16" i="13" s="1"/>
  <c r="O16" i="13"/>
  <c r="C13" i="29" s="1"/>
  <c r="O21" i="27"/>
  <c r="AM18" i="29" s="1"/>
  <c r="P21" i="27"/>
  <c r="Q21" i="27" s="1"/>
  <c r="X14" i="25"/>
  <c r="Q24" i="21"/>
  <c r="R24" i="21"/>
  <c r="S24" i="21" s="1"/>
  <c r="U17" i="28"/>
  <c r="W17" i="28" s="1"/>
  <c r="X17" i="28" s="1"/>
  <c r="J17" i="28"/>
  <c r="AH14" i="29" s="1"/>
  <c r="AJ14" i="29" s="1"/>
  <c r="Q27" i="28"/>
  <c r="U24" i="28"/>
  <c r="W24" i="28" s="1"/>
  <c r="X24" i="28" s="1"/>
  <c r="J24" i="28"/>
  <c r="AH21" i="29" s="1"/>
  <c r="AJ21" i="29" s="1"/>
  <c r="U17" i="13"/>
  <c r="W17" i="13" s="1"/>
  <c r="X17" i="13" s="1"/>
  <c r="J17" i="13"/>
  <c r="B14" i="29" s="1"/>
  <c r="J12" i="13"/>
  <c r="B9" i="29" s="1"/>
  <c r="U12" i="13"/>
  <c r="W12" i="13" s="1"/>
  <c r="X23" i="24"/>
  <c r="X12" i="25"/>
  <c r="O18" i="22"/>
  <c r="S15" i="29" s="1"/>
  <c r="P18" i="22"/>
  <c r="Q18" i="22" s="1"/>
  <c r="R18" i="22"/>
  <c r="S18" i="22" s="1"/>
  <c r="T27" i="24"/>
  <c r="V27" i="24" s="1"/>
  <c r="X27" i="24" s="1"/>
  <c r="K27" i="24"/>
  <c r="X18" i="27"/>
  <c r="X23" i="26"/>
  <c r="AJ9" i="29" l="1"/>
  <c r="O21" i="24"/>
  <c r="AA18" i="29" s="1"/>
  <c r="AB18" i="29" s="1"/>
  <c r="P21" i="24"/>
  <c r="Q21" i="24" s="1"/>
  <c r="Q13" i="20"/>
  <c r="R13" i="20"/>
  <c r="S13" i="20" s="1"/>
  <c r="P14" i="28"/>
  <c r="Q14" i="28" s="1"/>
  <c r="Q29" i="28" s="1"/>
  <c r="R14" i="28"/>
  <c r="S14" i="28" s="1"/>
  <c r="O14" i="28"/>
  <c r="AI11" i="29" s="1"/>
  <c r="P21" i="28"/>
  <c r="Q21" i="28" s="1"/>
  <c r="R21" i="28"/>
  <c r="S21" i="28" s="1"/>
  <c r="P17" i="23"/>
  <c r="Q17" i="23" s="1"/>
  <c r="O17" i="23"/>
  <c r="W14" i="29" s="1"/>
  <c r="X12" i="13"/>
  <c r="AJ11" i="29"/>
  <c r="X12" i="19"/>
  <c r="D19" i="29"/>
  <c r="AB14" i="29"/>
  <c r="X13" i="25"/>
  <c r="O21" i="28"/>
  <c r="AI18" i="29" s="1"/>
  <c r="AJ18" i="29" s="1"/>
  <c r="O22" i="20"/>
  <c r="K19" i="29" s="1"/>
  <c r="L19" i="29" s="1"/>
  <c r="P22" i="20"/>
  <c r="Q22" i="20" s="1"/>
  <c r="P13" i="25"/>
  <c r="Q13" i="25" s="1"/>
  <c r="R13" i="25"/>
  <c r="S13" i="25" s="1"/>
  <c r="O13" i="25"/>
  <c r="AE10" i="29" s="1"/>
  <c r="AF10" i="29" s="1"/>
  <c r="X12" i="29"/>
  <c r="R13" i="24"/>
  <c r="S13" i="24" s="1"/>
  <c r="R11" i="26"/>
  <c r="S11" i="26" s="1"/>
  <c r="X17" i="21"/>
  <c r="R16" i="27"/>
  <c r="S16" i="27" s="1"/>
  <c r="P20" i="22"/>
  <c r="Q20" i="22" s="1"/>
  <c r="Q24" i="22" s="1"/>
  <c r="Q21" i="22"/>
  <c r="R21" i="22"/>
  <c r="S21" i="22" s="1"/>
  <c r="O20" i="23"/>
  <c r="W17" i="29" s="1"/>
  <c r="X17" i="29" s="1"/>
  <c r="P20" i="23"/>
  <c r="Q20" i="23" s="1"/>
  <c r="R20" i="23"/>
  <c r="S20" i="23" s="1"/>
  <c r="O22" i="13"/>
  <c r="C19" i="29" s="1"/>
  <c r="P22" i="13"/>
  <c r="D14" i="29"/>
  <c r="R16" i="13"/>
  <c r="S16" i="13" s="1"/>
  <c r="R12" i="28"/>
  <c r="S12" i="28" s="1"/>
  <c r="X14" i="29"/>
  <c r="R11" i="27"/>
  <c r="S11" i="27" s="1"/>
  <c r="AR19" i="29"/>
  <c r="P10" i="29"/>
  <c r="R15" i="26"/>
  <c r="S15" i="26" s="1"/>
  <c r="R15" i="28"/>
  <c r="S15" i="28" s="1"/>
  <c r="L17" i="29"/>
  <c r="R24" i="26"/>
  <c r="S24" i="26" s="1"/>
  <c r="X15" i="29"/>
  <c r="T15" i="29"/>
  <c r="R22" i="22"/>
  <c r="S22" i="22" s="1"/>
  <c r="P17" i="29"/>
  <c r="D16" i="29"/>
  <c r="X14" i="24"/>
  <c r="X15" i="20"/>
  <c r="P16" i="23"/>
  <c r="Q16" i="23" s="1"/>
  <c r="O16" i="23"/>
  <c r="W13" i="29" s="1"/>
  <c r="X13" i="29" s="1"/>
  <c r="O20" i="22"/>
  <c r="S17" i="29" s="1"/>
  <c r="T17" i="29" s="1"/>
  <c r="O19" i="24"/>
  <c r="AA16" i="29" s="1"/>
  <c r="AB16" i="29" s="1"/>
  <c r="P19" i="24"/>
  <c r="AF5" i="29"/>
  <c r="AF15" i="29"/>
  <c r="O21" i="21"/>
  <c r="O18" i="29" s="1"/>
  <c r="P18" i="29" s="1"/>
  <c r="P21" i="21"/>
  <c r="Q21" i="21" s="1"/>
  <c r="Q18" i="25"/>
  <c r="C42" i="2" s="1"/>
  <c r="Q19" i="25"/>
  <c r="X21" i="19"/>
  <c r="O14" i="23"/>
  <c r="W11" i="29" s="1"/>
  <c r="X11" i="29" s="1"/>
  <c r="P14" i="23"/>
  <c r="Q14" i="23" s="1"/>
  <c r="H9" i="29"/>
  <c r="R12" i="24"/>
  <c r="S12" i="24" s="1"/>
  <c r="AR12" i="29"/>
  <c r="H13" i="29"/>
  <c r="P14" i="26"/>
  <c r="Q14" i="26" s="1"/>
  <c r="Q25" i="26" s="1"/>
  <c r="C45" i="2" s="1"/>
  <c r="O14" i="26"/>
  <c r="AQ11" i="29" s="1"/>
  <c r="AR11" i="29" s="1"/>
  <c r="AJ16" i="29"/>
  <c r="O11" i="19"/>
  <c r="G8" i="29" s="1"/>
  <c r="P11" i="19"/>
  <c r="Q11" i="19" s="1"/>
  <c r="O26" i="24"/>
  <c r="AA23" i="29" s="1"/>
  <c r="AB23" i="29" s="1"/>
  <c r="P26" i="24"/>
  <c r="Q26" i="24" s="1"/>
  <c r="O14" i="24"/>
  <c r="AA11" i="29" s="1"/>
  <c r="AB11" i="29" s="1"/>
  <c r="P14" i="24"/>
  <c r="L16" i="29"/>
  <c r="O27" i="24"/>
  <c r="AA24" i="29" s="1"/>
  <c r="P27" i="24"/>
  <c r="Q27" i="24" s="1"/>
  <c r="D9" i="29"/>
  <c r="R21" i="27"/>
  <c r="S21" i="27" s="1"/>
  <c r="Q28" i="28"/>
  <c r="C43" i="2" s="1"/>
  <c r="AN15" i="29"/>
  <c r="T11" i="29"/>
  <c r="R14" i="21"/>
  <c r="S14" i="21" s="1"/>
  <c r="X17" i="19"/>
  <c r="H17" i="29"/>
  <c r="R15" i="23"/>
  <c r="S15" i="23" s="1"/>
  <c r="X18" i="24"/>
  <c r="R20" i="19"/>
  <c r="S20" i="19" s="1"/>
  <c r="X24" i="24"/>
  <c r="O12" i="19"/>
  <c r="G9" i="29" s="1"/>
  <c r="P12" i="19"/>
  <c r="Q12" i="19" s="1"/>
  <c r="O15" i="21"/>
  <c r="O12" i="29" s="1"/>
  <c r="P12" i="29" s="1"/>
  <c r="P15" i="21"/>
  <c r="R18" i="27"/>
  <c r="S18" i="27" s="1"/>
  <c r="D13" i="29"/>
  <c r="X14" i="27"/>
  <c r="AJ12" i="29"/>
  <c r="O17" i="27"/>
  <c r="AM14" i="29" s="1"/>
  <c r="AN14" i="29" s="1"/>
  <c r="P17" i="27"/>
  <c r="Q17" i="27" s="1"/>
  <c r="R17" i="27"/>
  <c r="S17" i="27" s="1"/>
  <c r="R15" i="13"/>
  <c r="S15" i="13" s="1"/>
  <c r="R20" i="24"/>
  <c r="S20" i="24" s="1"/>
  <c r="R17" i="24"/>
  <c r="S17" i="24" s="1"/>
  <c r="X13" i="21"/>
  <c r="P21" i="20"/>
  <c r="O21" i="20"/>
  <c r="K18" i="29" s="1"/>
  <c r="L18" i="29" s="1"/>
  <c r="R16" i="19"/>
  <c r="S16" i="19" s="1"/>
  <c r="AN18" i="29"/>
  <c r="R15" i="25"/>
  <c r="S15" i="25" s="1"/>
  <c r="X22" i="24"/>
  <c r="R16" i="24"/>
  <c r="S16" i="24" s="1"/>
  <c r="X19" i="29"/>
  <c r="R19" i="20"/>
  <c r="S19" i="20" s="1"/>
  <c r="R12" i="25"/>
  <c r="S12" i="25" s="1"/>
  <c r="AJ20" i="29"/>
  <c r="R17" i="25"/>
  <c r="S17" i="25" s="1"/>
  <c r="R19" i="22"/>
  <c r="S19" i="22" s="1"/>
  <c r="P23" i="23"/>
  <c r="Q23" i="23" s="1"/>
  <c r="O23" i="23"/>
  <c r="W20" i="29" s="1"/>
  <c r="P24" i="20"/>
  <c r="Q24" i="20" s="1"/>
  <c r="O24" i="20"/>
  <c r="K21" i="29" s="1"/>
  <c r="R24" i="20"/>
  <c r="S24" i="20" s="1"/>
  <c r="P17" i="21"/>
  <c r="O17" i="21"/>
  <c r="O14" i="29" s="1"/>
  <c r="P14" i="29" s="1"/>
  <c r="O15" i="20"/>
  <c r="K12" i="29" s="1"/>
  <c r="L12" i="29" s="1"/>
  <c r="P15" i="20"/>
  <c r="Q15" i="20" s="1"/>
  <c r="P17" i="19"/>
  <c r="Q17" i="19" s="1"/>
  <c r="O17" i="19"/>
  <c r="G14" i="29" s="1"/>
  <c r="H14" i="29" s="1"/>
  <c r="O18" i="24"/>
  <c r="AA15" i="29" s="1"/>
  <c r="AB15" i="29" s="1"/>
  <c r="P18" i="24"/>
  <c r="O24" i="24"/>
  <c r="AA21" i="29" s="1"/>
  <c r="AB21" i="29" s="1"/>
  <c r="P24" i="24"/>
  <c r="Q24" i="24" s="1"/>
  <c r="R23" i="28"/>
  <c r="S23" i="28" s="1"/>
  <c r="S29" i="28" s="1"/>
  <c r="R21" i="23"/>
  <c r="S21" i="23" s="1"/>
  <c r="AB13" i="29"/>
  <c r="R11" i="23"/>
  <c r="S11" i="23" s="1"/>
  <c r="R11" i="24"/>
  <c r="S11" i="24" s="1"/>
  <c r="O11" i="24"/>
  <c r="AA8" i="29" s="1"/>
  <c r="P11" i="24"/>
  <c r="Q11" i="24" s="1"/>
  <c r="R20" i="20"/>
  <c r="S20" i="20" s="1"/>
  <c r="R11" i="13"/>
  <c r="S11" i="13" s="1"/>
  <c r="P11" i="13"/>
  <c r="Q11" i="13" s="1"/>
  <c r="O11" i="13"/>
  <c r="C8" i="29" s="1"/>
  <c r="R11" i="25"/>
  <c r="S11" i="25" s="1"/>
  <c r="R19" i="13"/>
  <c r="S19" i="13" s="1"/>
  <c r="X15" i="21"/>
  <c r="O14" i="27"/>
  <c r="AM11" i="29" s="1"/>
  <c r="AN11" i="29" s="1"/>
  <c r="P14" i="27"/>
  <c r="Q14" i="27" s="1"/>
  <c r="R14" i="27"/>
  <c r="S14" i="27" s="1"/>
  <c r="S24" i="27" s="1"/>
  <c r="R19" i="28"/>
  <c r="S19" i="28" s="1"/>
  <c r="P24" i="13"/>
  <c r="Q24" i="13" s="1"/>
  <c r="R24" i="13"/>
  <c r="S24" i="13" s="1"/>
  <c r="O24" i="13"/>
  <c r="C21" i="29" s="1"/>
  <c r="O23" i="20"/>
  <c r="K20" i="29" s="1"/>
  <c r="L20" i="29" s="1"/>
  <c r="P23" i="20"/>
  <c r="Q23" i="20" s="1"/>
  <c r="X21" i="20"/>
  <c r="R20" i="13"/>
  <c r="S20" i="13" s="1"/>
  <c r="R22" i="26"/>
  <c r="S22" i="26" s="1"/>
  <c r="O22" i="24"/>
  <c r="AA19" i="29" s="1"/>
  <c r="AB19" i="29" s="1"/>
  <c r="P22" i="24"/>
  <c r="Q22" i="24" s="1"/>
  <c r="P22" i="27"/>
  <c r="Q22" i="27" s="1"/>
  <c r="O22" i="27"/>
  <c r="AM19" i="29" s="1"/>
  <c r="R22" i="19"/>
  <c r="S22" i="19" s="1"/>
  <c r="AB10" i="29"/>
  <c r="Q23" i="21"/>
  <c r="R23" i="21"/>
  <c r="S23" i="21" s="1"/>
  <c r="R14" i="25"/>
  <c r="S14" i="25" s="1"/>
  <c r="D12" i="29"/>
  <c r="P21" i="19"/>
  <c r="Q21" i="19" s="1"/>
  <c r="O21" i="19"/>
  <c r="G18" i="29" s="1"/>
  <c r="H18" i="29" s="1"/>
  <c r="P22" i="29" l="1"/>
  <c r="AB5" i="29"/>
  <c r="S25" i="13"/>
  <c r="S28" i="13" s="1"/>
  <c r="N7" i="13" s="1"/>
  <c r="Q22" i="13"/>
  <c r="R22" i="13"/>
  <c r="S22" i="13" s="1"/>
  <c r="Q23" i="22"/>
  <c r="C39" i="2" s="1"/>
  <c r="R21" i="24"/>
  <c r="S21" i="24" s="1"/>
  <c r="Q26" i="26"/>
  <c r="R23" i="20"/>
  <c r="S23" i="20" s="1"/>
  <c r="R17" i="23"/>
  <c r="S17" i="23" s="1"/>
  <c r="AJ5" i="29"/>
  <c r="R27" i="24"/>
  <c r="S27" i="24" s="1"/>
  <c r="R14" i="26"/>
  <c r="S14" i="26" s="1"/>
  <c r="S25" i="26" s="1"/>
  <c r="R28" i="26" s="1"/>
  <c r="Q19" i="24"/>
  <c r="R19" i="24"/>
  <c r="S19" i="24" s="1"/>
  <c r="S29" i="24" s="1"/>
  <c r="R16" i="23"/>
  <c r="S16" i="23" s="1"/>
  <c r="R20" i="22"/>
  <c r="S20" i="22" s="1"/>
  <c r="S23" i="22" s="1"/>
  <c r="R22" i="20"/>
  <c r="S22" i="20" s="1"/>
  <c r="E35" i="2"/>
  <c r="L22" i="29"/>
  <c r="L5" i="29"/>
  <c r="N7" i="26"/>
  <c r="E45" i="2"/>
  <c r="AN20" i="29"/>
  <c r="AN5" i="29"/>
  <c r="X5" i="29"/>
  <c r="X21" i="29"/>
  <c r="Q18" i="24"/>
  <c r="R18" i="24"/>
  <c r="S18" i="24" s="1"/>
  <c r="S26" i="13"/>
  <c r="Q14" i="24"/>
  <c r="R14" i="24"/>
  <c r="S14" i="24" s="1"/>
  <c r="H5" i="29"/>
  <c r="H20" i="29"/>
  <c r="AJ25" i="29"/>
  <c r="S19" i="25"/>
  <c r="S18" i="25"/>
  <c r="Q15" i="21"/>
  <c r="R15" i="21"/>
  <c r="S15" i="21" s="1"/>
  <c r="R26" i="24"/>
  <c r="S26" i="24" s="1"/>
  <c r="S23" i="27"/>
  <c r="R21" i="21"/>
  <c r="S21" i="21" s="1"/>
  <c r="S28" i="28"/>
  <c r="AB25" i="29"/>
  <c r="R21" i="19"/>
  <c r="S21" i="19" s="1"/>
  <c r="R22" i="27"/>
  <c r="S22" i="27" s="1"/>
  <c r="R22" i="24"/>
  <c r="S22" i="24" s="1"/>
  <c r="R15" i="20"/>
  <c r="S15" i="20" s="1"/>
  <c r="Q21" i="20"/>
  <c r="Q26" i="20" s="1"/>
  <c r="R21" i="20"/>
  <c r="S21" i="20" s="1"/>
  <c r="T5" i="29"/>
  <c r="T20" i="29"/>
  <c r="R11" i="19"/>
  <c r="S11" i="19" s="1"/>
  <c r="R14" i="23"/>
  <c r="S14" i="23" s="1"/>
  <c r="S24" i="22"/>
  <c r="N7" i="22" s="1"/>
  <c r="Q24" i="19"/>
  <c r="Q23" i="19"/>
  <c r="C36" i="2" s="1"/>
  <c r="AR5" i="29"/>
  <c r="AR22" i="29"/>
  <c r="Q23" i="27"/>
  <c r="C44" i="2" s="1"/>
  <c r="Q24" i="27"/>
  <c r="R23" i="23"/>
  <c r="S23" i="23" s="1"/>
  <c r="R24" i="24"/>
  <c r="S24" i="24" s="1"/>
  <c r="R17" i="19"/>
  <c r="S17" i="19" s="1"/>
  <c r="Q25" i="20"/>
  <c r="C37" i="2" s="1"/>
  <c r="Q17" i="21"/>
  <c r="R17" i="21"/>
  <c r="S17" i="21" s="1"/>
  <c r="R12" i="19"/>
  <c r="S12" i="19" s="1"/>
  <c r="P5" i="29"/>
  <c r="D5" i="29"/>
  <c r="D22" i="29"/>
  <c r="Q25" i="23"/>
  <c r="Q24" i="23"/>
  <c r="C40" i="2" s="1"/>
  <c r="R26" i="22" l="1"/>
  <c r="E39" i="2"/>
  <c r="Q26" i="13"/>
  <c r="Q25" i="13"/>
  <c r="C35" i="2" s="1"/>
  <c r="S26" i="21"/>
  <c r="S28" i="24"/>
  <c r="R31" i="24" s="1"/>
  <c r="S25" i="21"/>
  <c r="S26" i="26"/>
  <c r="E41" i="2"/>
  <c r="R28" i="21"/>
  <c r="E38" i="2"/>
  <c r="N7" i="27"/>
  <c r="R26" i="27"/>
  <c r="E44" i="2"/>
  <c r="R21" i="25"/>
  <c r="E42" i="2"/>
  <c r="S24" i="19"/>
  <c r="S23" i="19"/>
  <c r="S25" i="23"/>
  <c r="S24" i="23"/>
  <c r="S25" i="20"/>
  <c r="S26" i="20"/>
  <c r="R30" i="28"/>
  <c r="E43" i="2"/>
  <c r="Q29" i="24"/>
  <c r="Q28" i="24"/>
  <c r="C41" i="2" s="1"/>
  <c r="A5" i="29"/>
  <c r="Q26" i="21"/>
  <c r="Q25" i="21"/>
  <c r="C38" i="2" s="1"/>
  <c r="C47" i="2" l="1"/>
  <c r="R26" i="19"/>
  <c r="E36" i="2"/>
  <c r="R28" i="20"/>
  <c r="E37" i="2"/>
  <c r="R27" i="23"/>
  <c r="E40" i="2"/>
  <c r="E47" i="2" l="1"/>
</calcChain>
</file>

<file path=xl/sharedStrings.xml><?xml version="1.0" encoding="utf-8"?>
<sst xmlns="http://schemas.openxmlformats.org/spreadsheetml/2006/main" count="571" uniqueCount="58">
  <si>
    <t>Antoine</t>
  </si>
  <si>
    <t>T,°C</t>
  </si>
  <si>
    <t>Model</t>
  </si>
  <si>
    <t>Experim.</t>
  </si>
  <si>
    <t>T,K</t>
  </si>
  <si>
    <t>Roeck H.,Schroeder W., Z.Phus.Chem. (Frankfurt) 11,41(1957)</t>
  </si>
  <si>
    <t>Enthalpy of vap.</t>
  </si>
  <si>
    <t>Molar volume</t>
  </si>
  <si>
    <t>R</t>
  </si>
  <si>
    <t>C1/(C2^(1+(1-Tr)^C4))</t>
  </si>
  <si>
    <t>mean</t>
  </si>
  <si>
    <t>max</t>
  </si>
  <si>
    <t>P (mmHg)</t>
  </si>
  <si>
    <r>
      <t>x</t>
    </r>
    <r>
      <rPr>
        <vertAlign val="subscript"/>
        <sz val="10"/>
        <rFont val="Arial"/>
        <family val="2"/>
      </rPr>
      <t>1</t>
    </r>
  </si>
  <si>
    <r>
      <t>x</t>
    </r>
    <r>
      <rPr>
        <vertAlign val="subscript"/>
        <sz val="10"/>
        <rFont val="Arial"/>
        <family val="2"/>
      </rPr>
      <t>2</t>
    </r>
  </si>
  <si>
    <r>
      <t>y</t>
    </r>
    <r>
      <rPr>
        <vertAlign val="subscript"/>
        <sz val="10"/>
        <rFont val="Arial"/>
        <family val="2"/>
      </rPr>
      <t>1</t>
    </r>
  </si>
  <si>
    <r>
      <t>y</t>
    </r>
    <r>
      <rPr>
        <vertAlign val="subscript"/>
        <sz val="10"/>
        <rFont val="Arial"/>
        <family val="2"/>
      </rPr>
      <t>2</t>
    </r>
  </si>
  <si>
    <r>
      <t>g</t>
    </r>
    <r>
      <rPr>
        <vertAlign val="subscript"/>
        <sz val="10"/>
        <rFont val="Symbol"/>
        <family val="1"/>
        <charset val="2"/>
      </rPr>
      <t>1</t>
    </r>
    <r>
      <rPr>
        <sz val="10"/>
        <rFont val="Symbol"/>
        <family val="1"/>
        <charset val="2"/>
      </rPr>
      <t>¢</t>
    </r>
  </si>
  <si>
    <r>
      <t>g</t>
    </r>
    <r>
      <rPr>
        <vertAlign val="subscript"/>
        <sz val="10"/>
        <rFont val="Symbol"/>
        <family val="1"/>
        <charset val="2"/>
      </rPr>
      <t>2</t>
    </r>
    <r>
      <rPr>
        <sz val="10"/>
        <rFont val="Symbol"/>
        <family val="1"/>
        <charset val="2"/>
      </rPr>
      <t>¢</t>
    </r>
  </si>
  <si>
    <r>
      <t>G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>/RT</t>
    </r>
  </si>
  <si>
    <r>
      <t>g</t>
    </r>
    <r>
      <rPr>
        <vertAlign val="subscript"/>
        <sz val="10"/>
        <rFont val="Arial"/>
        <family val="2"/>
      </rPr>
      <t>1</t>
    </r>
  </si>
  <si>
    <r>
      <t>g</t>
    </r>
    <r>
      <rPr>
        <vertAlign val="subscript"/>
        <sz val="10"/>
        <rFont val="Arial"/>
        <family val="2"/>
      </rPr>
      <t>2</t>
    </r>
  </si>
  <si>
    <r>
      <t>ln(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)</t>
    </r>
  </si>
  <si>
    <r>
      <t>ln(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</si>
  <si>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P</t>
    </r>
    <r>
      <rPr>
        <vertAlign val="superscript"/>
        <sz val="10"/>
        <rFont val="Arial"/>
        <family val="2"/>
      </rPr>
      <t>model</t>
    </r>
  </si>
  <si>
    <r>
      <t>P</t>
    </r>
    <r>
      <rPr>
        <vertAlign val="superscript"/>
        <sz val="10"/>
        <rFont val="Arial"/>
        <family val="2"/>
      </rPr>
      <t>real</t>
    </r>
    <r>
      <rPr>
        <sz val="10"/>
        <rFont val="Arial"/>
        <family val="2"/>
      </rPr>
      <t>-P</t>
    </r>
    <r>
      <rPr>
        <vertAlign val="superscript"/>
        <sz val="10"/>
        <rFont val="Arial"/>
        <family val="2"/>
      </rPr>
      <t>model</t>
    </r>
  </si>
  <si>
    <r>
      <t>y</t>
    </r>
    <r>
      <rPr>
        <vertAlign val="subscript"/>
        <sz val="10"/>
        <rFont val="Arial"/>
        <family val="2"/>
      </rPr>
      <t>1</t>
    </r>
    <r>
      <rPr>
        <vertAlign val="superscript"/>
        <sz val="10"/>
        <rFont val="Arial"/>
        <family val="2"/>
      </rPr>
      <t>model</t>
    </r>
  </si>
  <si>
    <r>
      <t>y</t>
    </r>
    <r>
      <rPr>
        <vertAlign val="superscript"/>
        <sz val="10"/>
        <rFont val="Arial"/>
        <family val="2"/>
      </rPr>
      <t>real</t>
    </r>
    <r>
      <rPr>
        <sz val="10"/>
        <rFont val="Arial"/>
        <family val="2"/>
      </rPr>
      <t>-y</t>
    </r>
    <r>
      <rPr>
        <vertAlign val="superscript"/>
        <sz val="10"/>
        <rFont val="Arial"/>
        <family val="2"/>
      </rPr>
      <t>model</t>
    </r>
  </si>
  <si>
    <t>GE/x1x2RT</t>
  </si>
  <si>
    <t>adjustable parameters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</si>
  <si>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</t>
    </r>
  </si>
  <si>
    <t>Aldrich (1998-1999)</t>
  </si>
  <si>
    <t>Error</t>
  </si>
  <si>
    <t>A12</t>
  </si>
  <si>
    <t>A21</t>
  </si>
  <si>
    <t>Std Dev</t>
  </si>
  <si>
    <t>% Dev</t>
  </si>
  <si>
    <t>average</t>
  </si>
  <si>
    <t>Average Errors</t>
  </si>
  <si>
    <t>Temp</t>
  </si>
  <si>
    <t>Pressure</t>
  </si>
  <si>
    <t>Composition</t>
  </si>
  <si>
    <t>Benzene (i)</t>
  </si>
  <si>
    <t>CYCLOHEXANE (2)</t>
  </si>
  <si>
    <t>b11</t>
  </si>
  <si>
    <t>K Aim</t>
  </si>
  <si>
    <t>b22</t>
  </si>
  <si>
    <t>Fluid Phase Euilibria 2 (1978) 119</t>
  </si>
  <si>
    <t>a12</t>
  </si>
  <si>
    <t xml:space="preserve">b12  =  </t>
  </si>
  <si>
    <t xml:space="preserve">A21  =  </t>
  </si>
  <si>
    <t xml:space="preserve">A12  =  </t>
  </si>
  <si>
    <r>
      <t>g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/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2</t>
    </r>
  </si>
  <si>
    <t>x</t>
  </si>
  <si>
    <t>Exp</t>
  </si>
  <si>
    <t>Pred</t>
  </si>
  <si>
    <t>Mean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</si>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</sst>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0.000"/>
    <numFmt numFmtId="167" formatCode="0.0000"/>
    <numFmt numFmtId="168" formatCode="0.00000"/>
  </numFmts>
  <fonts count="13" x14ac:knownFonts="1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bscript"/>
      <sz val="10"/>
      <name val="Arial"/>
      <family val="2"/>
    </font>
    <font>
      <vertAlign val="subscript"/>
      <sz val="10"/>
      <name val="Symbol"/>
      <family val="1"/>
      <charset val="2"/>
    </font>
    <font>
      <vertAlign val="superscript"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Fill="1" applyBorder="1" applyAlignment="1"/>
    <xf numFmtId="0" fontId="0" fillId="0" borderId="0" xfId="0" applyBorder="1"/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5" fillId="0" borderId="0" xfId="0" applyFont="1"/>
    <xf numFmtId="164" fontId="1" fillId="0" borderId="0" xfId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167" fontId="0" fillId="0" borderId="0" xfId="0" applyNumberFormat="1" applyBorder="1"/>
    <xf numFmtId="167" fontId="2" fillId="0" borderId="0" xfId="0" applyNumberFormat="1" applyFont="1" applyBorder="1" applyAlignment="1">
      <alignment horizontal="right"/>
    </xf>
    <xf numFmtId="167" fontId="0" fillId="0" borderId="0" xfId="0" applyNumberFormat="1" applyFill="1" applyBorder="1" applyAlignment="1"/>
    <xf numFmtId="167" fontId="0" fillId="0" borderId="0" xfId="0" applyNumberFormat="1"/>
    <xf numFmtId="167" fontId="0" fillId="0" borderId="0" xfId="0" applyNumberFormat="1" applyBorder="1" applyAlignment="1">
      <alignment horizontal="right"/>
    </xf>
    <xf numFmtId="167" fontId="3" fillId="0" borderId="0" xfId="0" applyNumberFormat="1" applyFont="1" applyFill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right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/>
    <xf numFmtId="2" fontId="4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" fillId="0" borderId="0" xfId="1" applyNumberFormat="1"/>
    <xf numFmtId="168" fontId="0" fillId="0" borderId="0" xfId="0" applyNumberFormat="1"/>
    <xf numFmtId="0" fontId="0" fillId="0" borderId="0" xfId="2" applyNumberFormat="1" applyFont="1"/>
    <xf numFmtId="0" fontId="0" fillId="0" borderId="0" xfId="0" applyFill="1" applyBorder="1"/>
    <xf numFmtId="166" fontId="9" fillId="0" borderId="0" xfId="0" applyNumberFormat="1" applyFont="1"/>
    <xf numFmtId="167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1" fillId="0" borderId="0" xfId="1" applyNumberFormat="1" applyAlignment="1">
      <alignment horizontal="center"/>
    </xf>
    <xf numFmtId="0" fontId="11" fillId="0" borderId="0" xfId="0" applyFont="1"/>
    <xf numFmtId="0" fontId="1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47655954814521"/>
          <c:y val="7.4074280165710035E-2"/>
          <c:w val="0.64285838847499011"/>
          <c:h val="0.7122526939010580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Parameters!$B$3:$L$3</c:f>
              <c:numCache>
                <c:formatCode>General</c:formatCode>
                <c:ptCount val="11"/>
                <c:pt idx="0">
                  <c:v>3.5568202027387517</c:v>
                </c:pt>
                <c:pt idx="1">
                  <c:v>3.5316969803990821</c:v>
                </c:pt>
                <c:pt idx="2">
                  <c:v>3.4825004353125548</c:v>
                </c:pt>
                <c:pt idx="3">
                  <c:v>3.4112229234180456</c:v>
                </c:pt>
                <c:pt idx="4">
                  <c:v>3.3550291887539423</c:v>
                </c:pt>
                <c:pt idx="5">
                  <c:v>3.3540164346805303</c:v>
                </c:pt>
                <c:pt idx="6">
                  <c:v>3.1933578157432541</c:v>
                </c:pt>
                <c:pt idx="7">
                  <c:v>3.1431714600031433</c:v>
                </c:pt>
                <c:pt idx="8">
                  <c:v>3.0473868657626086</c:v>
                </c:pt>
                <c:pt idx="9">
                  <c:v>3.0016509079993998</c:v>
                </c:pt>
                <c:pt idx="10">
                  <c:v>2.9141774734081309</c:v>
                </c:pt>
              </c:numCache>
            </c:numRef>
          </c:xVal>
          <c:yVal>
            <c:numRef>
              <c:f>Parameters!$B$4:$L$4</c:f>
              <c:numCache>
                <c:formatCode>General</c:formatCode>
                <c:ptCount val="11"/>
                <c:pt idx="0">
                  <c:v>0.56414336381379659</c:v>
                </c:pt>
                <c:pt idx="1">
                  <c:v>0.56884610905325728</c:v>
                </c:pt>
                <c:pt idx="2">
                  <c:v>0.53307227817508041</c:v>
                </c:pt>
                <c:pt idx="3">
                  <c:v>0.51034527964301446</c:v>
                </c:pt>
                <c:pt idx="4">
                  <c:v>0.48624338187887139</c:v>
                </c:pt>
                <c:pt idx="5">
                  <c:v>0.43293541800662166</c:v>
                </c:pt>
                <c:pt idx="6">
                  <c:v>0.42360427354697805</c:v>
                </c:pt>
                <c:pt idx="7">
                  <c:v>0.40529780242594565</c:v>
                </c:pt>
                <c:pt idx="8">
                  <c:v>0.3800179981083881</c:v>
                </c:pt>
                <c:pt idx="9">
                  <c:v>0.37192817486754193</c:v>
                </c:pt>
                <c:pt idx="10">
                  <c:v>0.352954596339702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Parameters!$B$3:$L$3</c:f>
              <c:numCache>
                <c:formatCode>General</c:formatCode>
                <c:ptCount val="11"/>
                <c:pt idx="0">
                  <c:v>3.5568202027387517</c:v>
                </c:pt>
                <c:pt idx="1">
                  <c:v>3.5316969803990821</c:v>
                </c:pt>
                <c:pt idx="2">
                  <c:v>3.4825004353125548</c:v>
                </c:pt>
                <c:pt idx="3">
                  <c:v>3.4112229234180456</c:v>
                </c:pt>
                <c:pt idx="4">
                  <c:v>3.3550291887539423</c:v>
                </c:pt>
                <c:pt idx="5">
                  <c:v>3.3540164346805303</c:v>
                </c:pt>
                <c:pt idx="6">
                  <c:v>3.1933578157432541</c:v>
                </c:pt>
                <c:pt idx="7">
                  <c:v>3.1431714600031433</c:v>
                </c:pt>
                <c:pt idx="8">
                  <c:v>3.0473868657626086</c:v>
                </c:pt>
                <c:pt idx="9">
                  <c:v>3.0016509079993998</c:v>
                </c:pt>
                <c:pt idx="10">
                  <c:v>2.9141774734081309</c:v>
                </c:pt>
              </c:numCache>
            </c:numRef>
          </c:xVal>
          <c:yVal>
            <c:numRef>
              <c:f>Parameters!$B$5:$L$5</c:f>
              <c:numCache>
                <c:formatCode>General</c:formatCode>
                <c:ptCount val="11"/>
                <c:pt idx="0">
                  <c:v>0.63971181626041218</c:v>
                </c:pt>
                <c:pt idx="1">
                  <c:v>0.63780502730561262</c:v>
                </c:pt>
                <c:pt idx="2">
                  <c:v>0.60948628265638094</c:v>
                </c:pt>
                <c:pt idx="3">
                  <c:v>0.57561663349359293</c:v>
                </c:pt>
                <c:pt idx="4">
                  <c:v>0.55406714411687852</c:v>
                </c:pt>
                <c:pt idx="5">
                  <c:v>0.50243155551597241</c:v>
                </c:pt>
                <c:pt idx="6">
                  <c:v>0.48963842619621184</c:v>
                </c:pt>
                <c:pt idx="7">
                  <c:v>0.45708966212776869</c:v>
                </c:pt>
                <c:pt idx="8">
                  <c:v>0.42661856855051666</c:v>
                </c:pt>
                <c:pt idx="9">
                  <c:v>0.40974446923360591</c:v>
                </c:pt>
                <c:pt idx="10">
                  <c:v>0.37536544406503686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18800"/>
        <c:axId val="285714880"/>
      </c:scatterChart>
      <c:valAx>
        <c:axId val="285718800"/>
        <c:scaling>
          <c:orientation val="minMax"/>
          <c:max val="3.6"/>
          <c:min val="2.9"/>
        </c:scaling>
        <c:delete val="0"/>
        <c:axPos val="b"/>
        <c:title>
          <c:tx>
            <c:rich>
              <a:bodyPr/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2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1000/T, K</a:t>
                </a:r>
                <a:r>
                  <a:rPr lang="en-GB" sz="1425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-1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5714354915277224"/>
              <c:y val="0.8860423512129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14880"/>
        <c:crosses val="autoZero"/>
        <c:crossBetween val="midCat"/>
      </c:valAx>
      <c:valAx>
        <c:axId val="28571488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425" b="0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GB" sz="1425" b="0" i="0" u="none" strike="noStrike" baseline="0">
                    <a:solidFill>
                      <a:srgbClr val="000000"/>
                    </a:solidFill>
                    <a:latin typeface="Symbol"/>
                  </a:rPr>
                  <a:t>l</a:t>
                </a:r>
                <a:r>
                  <a:rPr lang="en-GB" sz="1425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ji</a:t>
                </a:r>
                <a:r>
                  <a:rPr lang="en-GB" sz="1425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-</a:t>
                </a:r>
                <a:r>
                  <a:rPr lang="en-GB" sz="1425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l</a:t>
                </a:r>
                <a:r>
                  <a:rPr lang="en-GB" sz="1425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ii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3809569943518152E-2"/>
              <c:y val="0.378918433155362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1880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0179124962242"/>
          <c:y val="0.18918974401083899"/>
          <c:w val="0.72672885794639741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'10'!$H$11:$H$22</c:f>
              <c:numCache>
                <c:formatCode>General</c:formatCode>
                <c:ptCount val="12"/>
                <c:pt idx="1">
                  <c:v>1.6954023524582724</c:v>
                </c:pt>
                <c:pt idx="2">
                  <c:v>1.4493509797115374</c:v>
                </c:pt>
                <c:pt idx="3">
                  <c:v>1.3280235572852273</c:v>
                </c:pt>
                <c:pt idx="4">
                  <c:v>1.2170711267191627</c:v>
                </c:pt>
                <c:pt idx="5">
                  <c:v>1.1564770876921466</c:v>
                </c:pt>
                <c:pt idx="6">
                  <c:v>1.1022504462511167</c:v>
                </c:pt>
                <c:pt idx="7">
                  <c:v>1.0487278978622081</c:v>
                </c:pt>
                <c:pt idx="8">
                  <c:v>1.0250814462919384</c:v>
                </c:pt>
                <c:pt idx="9">
                  <c:v>1.0118517414761943</c:v>
                </c:pt>
                <c:pt idx="10">
                  <c:v>1.0056817930766568</c:v>
                </c:pt>
                <c:pt idx="11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'10'!$I$11:$I$22</c:f>
              <c:numCache>
                <c:formatCode>General</c:formatCode>
                <c:ptCount val="12"/>
                <c:pt idx="0">
                  <c:v>1</c:v>
                </c:pt>
                <c:pt idx="1">
                  <c:v>1.0009412526460681</c:v>
                </c:pt>
                <c:pt idx="2">
                  <c:v>1.0216523039202217</c:v>
                </c:pt>
                <c:pt idx="3">
                  <c:v>1.0572721716715847</c:v>
                </c:pt>
                <c:pt idx="4">
                  <c:v>1.1038669129491641</c:v>
                </c:pt>
                <c:pt idx="5">
                  <c:v>1.1709791735792463</c:v>
                </c:pt>
                <c:pt idx="6">
                  <c:v>1.2362231191402278</c:v>
                </c:pt>
                <c:pt idx="7">
                  <c:v>1.3518531257140389</c:v>
                </c:pt>
                <c:pt idx="8">
                  <c:v>1.4798282260380951</c:v>
                </c:pt>
                <c:pt idx="9">
                  <c:v>1.6047605989402152</c:v>
                </c:pt>
                <c:pt idx="10">
                  <c:v>1.6707501067270045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'10'!$K$11:$K$22</c:f>
              <c:numCache>
                <c:formatCode>General</c:formatCode>
                <c:ptCount val="12"/>
                <c:pt idx="0">
                  <c:v>1.7662278408133285</c:v>
                </c:pt>
                <c:pt idx="1">
                  <c:v>1.6623719720689711</c:v>
                </c:pt>
                <c:pt idx="2">
                  <c:v>1.4441284084753161</c:v>
                </c:pt>
                <c:pt idx="3">
                  <c:v>1.327401415138485</c:v>
                </c:pt>
                <c:pt idx="4">
                  <c:v>1.2237840952055119</c:v>
                </c:pt>
                <c:pt idx="5">
                  <c:v>1.1554476222304342</c:v>
                </c:pt>
                <c:pt idx="6">
                  <c:v>1.103345984781378</c:v>
                </c:pt>
                <c:pt idx="7">
                  <c:v>1.0517278070405016</c:v>
                </c:pt>
                <c:pt idx="8">
                  <c:v>1.0265583395065412</c:v>
                </c:pt>
                <c:pt idx="9">
                  <c:v>1.0095628667228886</c:v>
                </c:pt>
                <c:pt idx="10">
                  <c:v>1.007019276843317</c:v>
                </c:pt>
                <c:pt idx="11">
                  <c:v>1.0000000000000071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'10'!$L$11:$L$22</c:f>
              <c:numCache>
                <c:formatCode>General</c:formatCode>
                <c:ptCount val="12"/>
                <c:pt idx="0">
                  <c:v>1</c:v>
                </c:pt>
                <c:pt idx="1">
                  <c:v>1.0019148040102239</c:v>
                </c:pt>
                <c:pt idx="2">
                  <c:v>1.0248620965196271</c:v>
                </c:pt>
                <c:pt idx="3">
                  <c:v>1.0568304351104914</c:v>
                </c:pt>
                <c:pt idx="4">
                  <c:v>1.109808826138414</c:v>
                </c:pt>
                <c:pt idx="5">
                  <c:v>1.169901177815218</c:v>
                </c:pt>
                <c:pt idx="6">
                  <c:v>1.2431849731167166</c:v>
                </c:pt>
                <c:pt idx="7">
                  <c:v>1.3696129351626305</c:v>
                </c:pt>
                <c:pt idx="8">
                  <c:v>1.4819696233077209</c:v>
                </c:pt>
                <c:pt idx="9">
                  <c:v>1.6217041731977087</c:v>
                </c:pt>
                <c:pt idx="10">
                  <c:v>1.6556546094743003</c:v>
                </c:pt>
                <c:pt idx="11">
                  <c:v>1.8923224501022862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00248"/>
        <c:axId val="291400640"/>
      </c:scatterChart>
      <c:valAx>
        <c:axId val="2914002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Liquid fraction of Acetone</a:t>
                </a:r>
              </a:p>
            </c:rich>
          </c:tx>
          <c:layout>
            <c:manualLayout>
              <c:xMode val="edge"/>
              <c:yMode val="edge"/>
              <c:x val="0.3423433463053277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400640"/>
        <c:crosses val="autoZero"/>
        <c:crossBetween val="midCat"/>
      </c:valAx>
      <c:valAx>
        <c:axId val="29140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13222636374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4002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769677205555"/>
          <c:y val="0.17717769677205555"/>
          <c:w val="0.75375596423366009"/>
          <c:h val="0.6336354918458257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'10'!$C$11:$C$22</c:f>
              <c:numCache>
                <c:formatCode>General</c:formatCode>
                <c:ptCount val="12"/>
                <c:pt idx="0">
                  <c:v>47.569999904581103</c:v>
                </c:pt>
                <c:pt idx="1">
                  <c:v>49.42</c:v>
                </c:pt>
                <c:pt idx="2">
                  <c:v>52.34</c:v>
                </c:pt>
                <c:pt idx="3">
                  <c:v>53.54</c:v>
                </c:pt>
                <c:pt idx="4">
                  <c:v>53.77</c:v>
                </c:pt>
                <c:pt idx="5">
                  <c:v>54.11</c:v>
                </c:pt>
                <c:pt idx="6">
                  <c:v>53.54</c:v>
                </c:pt>
                <c:pt idx="7">
                  <c:v>52.3</c:v>
                </c:pt>
                <c:pt idx="8">
                  <c:v>51.33</c:v>
                </c:pt>
                <c:pt idx="9">
                  <c:v>49.62</c:v>
                </c:pt>
                <c:pt idx="10">
                  <c:v>49.17</c:v>
                </c:pt>
                <c:pt idx="11">
                  <c:v>45.539999893753802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'10'!$P$11:$P$22</c:f>
              <c:numCache>
                <c:formatCode>General</c:formatCode>
                <c:ptCount val="12"/>
                <c:pt idx="0">
                  <c:v>47.569999904909743</c:v>
                </c:pt>
                <c:pt idx="1">
                  <c:v>49.371730401479113</c:v>
                </c:pt>
                <c:pt idx="2">
                  <c:v>52.408765854874304</c:v>
                </c:pt>
                <c:pt idx="3">
                  <c:v>53.516654044018807</c:v>
                </c:pt>
                <c:pt idx="4">
                  <c:v>54.062615176347343</c:v>
                </c:pt>
                <c:pt idx="5">
                  <c:v>54.061027142969337</c:v>
                </c:pt>
                <c:pt idx="6">
                  <c:v>53.699113622479125</c:v>
                </c:pt>
                <c:pt idx="7">
                  <c:v>52.630950956980072</c:v>
                </c:pt>
                <c:pt idx="8">
                  <c:v>51.40404099284693</c:v>
                </c:pt>
                <c:pt idx="9">
                  <c:v>49.622262862252285</c:v>
                </c:pt>
                <c:pt idx="10">
                  <c:v>49.15293092906402</c:v>
                </c:pt>
                <c:pt idx="11">
                  <c:v>45.540004341532004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2808"/>
        <c:axId val="285793200"/>
      </c:scatterChart>
      <c:valAx>
        <c:axId val="2857928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43553935441111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3200"/>
        <c:crosses val="autoZero"/>
        <c:crossBetween val="midCat"/>
      </c:valAx>
      <c:valAx>
        <c:axId val="28579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7747887774164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28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'10'!$O$11:$O$22</c:f>
              <c:numCache>
                <c:formatCode>General</c:formatCode>
                <c:ptCount val="12"/>
                <c:pt idx="0">
                  <c:v>1.7662278408133285</c:v>
                </c:pt>
                <c:pt idx="1">
                  <c:v>1.6591949389461338</c:v>
                </c:pt>
                <c:pt idx="2">
                  <c:v>1.4090953440267655</c:v>
                </c:pt>
                <c:pt idx="3">
                  <c:v>1.2560211847037746</c:v>
                </c:pt>
                <c:pt idx="4">
                  <c:v>1.1026981101453981</c:v>
                </c:pt>
                <c:pt idx="5">
                  <c:v>0.98764549018424297</c:v>
                </c:pt>
                <c:pt idx="6">
                  <c:v>0.88751554164561974</c:v>
                </c:pt>
                <c:pt idx="7">
                  <c:v>0.76790148518538737</c:v>
                </c:pt>
                <c:pt idx="8">
                  <c:v>0.69269863792166497</c:v>
                </c:pt>
                <c:pt idx="9">
                  <c:v>0.62253207669325561</c:v>
                </c:pt>
                <c:pt idx="10">
                  <c:v>0.60823028612414731</c:v>
                </c:pt>
                <c:pt idx="11">
                  <c:v>0.5284511632496639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'10'!$J$11:$J$22</c:f>
              <c:numCache>
                <c:formatCode>General</c:formatCode>
                <c:ptCount val="12"/>
                <c:pt idx="0">
                  <c:v>0</c:v>
                </c:pt>
                <c:pt idx="1">
                  <c:v>1.6938080511481977</c:v>
                </c:pt>
                <c:pt idx="2">
                  <c:v>1.4186342791477851</c:v>
                </c:pt>
                <c:pt idx="3">
                  <c:v>1.2560848501153445</c:v>
                </c:pt>
                <c:pt idx="4">
                  <c:v>1.1025524113840453</c:v>
                </c:pt>
                <c:pt idx="5">
                  <c:v>0.98761541945893694</c:v>
                </c:pt>
                <c:pt idx="6">
                  <c:v>0.8916274329327486</c:v>
                </c:pt>
                <c:pt idx="7">
                  <c:v>0.77577059069066967</c:v>
                </c:pt>
                <c:pt idx="8">
                  <c:v>0.69270299637165444</c:v>
                </c:pt>
                <c:pt idx="9">
                  <c:v>0.63053127185726132</c:v>
                </c:pt>
                <c:pt idx="10">
                  <c:v>0.60193429826964673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88888"/>
        <c:axId val="285793984"/>
      </c:scatterChart>
      <c:valAx>
        <c:axId val="28578888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3984"/>
        <c:crosses val="autoZero"/>
        <c:crossBetween val="midCat"/>
      </c:valAx>
      <c:valAx>
        <c:axId val="28579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88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21986210779756"/>
          <c:y val="0.18918974401083899"/>
          <c:w val="0.66967163356217618"/>
          <c:h val="0.60060236193917138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'14'!$F$11:$F$24</c:f>
              <c:numCache>
                <c:formatCode>General</c:formatCode>
                <c:ptCount val="14"/>
                <c:pt idx="0">
                  <c:v>9.9999999999999998E-13</c:v>
                </c:pt>
                <c:pt idx="1">
                  <c:v>3.56E-2</c:v>
                </c:pt>
                <c:pt idx="2">
                  <c:v>6.4500000000000002E-2</c:v>
                </c:pt>
                <c:pt idx="3">
                  <c:v>0.12529999999999999</c:v>
                </c:pt>
                <c:pt idx="4">
                  <c:v>0.25509999999999999</c:v>
                </c:pt>
                <c:pt idx="5">
                  <c:v>0.35820000000000002</c:v>
                </c:pt>
                <c:pt idx="6">
                  <c:v>0.46129999999999999</c:v>
                </c:pt>
                <c:pt idx="7">
                  <c:v>0.61929999999999996</c:v>
                </c:pt>
                <c:pt idx="8">
                  <c:v>0.69750000000000001</c:v>
                </c:pt>
                <c:pt idx="9">
                  <c:v>0.78410000000000002</c:v>
                </c:pt>
                <c:pt idx="10">
                  <c:v>0.88139999999999996</c:v>
                </c:pt>
                <c:pt idx="11">
                  <c:v>0.93240000000000001</c:v>
                </c:pt>
                <c:pt idx="12">
                  <c:v>0.97150000000000003</c:v>
                </c:pt>
                <c:pt idx="13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'14'!$R$11:$R$24</c:f>
              <c:numCache>
                <c:formatCode>General</c:formatCode>
                <c:ptCount val="14"/>
                <c:pt idx="0">
                  <c:v>1.6418609631835308E-11</c:v>
                </c:pt>
                <c:pt idx="1">
                  <c:v>3.5070551822541693E-2</c:v>
                </c:pt>
                <c:pt idx="2">
                  <c:v>6.3703191067214143E-2</c:v>
                </c:pt>
                <c:pt idx="3">
                  <c:v>0.12451646188386478</c:v>
                </c:pt>
                <c:pt idx="4">
                  <c:v>0.25537567720351495</c:v>
                </c:pt>
                <c:pt idx="5">
                  <c:v>0.35919774949303573</c:v>
                </c:pt>
                <c:pt idx="6">
                  <c:v>0.46192500693257532</c:v>
                </c:pt>
                <c:pt idx="7">
                  <c:v>0.61863371733224681</c:v>
                </c:pt>
                <c:pt idx="8">
                  <c:v>0.69686551637083272</c:v>
                </c:pt>
                <c:pt idx="9">
                  <c:v>0.78410000118657786</c:v>
                </c:pt>
                <c:pt idx="10">
                  <c:v>0.88196579178337919</c:v>
                </c:pt>
                <c:pt idx="11">
                  <c:v>0.93289588917214283</c:v>
                </c:pt>
                <c:pt idx="12">
                  <c:v>0.971777566303344</c:v>
                </c:pt>
                <c:pt idx="13">
                  <c:v>0.9999998090716582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'14'!$D$11:$E$11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'14'!$D$11:$E$11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4768"/>
        <c:axId val="285795160"/>
      </c:scatterChart>
      <c:valAx>
        <c:axId val="28579476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Liquid fraction Acetone</a:t>
                </a:r>
              </a:p>
            </c:rich>
          </c:tx>
          <c:layout>
            <c:manualLayout>
              <c:xMode val="edge"/>
              <c:yMode val="edge"/>
              <c:x val="0.3513523817344153"/>
              <c:y val="0.89790053109906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5160"/>
        <c:crosses val="autoZero"/>
        <c:crossBetween val="midCat"/>
        <c:majorUnit val="0.2"/>
      </c:valAx>
      <c:valAx>
        <c:axId val="28579516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4.2042165335741996E-2"/>
              <c:y val="0.28228311011141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4768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318372039144729"/>
          <c:w val="0.69069271623004713"/>
          <c:h val="0.62162344460704244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'14'!$W$11:$W$24</c:f>
              <c:numCache>
                <c:formatCode>General</c:formatCode>
                <c:ptCount val="14"/>
                <c:pt idx="1">
                  <c:v>0.55174981492963493</c:v>
                </c:pt>
                <c:pt idx="2">
                  <c:v>0.54982448997824585</c:v>
                </c:pt>
                <c:pt idx="3">
                  <c:v>0.56119019998073638</c:v>
                </c:pt>
                <c:pt idx="4">
                  <c:v>0.5576514633642663</c:v>
                </c:pt>
                <c:pt idx="5">
                  <c:v>0.56293887261637987</c:v>
                </c:pt>
                <c:pt idx="6">
                  <c:v>0.57067820588345097</c:v>
                </c:pt>
                <c:pt idx="7">
                  <c:v>0.58767309737998585</c:v>
                </c:pt>
                <c:pt idx="8">
                  <c:v>0.59677269409135292</c:v>
                </c:pt>
                <c:pt idx="9">
                  <c:v>0.6090517386346278</c:v>
                </c:pt>
                <c:pt idx="10">
                  <c:v>0.61231753503630992</c:v>
                </c:pt>
                <c:pt idx="11">
                  <c:v>0.62303696086222315</c:v>
                </c:pt>
                <c:pt idx="12">
                  <c:v>0.66619489908143148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'14'!$V$11:$V$24</c:f>
              <c:numCache>
                <c:formatCode>General</c:formatCode>
                <c:ptCount val="14"/>
                <c:pt idx="0">
                  <c:v>0.53307227817574887</c:v>
                </c:pt>
                <c:pt idx="1">
                  <c:v>0.53455340551372243</c:v>
                </c:pt>
                <c:pt idx="2">
                  <c:v>0.5358468743118785</c:v>
                </c:pt>
                <c:pt idx="3">
                  <c:v>0.53887578981841722</c:v>
                </c:pt>
                <c:pt idx="4">
                  <c:v>0.54697271457095542</c:v>
                </c:pt>
                <c:pt idx="5">
                  <c:v>0.55528041171890119</c:v>
                </c:pt>
                <c:pt idx="6">
                  <c:v>0.56520851437224062</c:v>
                </c:pt>
                <c:pt idx="7">
                  <c:v>0.58178996917312098</c:v>
                </c:pt>
                <c:pt idx="8">
                  <c:v>0.58937877197882371</c:v>
                </c:pt>
                <c:pt idx="9">
                  <c:v>0.59664861320398022</c:v>
                </c:pt>
                <c:pt idx="10">
                  <c:v>0.60327718901237892</c:v>
                </c:pt>
                <c:pt idx="11">
                  <c:v>0.60616701309630483</c:v>
                </c:pt>
                <c:pt idx="12">
                  <c:v>0.60815248246291809</c:v>
                </c:pt>
                <c:pt idx="13">
                  <c:v>0.60948627391961319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5944"/>
        <c:axId val="285796336"/>
      </c:scatterChart>
      <c:valAx>
        <c:axId val="2857959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13523817344153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6336"/>
        <c:crossesAt val="0"/>
        <c:crossBetween val="midCat"/>
        <c:majorUnit val="0.2"/>
      </c:valAx>
      <c:valAx>
        <c:axId val="28579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/x1x2RT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5045177145437855E-2"/>
              <c:y val="0.39940057068954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5944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9576763023072"/>
          <c:y val="0.31831925182776083"/>
          <c:w val="0.72372584613670154"/>
          <c:h val="0.47747887774164127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'14'!$H$11:$H$24</c:f>
              <c:numCache>
                <c:formatCode>General</c:formatCode>
                <c:ptCount val="14"/>
                <c:pt idx="1">
                  <c:v>1.6958237256610007</c:v>
                </c:pt>
                <c:pt idx="2">
                  <c:v>1.6625460165525074</c:v>
                </c:pt>
                <c:pt idx="3">
                  <c:v>1.5895961364109885</c:v>
                </c:pt>
                <c:pt idx="4">
                  <c:v>1.4295216814763969</c:v>
                </c:pt>
                <c:pt idx="5">
                  <c:v>1.3059825700023744</c:v>
                </c:pt>
                <c:pt idx="6">
                  <c:v>1.1959778850878693</c:v>
                </c:pt>
                <c:pt idx="7">
                  <c:v>1.0749489111639714</c:v>
                </c:pt>
                <c:pt idx="8">
                  <c:v>1.0397364693203417</c:v>
                </c:pt>
                <c:pt idx="9">
                  <c:v>1.0167669852056052</c:v>
                </c:pt>
                <c:pt idx="10">
                  <c:v>1.0037396702949717</c:v>
                </c:pt>
                <c:pt idx="11">
                  <c:v>1.0013249579652312</c:v>
                </c:pt>
                <c:pt idx="12">
                  <c:v>1.0008831545677519</c:v>
                </c:pt>
                <c:pt idx="13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'14'!$I$11:$I$24</c:f>
              <c:numCache>
                <c:formatCode>General</c:formatCode>
                <c:ptCount val="14"/>
                <c:pt idx="0">
                  <c:v>1</c:v>
                </c:pt>
                <c:pt idx="1">
                  <c:v>1.0002573854007761</c:v>
                </c:pt>
                <c:pt idx="2">
                  <c:v>1.0008087749744947</c:v>
                </c:pt>
                <c:pt idx="3">
                  <c:v>1.0046628359106642</c:v>
                </c:pt>
                <c:pt idx="4">
                  <c:v>1.022436335907922</c:v>
                </c:pt>
                <c:pt idx="5">
                  <c:v>1.0560418068898105</c:v>
                </c:pt>
                <c:pt idx="6">
                  <c:v>1.1166056564833973</c:v>
                </c:pt>
                <c:pt idx="7">
                  <c:v>1.2803780408585057</c:v>
                </c:pt>
                <c:pt idx="8">
                  <c:v>1.3909402898384893</c:v>
                </c:pt>
                <c:pt idx="9">
                  <c:v>1.5272698905126547</c:v>
                </c:pt>
                <c:pt idx="10">
                  <c:v>1.6821932265960113</c:v>
                </c:pt>
                <c:pt idx="11">
                  <c:v>1.7610306321375089</c:v>
                </c:pt>
                <c:pt idx="12">
                  <c:v>1.820639540295355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'14'!$K$11:$K$24</c:f>
              <c:numCache>
                <c:formatCode>General</c:formatCode>
                <c:ptCount val="14"/>
                <c:pt idx="0">
                  <c:v>1.7041599274931694</c:v>
                </c:pt>
                <c:pt idx="1">
                  <c:v>1.6696391855276056</c:v>
                </c:pt>
                <c:pt idx="2">
                  <c:v>1.6406021376360225</c:v>
                </c:pt>
                <c:pt idx="3">
                  <c:v>1.576449673182172</c:v>
                </c:pt>
                <c:pt idx="4">
                  <c:v>1.4287077298125486</c:v>
                </c:pt>
                <c:pt idx="5">
                  <c:v>1.3076684460453041</c:v>
                </c:pt>
                <c:pt idx="6">
                  <c:v>1.1960003342402306</c:v>
                </c:pt>
                <c:pt idx="7">
                  <c:v>1.0725403543992034</c:v>
                </c:pt>
                <c:pt idx="8">
                  <c:v>1.0376007570211296</c:v>
                </c:pt>
                <c:pt idx="9">
                  <c:v>1.0151594619474229</c:v>
                </c:pt>
                <c:pt idx="10">
                  <c:v>1.0035258278194115</c:v>
                </c:pt>
                <c:pt idx="11">
                  <c:v>1.0010063375019078</c:v>
                </c:pt>
                <c:pt idx="12">
                  <c:v>1.0001624265423323</c:v>
                </c:pt>
                <c:pt idx="13">
                  <c:v>1.0000000000000069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'14'!$L$11:$L$24</c:f>
              <c:numCache>
                <c:formatCode>General</c:formatCode>
                <c:ptCount val="14"/>
                <c:pt idx="0">
                  <c:v>1</c:v>
                </c:pt>
                <c:pt idx="1">
                  <c:v>1.0002290089929606</c:v>
                </c:pt>
                <c:pt idx="2">
                  <c:v>1.0008038815724682</c:v>
                </c:pt>
                <c:pt idx="3">
                  <c:v>1.0035217892525645</c:v>
                </c:pt>
                <c:pt idx="4">
                  <c:v>1.020373319419269</c:v>
                </c:pt>
                <c:pt idx="5">
                  <c:v>1.052828578677891</c:v>
                </c:pt>
                <c:pt idx="6">
                  <c:v>1.1138219936207869</c:v>
                </c:pt>
                <c:pt idx="7">
                  <c:v>1.281123343854168</c:v>
                </c:pt>
                <c:pt idx="8">
                  <c:v>1.3922611071065789</c:v>
                </c:pt>
                <c:pt idx="9">
                  <c:v>1.5248552441152432</c:v>
                </c:pt>
                <c:pt idx="10">
                  <c:v>1.6727377302551321</c:v>
                </c:pt>
                <c:pt idx="11">
                  <c:v>1.7466271713124562</c:v>
                </c:pt>
                <c:pt idx="12">
                  <c:v>1.8010951760680722</c:v>
                </c:pt>
                <c:pt idx="13">
                  <c:v>1.8394859236901449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7120"/>
        <c:axId val="285797512"/>
      </c:scatterChart>
      <c:valAx>
        <c:axId val="2857971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Liquid fraction of Acetone</a:t>
                </a:r>
              </a:p>
            </c:rich>
          </c:tx>
          <c:layout>
            <c:manualLayout>
              <c:xMode val="edge"/>
              <c:yMode val="edge"/>
              <c:x val="0.33333431087624016"/>
              <c:y val="0.88588848386027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7512"/>
        <c:crosses val="autoZero"/>
        <c:crossBetween val="midCat"/>
      </c:valAx>
      <c:valAx>
        <c:axId val="285797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2042165335741996E-2"/>
              <c:y val="0.38438551164106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71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769677205555"/>
          <c:y val="0.17717769677205555"/>
          <c:w val="0.75375596423366009"/>
          <c:h val="0.6336354918458257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'14'!$C$11:$C$24</c:f>
              <c:numCache>
                <c:formatCode>General</c:formatCode>
                <c:ptCount val="14"/>
                <c:pt idx="0">
                  <c:v>58.052214358477087</c:v>
                </c:pt>
                <c:pt idx="1">
                  <c:v>58.88</c:v>
                </c:pt>
                <c:pt idx="2">
                  <c:v>59.54</c:v>
                </c:pt>
                <c:pt idx="3">
                  <c:v>60.95</c:v>
                </c:pt>
                <c:pt idx="4">
                  <c:v>63.53</c:v>
                </c:pt>
                <c:pt idx="5">
                  <c:v>65.05</c:v>
                </c:pt>
                <c:pt idx="6">
                  <c:v>65.760000000000005</c:v>
                </c:pt>
                <c:pt idx="7">
                  <c:v>64.84</c:v>
                </c:pt>
                <c:pt idx="8">
                  <c:v>63.53</c:v>
                </c:pt>
                <c:pt idx="9">
                  <c:v>61.64</c:v>
                </c:pt>
                <c:pt idx="10">
                  <c:v>59.12</c:v>
                </c:pt>
                <c:pt idx="11">
                  <c:v>57.77</c:v>
                </c:pt>
                <c:pt idx="12">
                  <c:v>56.74</c:v>
                </c:pt>
                <c:pt idx="13">
                  <c:v>55.929999904624445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'14'!$P$11:$P$24</c:f>
              <c:numCache>
                <c:formatCode>General</c:formatCode>
                <c:ptCount val="14"/>
                <c:pt idx="0">
                  <c:v>58.052214358849703</c:v>
                </c:pt>
                <c:pt idx="1">
                  <c:v>58.846023612984602</c:v>
                </c:pt>
                <c:pt idx="2">
                  <c:v>59.489039296066558</c:v>
                </c:pt>
                <c:pt idx="3">
                  <c:v>60.826289058383914</c:v>
                </c:pt>
                <c:pt idx="4">
                  <c:v>63.425285439933376</c:v>
                </c:pt>
                <c:pt idx="5">
                  <c:v>64.953048500154694</c:v>
                </c:pt>
                <c:pt idx="6">
                  <c:v>65.672256212039173</c:v>
                </c:pt>
                <c:pt idx="7">
                  <c:v>64.764395604954601</c:v>
                </c:pt>
                <c:pt idx="8">
                  <c:v>63.457227779205063</c:v>
                </c:pt>
                <c:pt idx="9">
                  <c:v>61.542546178455886</c:v>
                </c:pt>
                <c:pt idx="10">
                  <c:v>59.069486615882234</c:v>
                </c:pt>
                <c:pt idx="11">
                  <c:v>57.720919261638358</c:v>
                </c:pt>
                <c:pt idx="12">
                  <c:v>56.682947147067615</c:v>
                </c:pt>
                <c:pt idx="13">
                  <c:v>55.930004990247959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8296"/>
        <c:axId val="285798688"/>
      </c:scatterChart>
      <c:valAx>
        <c:axId val="28579829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43553935441111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8688"/>
        <c:crosses val="autoZero"/>
        <c:crossBetween val="midCat"/>
      </c:valAx>
      <c:valAx>
        <c:axId val="28579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7747887774164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82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'14'!$O$11:$O$24</c:f>
              <c:numCache>
                <c:formatCode>General</c:formatCode>
                <c:ptCount val="14"/>
                <c:pt idx="0">
                  <c:v>1.7041599274931694</c:v>
                </c:pt>
                <c:pt idx="1">
                  <c:v>1.6692569106834974</c:v>
                </c:pt>
                <c:pt idx="2">
                  <c:v>1.6392843471573071</c:v>
                </c:pt>
                <c:pt idx="3">
                  <c:v>1.570917233751677</c:v>
                </c:pt>
                <c:pt idx="4">
                  <c:v>1.4001813871668825</c:v>
                </c:pt>
                <c:pt idx="5">
                  <c:v>1.2420525739217991</c:v>
                </c:pt>
                <c:pt idx="6">
                  <c:v>1.0737804973237242</c:v>
                </c:pt>
                <c:pt idx="7">
                  <c:v>0.83718742582001693</c:v>
                </c:pt>
                <c:pt idx="8">
                  <c:v>0.74526304852219094</c:v>
                </c:pt>
                <c:pt idx="9">
                  <c:v>0.66574152914852069</c:v>
                </c:pt>
                <c:pt idx="10">
                  <c:v>0.59993016817188072</c:v>
                </c:pt>
                <c:pt idx="11">
                  <c:v>0.57310819042722694</c:v>
                </c:pt>
                <c:pt idx="12">
                  <c:v>0.55530792588416289</c:v>
                </c:pt>
                <c:pt idx="13">
                  <c:v>0.54363014531469367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'14'!$D$11:$D$24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'14'!$J$11:$J$24</c:f>
              <c:numCache>
                <c:formatCode>General</c:formatCode>
                <c:ptCount val="14"/>
                <c:pt idx="0">
                  <c:v>0</c:v>
                </c:pt>
                <c:pt idx="1">
                  <c:v>1.6953873577064666</c:v>
                </c:pt>
                <c:pt idx="2">
                  <c:v>1.6612024775610874</c:v>
                </c:pt>
                <c:pt idx="3">
                  <c:v>1.5822185111188261</c:v>
                </c:pt>
                <c:pt idx="4">
                  <c:v>1.3981522675511955</c:v>
                </c:pt>
                <c:pt idx="5">
                  <c:v>1.2366769586979458</c:v>
                </c:pt>
                <c:pt idx="6">
                  <c:v>1.0710834914220697</c:v>
                </c:pt>
                <c:pt idx="7">
                  <c:v>0.83955587870220572</c:v>
                </c:pt>
                <c:pt idx="8">
                  <c:v>0.74750618478459052</c:v>
                </c:pt>
                <c:pt idx="9">
                  <c:v>0.66574152448216573</c:v>
                </c:pt>
                <c:pt idx="10">
                  <c:v>0.5966851217954795</c:v>
                </c:pt>
                <c:pt idx="11">
                  <c:v>0.56860166977892945</c:v>
                </c:pt>
                <c:pt idx="12">
                  <c:v>0.5497426219829229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9472"/>
        <c:axId val="285799864"/>
      </c:scatterChart>
      <c:valAx>
        <c:axId val="28579947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9864"/>
        <c:crosses val="autoZero"/>
        <c:crossBetween val="midCat"/>
      </c:valAx>
      <c:valAx>
        <c:axId val="28579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9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21986210779756"/>
          <c:y val="0.18918974401083899"/>
          <c:w val="0.66967163356217618"/>
          <c:h val="0.60060236193917138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'20'!$F$11:$F$24</c:f>
              <c:numCache>
                <c:formatCode>General</c:formatCode>
                <c:ptCount val="14"/>
                <c:pt idx="0">
                  <c:v>9.9999999999999998E-13</c:v>
                </c:pt>
                <c:pt idx="1">
                  <c:v>3.49E-2</c:v>
                </c:pt>
                <c:pt idx="2">
                  <c:v>6.3299999999999995E-2</c:v>
                </c:pt>
                <c:pt idx="3">
                  <c:v>0.1235</c:v>
                </c:pt>
                <c:pt idx="4">
                  <c:v>0.25309999999999999</c:v>
                </c:pt>
                <c:pt idx="5">
                  <c:v>0.3574</c:v>
                </c:pt>
                <c:pt idx="6">
                  <c:v>0.46229999999999999</c:v>
                </c:pt>
                <c:pt idx="7">
                  <c:v>0.623</c:v>
                </c:pt>
                <c:pt idx="8">
                  <c:v>0.70199999999999996</c:v>
                </c:pt>
                <c:pt idx="9">
                  <c:v>0.78869999999999996</c:v>
                </c:pt>
                <c:pt idx="10">
                  <c:v>0.88470000000000004</c:v>
                </c:pt>
                <c:pt idx="11">
                  <c:v>0.9345</c:v>
                </c:pt>
                <c:pt idx="12">
                  <c:v>0.97250000000000003</c:v>
                </c:pt>
                <c:pt idx="13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'20'!$R$11:$R$24</c:f>
              <c:numCache>
                <c:formatCode>General</c:formatCode>
                <c:ptCount val="14"/>
                <c:pt idx="0">
                  <c:v>1.6157892798681064E-11</c:v>
                </c:pt>
                <c:pt idx="1">
                  <c:v>3.4553525087137937E-2</c:v>
                </c:pt>
                <c:pt idx="2">
                  <c:v>6.2824184472005287E-2</c:v>
                </c:pt>
                <c:pt idx="3">
                  <c:v>0.12305438655947705</c:v>
                </c:pt>
                <c:pt idx="4">
                  <c:v>0.25357457614201562</c:v>
                </c:pt>
                <c:pt idx="5">
                  <c:v>0.35808592888658891</c:v>
                </c:pt>
                <c:pt idx="6">
                  <c:v>0.46230017005201984</c:v>
                </c:pt>
                <c:pt idx="7">
                  <c:v>0.62193981740761051</c:v>
                </c:pt>
                <c:pt idx="8">
                  <c:v>0.70119926647904673</c:v>
                </c:pt>
                <c:pt idx="9">
                  <c:v>0.78870001471000561</c:v>
                </c:pt>
                <c:pt idx="10">
                  <c:v>0.88546028901192664</c:v>
                </c:pt>
                <c:pt idx="11">
                  <c:v>0.93517686634516872</c:v>
                </c:pt>
                <c:pt idx="12">
                  <c:v>0.97283154286933848</c:v>
                </c:pt>
                <c:pt idx="13">
                  <c:v>0.99999981666623761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'20'!$D$11:$E$11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'20'!$D$11:$E$11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90848"/>
        <c:axId val="285790064"/>
      </c:scatterChart>
      <c:valAx>
        <c:axId val="28579084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435539354411111"/>
              <c:y val="0.89790053109906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0064"/>
        <c:crosses val="autoZero"/>
        <c:crossBetween val="midCat"/>
        <c:majorUnit val="0.2"/>
      </c:valAx>
      <c:valAx>
        <c:axId val="28579006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4.2042165335741996E-2"/>
              <c:y val="0.28228311011141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0848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318372039144729"/>
          <c:w val="0.69069271623004713"/>
          <c:h val="0.61561742098765071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'20'!$W$11:$W$24</c:f>
              <c:numCache>
                <c:formatCode>General</c:formatCode>
                <c:ptCount val="14"/>
                <c:pt idx="1">
                  <c:v>0.53076618291572808</c:v>
                </c:pt>
                <c:pt idx="2">
                  <c:v>0.52042050647816107</c:v>
                </c:pt>
                <c:pt idx="3">
                  <c:v>0.53231971727103511</c:v>
                </c:pt>
                <c:pt idx="4">
                  <c:v>0.52964449139310199</c:v>
                </c:pt>
                <c:pt idx="5">
                  <c:v>0.53652647762208183</c:v>
                </c:pt>
                <c:pt idx="6">
                  <c:v>0.5420721039813049</c:v>
                </c:pt>
                <c:pt idx="7">
                  <c:v>0.55965089109363941</c:v>
                </c:pt>
                <c:pt idx="8">
                  <c:v>0.5671824052801071</c:v>
                </c:pt>
                <c:pt idx="9">
                  <c:v>0.57978384725360022</c:v>
                </c:pt>
                <c:pt idx="10">
                  <c:v>0.58484273736396197</c:v>
                </c:pt>
                <c:pt idx="11">
                  <c:v>0.59881155942420339</c:v>
                </c:pt>
                <c:pt idx="12">
                  <c:v>0.6092471748400986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'20'!$V$11:$V$24</c:f>
              <c:numCache>
                <c:formatCode>General</c:formatCode>
                <c:ptCount val="14"/>
                <c:pt idx="0">
                  <c:v>0.51034527964359322</c:v>
                </c:pt>
                <c:pt idx="1">
                  <c:v>0.51162741941068979</c:v>
                </c:pt>
                <c:pt idx="2">
                  <c:v>0.51274655569185623</c:v>
                </c:pt>
                <c:pt idx="3">
                  <c:v>0.51536520831175092</c:v>
                </c:pt>
                <c:pt idx="4">
                  <c:v>0.52235148785034247</c:v>
                </c:pt>
                <c:pt idx="5">
                  <c:v>0.52949863258911278</c:v>
                </c:pt>
                <c:pt idx="6">
                  <c:v>0.53801205769342342</c:v>
                </c:pt>
                <c:pt idx="7">
                  <c:v>0.55216379975020302</c:v>
                </c:pt>
                <c:pt idx="8">
                  <c:v>0.55861281842728194</c:v>
                </c:pt>
                <c:pt idx="9">
                  <c:v>0.56477451125614309</c:v>
                </c:pt>
                <c:pt idx="10">
                  <c:v>0.57037886394068504</c:v>
                </c:pt>
                <c:pt idx="11">
                  <c:v>0.57281804802596858</c:v>
                </c:pt>
                <c:pt idx="12">
                  <c:v>0.57449245756747935</c:v>
                </c:pt>
                <c:pt idx="13">
                  <c:v>0.57561662613166009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89672"/>
        <c:axId val="285789280"/>
      </c:scatterChart>
      <c:valAx>
        <c:axId val="2857896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4834936992471943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89280"/>
        <c:crossesAt val="0"/>
        <c:crossBetween val="midCat"/>
      </c:valAx>
      <c:valAx>
        <c:axId val="28578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/x1x2RT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5045177145437855E-2"/>
              <c:y val="0.39639755887985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89672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/>
              <a:t>Benzene-cyclohexane-Van Laar</a:t>
            </a:r>
          </a:p>
        </c:rich>
      </c:tx>
      <c:layout>
        <c:manualLayout>
          <c:xMode val="edge"/>
          <c:yMode val="edge"/>
          <c:x val="0.16885561205349842"/>
          <c:y val="2.6249999999999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83702037245346"/>
          <c:y val="0.17249999999999999"/>
          <c:w val="0.75617822772153476"/>
          <c:h val="0.71062638909266773"/>
        </c:manualLayout>
      </c:layout>
      <c:scatterChart>
        <c:scatterStyle val="smoothMarker"/>
        <c:varyColors val="0"/>
        <c:ser>
          <c:idx val="0"/>
          <c:order val="0"/>
          <c:tx>
            <c:v>Pred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Alpha!$A$8:$A$21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Alpha!$C$8:$C$21</c:f>
              <c:numCache>
                <c:formatCode>General</c:formatCode>
                <c:ptCount val="14"/>
                <c:pt idx="0">
                  <c:v>1.7579412214454835</c:v>
                </c:pt>
                <c:pt idx="1">
                  <c:v>1.7195581633705415</c:v>
                </c:pt>
                <c:pt idx="2">
                  <c:v>1.6866545755537339</c:v>
                </c:pt>
                <c:pt idx="3">
                  <c:v>1.6118035930600068</c:v>
                </c:pt>
                <c:pt idx="4">
                  <c:v>1.4261432081375196</c:v>
                </c:pt>
                <c:pt idx="5">
                  <c:v>1.2558970125986519</c:v>
                </c:pt>
                <c:pt idx="6">
                  <c:v>1.0766712153269191</c:v>
                </c:pt>
                <c:pt idx="7">
                  <c:v>0.82841294059178727</c:v>
                </c:pt>
                <c:pt idx="8">
                  <c:v>0.73325824918201676</c:v>
                </c:pt>
                <c:pt idx="9">
                  <c:v>0.65158864762030633</c:v>
                </c:pt>
                <c:pt idx="10">
                  <c:v>0.58448291943160369</c:v>
                </c:pt>
                <c:pt idx="11">
                  <c:v>0.55726547577862728</c:v>
                </c:pt>
                <c:pt idx="12">
                  <c:v>0.53924646878404436</c:v>
                </c:pt>
                <c:pt idx="13">
                  <c:v>0.52744447956549145</c:v>
                </c:pt>
              </c:numCache>
            </c:numRef>
          </c:yVal>
          <c:smooth val="1"/>
        </c:ser>
        <c:ser>
          <c:idx val="1"/>
          <c:order val="1"/>
          <c:tx>
            <c:v>8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Alpha!$A$8:$A$21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Alpha!$B$8:$B$21</c:f>
              <c:numCache>
                <c:formatCode>General</c:formatCode>
                <c:ptCount val="14"/>
                <c:pt idx="1">
                  <c:v>1.7435326830070046</c:v>
                </c:pt>
                <c:pt idx="2">
                  <c:v>1.7047741035519512</c:v>
                </c:pt>
                <c:pt idx="3">
                  <c:v>1.6193964266344327</c:v>
                </c:pt>
                <c:pt idx="4">
                  <c:v>1.4209961639613891</c:v>
                </c:pt>
                <c:pt idx="5">
                  <c:v>1.2501647941009151</c:v>
                </c:pt>
                <c:pt idx="6">
                  <c:v>1.0760048147873249</c:v>
                </c:pt>
                <c:pt idx="7">
                  <c:v>0.83368677158115934</c:v>
                </c:pt>
                <c:pt idx="8">
                  <c:v>0.73718397325326801</c:v>
                </c:pt>
                <c:pt idx="9">
                  <c:v>0.65158864250262738</c:v>
                </c:pt>
                <c:pt idx="10">
                  <c:v>0.57909950580085401</c:v>
                </c:pt>
                <c:pt idx="11">
                  <c:v>0.54945135707931925</c:v>
                </c:pt>
                <c:pt idx="12">
                  <c:v>0.52917053420555826</c:v>
                </c:pt>
              </c:numCache>
            </c:numRef>
          </c:yVal>
          <c:smooth val="1"/>
        </c:ser>
        <c:ser>
          <c:idx val="2"/>
          <c:order val="2"/>
          <c:tx>
            <c:v>Pred</c:v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Alpha!$E$8:$E$19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Alpha!$G$8:$G$19</c:f>
              <c:numCache>
                <c:formatCode>General</c:formatCode>
                <c:ptCount val="12"/>
                <c:pt idx="0">
                  <c:v>1.7662278408133285</c:v>
                </c:pt>
                <c:pt idx="1">
                  <c:v>1.6591949389461338</c:v>
                </c:pt>
                <c:pt idx="2">
                  <c:v>1.4090953440267655</c:v>
                </c:pt>
                <c:pt idx="3">
                  <c:v>1.2560211847037746</c:v>
                </c:pt>
                <c:pt idx="4">
                  <c:v>1.1026981101453981</c:v>
                </c:pt>
                <c:pt idx="5">
                  <c:v>0.98764549018424297</c:v>
                </c:pt>
                <c:pt idx="6">
                  <c:v>0.88751554164561974</c:v>
                </c:pt>
                <c:pt idx="7">
                  <c:v>0.76790148518538737</c:v>
                </c:pt>
                <c:pt idx="8">
                  <c:v>0.69269863792166497</c:v>
                </c:pt>
                <c:pt idx="9">
                  <c:v>0.62253207669325561</c:v>
                </c:pt>
                <c:pt idx="10">
                  <c:v>0.60823028612414731</c:v>
                </c:pt>
                <c:pt idx="11">
                  <c:v>0.5284511632496639</c:v>
                </c:pt>
              </c:numCache>
            </c:numRef>
          </c:yVal>
          <c:smooth val="1"/>
        </c:ser>
        <c:ser>
          <c:idx val="3"/>
          <c:order val="3"/>
          <c:tx>
            <c:v>10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Alpha!$E$8:$E$19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Alpha!$F$8:$F$19</c:f>
              <c:numCache>
                <c:formatCode>General</c:formatCode>
                <c:ptCount val="12"/>
                <c:pt idx="1">
                  <c:v>1.6938080511481977</c:v>
                </c:pt>
                <c:pt idx="2">
                  <c:v>1.4186342791477851</c:v>
                </c:pt>
                <c:pt idx="3">
                  <c:v>1.2560848501153445</c:v>
                </c:pt>
                <c:pt idx="4">
                  <c:v>1.1025524113840453</c:v>
                </c:pt>
                <c:pt idx="5">
                  <c:v>0.98761541945893694</c:v>
                </c:pt>
                <c:pt idx="6">
                  <c:v>0.8916274329327486</c:v>
                </c:pt>
                <c:pt idx="7">
                  <c:v>0.77577059069066967</c:v>
                </c:pt>
                <c:pt idx="8">
                  <c:v>0.69270299637165444</c:v>
                </c:pt>
                <c:pt idx="9">
                  <c:v>0.63053127185726132</c:v>
                </c:pt>
                <c:pt idx="10">
                  <c:v>0.60193429826964673</c:v>
                </c:pt>
              </c:numCache>
            </c:numRef>
          </c:yVal>
          <c:smooth val="1"/>
        </c:ser>
        <c:ser>
          <c:idx val="4"/>
          <c:order val="4"/>
          <c:tx>
            <c:v>Pred</c:v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Alpha!$I$8:$I$21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Alpha!$K$8:$K$21</c:f>
              <c:numCache>
                <c:formatCode>General</c:formatCode>
                <c:ptCount val="14"/>
                <c:pt idx="0">
                  <c:v>1.7041599274931694</c:v>
                </c:pt>
                <c:pt idx="1">
                  <c:v>1.6692569106834974</c:v>
                </c:pt>
                <c:pt idx="2">
                  <c:v>1.6392843471573071</c:v>
                </c:pt>
                <c:pt idx="3">
                  <c:v>1.570917233751677</c:v>
                </c:pt>
                <c:pt idx="4">
                  <c:v>1.4001813871668825</c:v>
                </c:pt>
                <c:pt idx="5">
                  <c:v>1.2420525739217991</c:v>
                </c:pt>
                <c:pt idx="6">
                  <c:v>1.0737804973237242</c:v>
                </c:pt>
                <c:pt idx="7">
                  <c:v>0.83718742582001693</c:v>
                </c:pt>
                <c:pt idx="8">
                  <c:v>0.74526304852219094</c:v>
                </c:pt>
                <c:pt idx="9">
                  <c:v>0.66574152914852069</c:v>
                </c:pt>
                <c:pt idx="10">
                  <c:v>0.59993016817188072</c:v>
                </c:pt>
                <c:pt idx="11">
                  <c:v>0.57310819042722694</c:v>
                </c:pt>
                <c:pt idx="12">
                  <c:v>0.55530792588416289</c:v>
                </c:pt>
                <c:pt idx="13">
                  <c:v>0.54363014531469367</c:v>
                </c:pt>
              </c:numCache>
            </c:numRef>
          </c:yVal>
          <c:smooth val="1"/>
        </c:ser>
        <c:ser>
          <c:idx val="5"/>
          <c:order val="5"/>
          <c:tx>
            <c:v>14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Alpha!$I$8:$I$21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Alpha!$J$8:$J$21</c:f>
              <c:numCache>
                <c:formatCode>General</c:formatCode>
                <c:ptCount val="14"/>
                <c:pt idx="1">
                  <c:v>1.6953873577064666</c:v>
                </c:pt>
                <c:pt idx="2">
                  <c:v>1.6612024775610874</c:v>
                </c:pt>
                <c:pt idx="3">
                  <c:v>1.5822185111188261</c:v>
                </c:pt>
                <c:pt idx="4">
                  <c:v>1.3981522675511955</c:v>
                </c:pt>
                <c:pt idx="5">
                  <c:v>1.2366769586979458</c:v>
                </c:pt>
                <c:pt idx="6">
                  <c:v>1.0710834914220697</c:v>
                </c:pt>
                <c:pt idx="7">
                  <c:v>0.83955587870220572</c:v>
                </c:pt>
                <c:pt idx="8">
                  <c:v>0.74750618478459052</c:v>
                </c:pt>
                <c:pt idx="9">
                  <c:v>0.66574152448216573</c:v>
                </c:pt>
                <c:pt idx="10">
                  <c:v>0.5966851217954795</c:v>
                </c:pt>
                <c:pt idx="11">
                  <c:v>0.56860166977892945</c:v>
                </c:pt>
                <c:pt idx="12">
                  <c:v>0.5497426219829229</c:v>
                </c:pt>
              </c:numCache>
            </c:numRef>
          </c:yVal>
          <c:smooth val="1"/>
        </c:ser>
        <c:ser>
          <c:idx val="6"/>
          <c:order val="6"/>
          <c:tx>
            <c:v>Pred</c:v>
          </c:tx>
          <c:spPr>
            <a:ln w="12700"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Alpha!$M$8:$M$21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Alpha!$O$8:$O$21</c:f>
              <c:numCache>
                <c:formatCode>General</c:formatCode>
                <c:ptCount val="14"/>
                <c:pt idx="0">
                  <c:v>1.6658662853579123</c:v>
                </c:pt>
                <c:pt idx="1">
                  <c:v>1.632757726325563</c:v>
                </c:pt>
                <c:pt idx="2">
                  <c:v>1.6043306440574199</c:v>
                </c:pt>
                <c:pt idx="3">
                  <c:v>1.5395025095515746</c:v>
                </c:pt>
                <c:pt idx="4">
                  <c:v>1.3776621178188921</c:v>
                </c:pt>
                <c:pt idx="5">
                  <c:v>1.2277846658731537</c:v>
                </c:pt>
                <c:pt idx="6">
                  <c:v>1.0681996844175745</c:v>
                </c:pt>
                <c:pt idx="7">
                  <c:v>0.84333528317023543</c:v>
                </c:pt>
                <c:pt idx="8">
                  <c:v>0.75567872575781991</c:v>
                </c:pt>
                <c:pt idx="9">
                  <c:v>0.67964270776008751</c:v>
                </c:pt>
                <c:pt idx="10">
                  <c:v>0.6165258666853346</c:v>
                </c:pt>
                <c:pt idx="11">
                  <c:v>0.59074185160993364</c:v>
                </c:pt>
                <c:pt idx="12">
                  <c:v>0.57360849820365001</c:v>
                </c:pt>
                <c:pt idx="13">
                  <c:v>0.56235806611703321</c:v>
                </c:pt>
              </c:numCache>
            </c:numRef>
          </c:yVal>
          <c:smooth val="1"/>
        </c:ser>
        <c:ser>
          <c:idx val="7"/>
          <c:order val="7"/>
          <c:tx>
            <c:v>20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Alpha!$M$8:$M$21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Alpha!$N$8:$N$21</c:f>
              <c:numCache>
                <c:formatCode>General</c:formatCode>
                <c:ptCount val="14"/>
                <c:pt idx="1">
                  <c:v>1.649721749858303</c:v>
                </c:pt>
                <c:pt idx="2">
                  <c:v>1.6173025893961703</c:v>
                </c:pt>
                <c:pt idx="3">
                  <c:v>1.5458629861997548</c:v>
                </c:pt>
                <c:pt idx="4">
                  <c:v>1.3742100410084719</c:v>
                </c:pt>
                <c:pt idx="5">
                  <c:v>1.2241247313068613</c:v>
                </c:pt>
                <c:pt idx="6">
                  <c:v>1.0681989536653425</c:v>
                </c:pt>
                <c:pt idx="7">
                  <c:v>0.84714849759860777</c:v>
                </c:pt>
                <c:pt idx="8">
                  <c:v>0.75857451858744018</c:v>
                </c:pt>
                <c:pt idx="9">
                  <c:v>0.67964264776963235</c:v>
                </c:pt>
                <c:pt idx="10">
                  <c:v>0.61193460950885603</c:v>
                </c:pt>
                <c:pt idx="11">
                  <c:v>0.58421407016159332</c:v>
                </c:pt>
                <c:pt idx="12">
                  <c:v>0.56649988422509956</c:v>
                </c:pt>
              </c:numCache>
            </c:numRef>
          </c:yVal>
          <c:smooth val="1"/>
        </c:ser>
        <c:ser>
          <c:idx val="8"/>
          <c:order val="8"/>
          <c:tx>
            <c:v>Pred</c:v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none"/>
          </c:marker>
          <c:xVal>
            <c:numRef>
              <c:f>Alpha!$Q$8:$Q$19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Alpha!$S$8:$S$19</c:f>
              <c:numCache>
                <c:formatCode>General</c:formatCode>
                <c:ptCount val="12"/>
                <c:pt idx="0">
                  <c:v>1.6261957346110358</c:v>
                </c:pt>
                <c:pt idx="1">
                  <c:v>1.3626658814597061</c:v>
                </c:pt>
                <c:pt idx="2">
                  <c:v>1.1903862387799118</c:v>
                </c:pt>
                <c:pt idx="3">
                  <c:v>1.0794390301041437</c:v>
                </c:pt>
                <c:pt idx="4">
                  <c:v>0.99939415496765993</c:v>
                </c:pt>
                <c:pt idx="5">
                  <c:v>0.97785248165728023</c:v>
                </c:pt>
                <c:pt idx="6">
                  <c:v>0.92948440826752332</c:v>
                </c:pt>
                <c:pt idx="7">
                  <c:v>0.90042249455305401</c:v>
                </c:pt>
                <c:pt idx="8">
                  <c:v>0.83455826307125769</c:v>
                </c:pt>
                <c:pt idx="9">
                  <c:v>0.74882671126782852</c:v>
                </c:pt>
                <c:pt idx="10">
                  <c:v>0.66357663815074275</c:v>
                </c:pt>
                <c:pt idx="11">
                  <c:v>0.57460811030084036</c:v>
                </c:pt>
              </c:numCache>
            </c:numRef>
          </c:yVal>
          <c:smooth val="1"/>
        </c:ser>
        <c:ser>
          <c:idx val="9"/>
          <c:order val="9"/>
          <c:tx>
            <c:v>24.91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Alpha!$Q$8:$Q$19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Alpha!$R$8:$R$19</c:f>
              <c:numCache>
                <c:formatCode>General</c:formatCode>
                <c:ptCount val="12"/>
                <c:pt idx="1">
                  <c:v>1.365397810833868</c:v>
                </c:pt>
                <c:pt idx="2">
                  <c:v>1.1890216812905796</c:v>
                </c:pt>
                <c:pt idx="3">
                  <c:v>1.0784786425222954</c:v>
                </c:pt>
                <c:pt idx="4">
                  <c:v>0.99937930560614596</c:v>
                </c:pt>
                <c:pt idx="5">
                  <c:v>0.97785248168352079</c:v>
                </c:pt>
                <c:pt idx="6">
                  <c:v>0.92982946163992231</c:v>
                </c:pt>
                <c:pt idx="7">
                  <c:v>0.90140937777455077</c:v>
                </c:pt>
                <c:pt idx="8">
                  <c:v>0.83572075740910323</c:v>
                </c:pt>
                <c:pt idx="9">
                  <c:v>0.74881350961590609</c:v>
                </c:pt>
                <c:pt idx="10">
                  <c:v>0.66108066256340736</c:v>
                </c:pt>
              </c:numCache>
            </c:numRef>
          </c:yVal>
          <c:smooth val="1"/>
        </c:ser>
        <c:ser>
          <c:idx val="10"/>
          <c:order val="10"/>
          <c:tx>
            <c:v>Pred</c:v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none"/>
          </c:marker>
          <c:xVal>
            <c:numRef>
              <c:f>Alpha!$U$8:$U$20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Alpha!$W$8:$W$20</c:f>
              <c:numCache>
                <c:formatCode>General</c:formatCode>
                <c:ptCount val="13"/>
                <c:pt idx="0">
                  <c:v>1.5417766464646392</c:v>
                </c:pt>
                <c:pt idx="1">
                  <c:v>1.4247881894252841</c:v>
                </c:pt>
                <c:pt idx="2">
                  <c:v>1.3464461911741181</c:v>
                </c:pt>
                <c:pt idx="3">
                  <c:v>1.2393516055950538</c:v>
                </c:pt>
                <c:pt idx="4">
                  <c:v>1.1365716324735899</c:v>
                </c:pt>
                <c:pt idx="5">
                  <c:v>1.0814949069089879</c:v>
                </c:pt>
                <c:pt idx="6">
                  <c:v>1.0089758201304182</c:v>
                </c:pt>
                <c:pt idx="7">
                  <c:v>0.94087333486591174</c:v>
                </c:pt>
                <c:pt idx="8">
                  <c:v>0.84344981556232879</c:v>
                </c:pt>
                <c:pt idx="9">
                  <c:v>0.76022453927266265</c:v>
                </c:pt>
                <c:pt idx="10">
                  <c:v>0.67765304662714398</c:v>
                </c:pt>
                <c:pt idx="11">
                  <c:v>0.64094106878902268</c:v>
                </c:pt>
                <c:pt idx="12">
                  <c:v>0.60505770889361621</c:v>
                </c:pt>
              </c:numCache>
            </c:numRef>
          </c:yVal>
          <c:smooth val="1"/>
        </c:ser>
        <c:ser>
          <c:idx val="11"/>
          <c:order val="11"/>
          <c:tx>
            <c:v>25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Alpha!$U$8:$U$20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Alpha!$V$8:$V$20</c:f>
              <c:numCache>
                <c:formatCode>General</c:formatCode>
                <c:ptCount val="13"/>
                <c:pt idx="1">
                  <c:v>1.4157392113865157</c:v>
                </c:pt>
                <c:pt idx="2">
                  <c:v>1.3395027017439929</c:v>
                </c:pt>
                <c:pt idx="3">
                  <c:v>1.2253123388726299</c:v>
                </c:pt>
                <c:pt idx="4">
                  <c:v>1.1365742527400708</c:v>
                </c:pt>
                <c:pt idx="5">
                  <c:v>1.0808115541956318</c:v>
                </c:pt>
                <c:pt idx="6">
                  <c:v>1.0089731544978471</c:v>
                </c:pt>
                <c:pt idx="7">
                  <c:v>0.940934575844392</c:v>
                </c:pt>
                <c:pt idx="8">
                  <c:v>0.84137925349343767</c:v>
                </c:pt>
                <c:pt idx="9">
                  <c:v>0.75869302394740956</c:v>
                </c:pt>
                <c:pt idx="10">
                  <c:v>0.67615233488178861</c:v>
                </c:pt>
                <c:pt idx="11">
                  <c:v>0.63784101130096538</c:v>
                </c:pt>
              </c:numCache>
            </c:numRef>
          </c:yVal>
          <c:smooth val="1"/>
        </c:ser>
        <c:ser>
          <c:idx val="12"/>
          <c:order val="12"/>
          <c:tx>
            <c:v>Pred</c:v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Alpha!$Y$8:$Y$24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Alpha!$AA$8:$AA$24</c:f>
              <c:numCache>
                <c:formatCode>General</c:formatCode>
                <c:ptCount val="17"/>
                <c:pt idx="0">
                  <c:v>1.5274570190093575</c:v>
                </c:pt>
                <c:pt idx="1">
                  <c:v>1.4559077425620317</c:v>
                </c:pt>
                <c:pt idx="2">
                  <c:v>1.4352704511553389</c:v>
                </c:pt>
                <c:pt idx="3">
                  <c:v>1.3891466111833759</c:v>
                </c:pt>
                <c:pt idx="4">
                  <c:v>1.3283599305729079</c:v>
                </c:pt>
                <c:pt idx="5">
                  <c:v>1.2636349410146996</c:v>
                </c:pt>
                <c:pt idx="6">
                  <c:v>1.1541533734988889</c:v>
                </c:pt>
                <c:pt idx="7">
                  <c:v>1.0972453994631286</c:v>
                </c:pt>
                <c:pt idx="8">
                  <c:v>0.99545163674175796</c:v>
                </c:pt>
                <c:pt idx="9">
                  <c:v>0.8866526753491617</c:v>
                </c:pt>
                <c:pt idx="10">
                  <c:v>0.86652729671335627</c:v>
                </c:pt>
                <c:pt idx="11">
                  <c:v>0.8010166660391721</c:v>
                </c:pt>
                <c:pt idx="12">
                  <c:v>0.77094580443242089</c:v>
                </c:pt>
                <c:pt idx="13">
                  <c:v>0.68740791633179499</c:v>
                </c:pt>
                <c:pt idx="14">
                  <c:v>0.66740928389799559</c:v>
                </c:pt>
                <c:pt idx="15">
                  <c:v>0.65558763283453747</c:v>
                </c:pt>
                <c:pt idx="16">
                  <c:v>0.61284801326120564</c:v>
                </c:pt>
              </c:numCache>
            </c:numRef>
          </c:yVal>
          <c:smooth val="1"/>
        </c:ser>
        <c:ser>
          <c:idx val="13"/>
          <c:order val="13"/>
          <c:tx>
            <c:v>40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Alpha!$Y$8:$Y$24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Alpha!$Z$8:$Z$24</c:f>
              <c:numCache>
                <c:formatCode>General</c:formatCode>
                <c:ptCount val="17"/>
                <c:pt idx="1">
                  <c:v>1.4464458582000765</c:v>
                </c:pt>
                <c:pt idx="2">
                  <c:v>1.4380888027779035</c:v>
                </c:pt>
                <c:pt idx="3">
                  <c:v>1.3906559798249987</c:v>
                </c:pt>
                <c:pt idx="4">
                  <c:v>1.3236568188488913</c:v>
                </c:pt>
                <c:pt idx="5">
                  <c:v>1.2636350253711701</c:v>
                </c:pt>
                <c:pt idx="6">
                  <c:v>1.1492397685659064</c:v>
                </c:pt>
                <c:pt idx="7">
                  <c:v>1.0940187846169516</c:v>
                </c:pt>
                <c:pt idx="8">
                  <c:v>0.99758403424219166</c:v>
                </c:pt>
                <c:pt idx="9">
                  <c:v>0.88665270457574608</c:v>
                </c:pt>
                <c:pt idx="10">
                  <c:v>0.84987784588384074</c:v>
                </c:pt>
                <c:pt idx="11">
                  <c:v>0.80502471569497136</c:v>
                </c:pt>
                <c:pt idx="12">
                  <c:v>0.77009268080377213</c:v>
                </c:pt>
                <c:pt idx="13">
                  <c:v>0.68750629988658474</c:v>
                </c:pt>
                <c:pt idx="14">
                  <c:v>0.66539223600447905</c:v>
                </c:pt>
                <c:pt idx="15">
                  <c:v>0.65171931421544527</c:v>
                </c:pt>
              </c:numCache>
            </c:numRef>
          </c:yVal>
          <c:smooth val="1"/>
        </c:ser>
        <c:ser>
          <c:idx val="14"/>
          <c:order val="14"/>
          <c:tx>
            <c:v>Pred</c:v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Alpha!$AC$8:$AC$14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Alpha!$AE$8:$AE$14</c:f>
              <c:numCache>
                <c:formatCode>General</c:formatCode>
                <c:ptCount val="7"/>
                <c:pt idx="0">
                  <c:v>1.4997490624581153</c:v>
                </c:pt>
                <c:pt idx="1">
                  <c:v>1.3931780884907459</c:v>
                </c:pt>
                <c:pt idx="2">
                  <c:v>1.1960629775801506</c:v>
                </c:pt>
                <c:pt idx="3">
                  <c:v>1.0115110646385419</c:v>
                </c:pt>
                <c:pt idx="4">
                  <c:v>0.85252203630429413</c:v>
                </c:pt>
                <c:pt idx="5">
                  <c:v>0.70602543366059833</c:v>
                </c:pt>
                <c:pt idx="6">
                  <c:v>0.6331236355863189</c:v>
                </c:pt>
              </c:numCache>
            </c:numRef>
          </c:yVal>
          <c:smooth val="1"/>
        </c:ser>
        <c:ser>
          <c:idx val="15"/>
          <c:order val="15"/>
          <c:tx>
            <c:v>45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Alpha!$AC$8:$AC$14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Alpha!$AD$8:$AD$14</c:f>
              <c:numCache>
                <c:formatCode>General</c:formatCode>
                <c:ptCount val="7"/>
                <c:pt idx="1">
                  <c:v>1.3848329553020131</c:v>
                </c:pt>
                <c:pt idx="2">
                  <c:v>1.1821546289144442</c:v>
                </c:pt>
                <c:pt idx="3">
                  <c:v>1.0115110646785914</c:v>
                </c:pt>
                <c:pt idx="4">
                  <c:v>0.85017869445832028</c:v>
                </c:pt>
                <c:pt idx="5">
                  <c:v>0.68994555287594117</c:v>
                </c:pt>
              </c:numCache>
            </c:numRef>
          </c:yVal>
          <c:smooth val="1"/>
        </c:ser>
        <c:ser>
          <c:idx val="16"/>
          <c:order val="16"/>
          <c:tx>
            <c:v>Pred</c:v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xVal>
            <c:numRef>
              <c:f>Alpha!$AG$8:$AG$24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Alpha!$AI$8:$AI$24</c:f>
              <c:numCache>
                <c:formatCode>General</c:formatCode>
                <c:ptCount val="17"/>
                <c:pt idx="0">
                  <c:v>1.462310908017701</c:v>
                </c:pt>
                <c:pt idx="1">
                  <c:v>1.3365546841502329</c:v>
                </c:pt>
                <c:pt idx="2">
                  <c:v>1.2377956452305154</c:v>
                </c:pt>
                <c:pt idx="3">
                  <c:v>1.157842980570817</c:v>
                </c:pt>
                <c:pt idx="4">
                  <c:v>1.0938164970662552</c:v>
                </c:pt>
                <c:pt idx="5">
                  <c:v>1.0638117248190437</c:v>
                </c:pt>
                <c:pt idx="6">
                  <c:v>1.0360810635257218</c:v>
                </c:pt>
                <c:pt idx="7">
                  <c:v>1.0290286769134616</c:v>
                </c:pt>
                <c:pt idx="8">
                  <c:v>0.99481752086718778</c:v>
                </c:pt>
                <c:pt idx="9">
                  <c:v>0.98449067848974625</c:v>
                </c:pt>
                <c:pt idx="10">
                  <c:v>0.95340885688191335</c:v>
                </c:pt>
                <c:pt idx="11">
                  <c:v>0.93975223304682143</c:v>
                </c:pt>
                <c:pt idx="12">
                  <c:v>0.88048798004971185</c:v>
                </c:pt>
                <c:pt idx="13">
                  <c:v>0.82404162914430867</c:v>
                </c:pt>
                <c:pt idx="14">
                  <c:v>0.75741384198727668</c:v>
                </c:pt>
                <c:pt idx="15">
                  <c:v>0.7037808326247661</c:v>
                </c:pt>
                <c:pt idx="16">
                  <c:v>0.65271253233703563</c:v>
                </c:pt>
              </c:numCache>
            </c:numRef>
          </c:yVal>
          <c:smooth val="1"/>
        </c:ser>
        <c:ser>
          <c:idx val="17"/>
          <c:order val="17"/>
          <c:tx>
            <c:v>55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Alpha!$AG$8:$AG$24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Alpha!$AH$8:$AH$24</c:f>
              <c:numCache>
                <c:formatCode>General</c:formatCode>
                <c:ptCount val="17"/>
                <c:pt idx="1">
                  <c:v>1.3448995482313282</c:v>
                </c:pt>
                <c:pt idx="2">
                  <c:v>1.2377957455864328</c:v>
                </c:pt>
                <c:pt idx="3">
                  <c:v>1.156775850100892</c:v>
                </c:pt>
                <c:pt idx="4">
                  <c:v>1.0931166996913184</c:v>
                </c:pt>
                <c:pt idx="5">
                  <c:v>1.0632932269535627</c:v>
                </c:pt>
                <c:pt idx="6">
                  <c:v>1.0356960630933441</c:v>
                </c:pt>
                <c:pt idx="7">
                  <c:v>1.0290286667400492</c:v>
                </c:pt>
                <c:pt idx="8">
                  <c:v>0.99498538197970987</c:v>
                </c:pt>
                <c:pt idx="9">
                  <c:v>0.9846426412324959</c:v>
                </c:pt>
                <c:pt idx="10">
                  <c:v>0.95405104111752015</c:v>
                </c:pt>
                <c:pt idx="11">
                  <c:v>0.94076942808865893</c:v>
                </c:pt>
                <c:pt idx="12">
                  <c:v>0.8804420378968465</c:v>
                </c:pt>
                <c:pt idx="13">
                  <c:v>0.82407794753742403</c:v>
                </c:pt>
                <c:pt idx="14">
                  <c:v>0.75321362597110209</c:v>
                </c:pt>
                <c:pt idx="15">
                  <c:v>0.69909360535977083</c:v>
                </c:pt>
              </c:numCache>
            </c:numRef>
          </c:yVal>
          <c:smooth val="1"/>
        </c:ser>
        <c:ser>
          <c:idx val="18"/>
          <c:order val="18"/>
          <c:tx>
            <c:v>Pred</c:v>
          </c:tx>
          <c:spPr>
            <a:ln w="12700">
              <a:solidFill>
                <a:srgbClr val="808000"/>
              </a:solidFill>
              <a:prstDash val="sysDash"/>
            </a:ln>
          </c:spPr>
          <c:marker>
            <c:symbol val="none"/>
          </c:marker>
          <c:xVal>
            <c:numRef>
              <c:f>Alpha!$AK$8:$AK$19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Alpha!$AM$8:$AM$19</c:f>
              <c:numCache>
                <c:formatCode>General</c:formatCode>
                <c:ptCount val="12"/>
                <c:pt idx="0">
                  <c:v>1.4505287931190445</c:v>
                </c:pt>
                <c:pt idx="1">
                  <c:v>1.3855938610986902</c:v>
                </c:pt>
                <c:pt idx="2">
                  <c:v>1.2390556352605335</c:v>
                </c:pt>
                <c:pt idx="3">
                  <c:v>1.1569947208707061</c:v>
                </c:pt>
                <c:pt idx="4">
                  <c:v>1.0637703947258215</c:v>
                </c:pt>
                <c:pt idx="5">
                  <c:v>0.99361201830045232</c:v>
                </c:pt>
                <c:pt idx="6">
                  <c:v>0.93068184336798176</c:v>
                </c:pt>
                <c:pt idx="7">
                  <c:v>0.85328962276585574</c:v>
                </c:pt>
                <c:pt idx="8">
                  <c:v>0.79416216473917733</c:v>
                </c:pt>
                <c:pt idx="9">
                  <c:v>0.74142414312367488</c:v>
                </c:pt>
                <c:pt idx="10">
                  <c:v>0.7298820706279695</c:v>
                </c:pt>
                <c:pt idx="11">
                  <c:v>0.66381991479247049</c:v>
                </c:pt>
              </c:numCache>
            </c:numRef>
          </c:yVal>
          <c:smooth val="1"/>
        </c:ser>
        <c:ser>
          <c:idx val="19"/>
          <c:order val="19"/>
          <c:tx>
            <c:v>60</c:v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Alpha!$AK$8:$AK$19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Alpha!$AL$8:$AL$19</c:f>
              <c:numCache>
                <c:formatCode>General</c:formatCode>
                <c:ptCount val="12"/>
                <c:pt idx="1">
                  <c:v>1.3840845485249669</c:v>
                </c:pt>
                <c:pt idx="2">
                  <c:v>1.2388205673637176</c:v>
                </c:pt>
                <c:pt idx="3">
                  <c:v>1.1494387021684422</c:v>
                </c:pt>
                <c:pt idx="4">
                  <c:v>1.060279491652059</c:v>
                </c:pt>
                <c:pt idx="5">
                  <c:v>0.99361201858540549</c:v>
                </c:pt>
                <c:pt idx="6">
                  <c:v>0.9398143829633262</c:v>
                </c:pt>
                <c:pt idx="7">
                  <c:v>0.85270089596591103</c:v>
                </c:pt>
                <c:pt idx="8">
                  <c:v>0.79416179073609616</c:v>
                </c:pt>
                <c:pt idx="9">
                  <c:v>0.73616546517431181</c:v>
                </c:pt>
                <c:pt idx="10">
                  <c:v>0.72980996643714668</c:v>
                </c:pt>
              </c:numCache>
            </c:numRef>
          </c:yVal>
          <c:smooth val="1"/>
        </c:ser>
        <c:ser>
          <c:idx val="20"/>
          <c:order val="20"/>
          <c:tx>
            <c:v>Pred</c:v>
          </c:tx>
          <c:spPr>
            <a:ln w="12700">
              <a:solidFill>
                <a:srgbClr val="800080"/>
              </a:solidFill>
              <a:prstDash val="sysDash"/>
            </a:ln>
          </c:spPr>
          <c:marker>
            <c:symbol val="none"/>
          </c:marker>
          <c:xVal>
            <c:numRef>
              <c:f>Alpha!$AO$8:$AO$21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0.13980000000000001</c:v>
                </c:pt>
                <c:pt idx="2">
                  <c:v>0.23089999999999999</c:v>
                </c:pt>
                <c:pt idx="3" formatCode="0.0000">
                  <c:v>0.315</c:v>
                </c:pt>
                <c:pt idx="4">
                  <c:v>0.39360000000000001</c:v>
                </c:pt>
                <c:pt idx="5">
                  <c:v>0.44109999999999999</c:v>
                </c:pt>
                <c:pt idx="6">
                  <c:v>0.50039999999999996</c:v>
                </c:pt>
                <c:pt idx="7">
                  <c:v>0.54849999999999999</c:v>
                </c:pt>
                <c:pt idx="8">
                  <c:v>0.59630000000000005</c:v>
                </c:pt>
                <c:pt idx="9">
                  <c:v>0.66500000000000004</c:v>
                </c:pt>
                <c:pt idx="10">
                  <c:v>0.79490000000000005</c:v>
                </c:pt>
                <c:pt idx="11" formatCode="0.0000">
                  <c:v>0.86140000000000005</c:v>
                </c:pt>
                <c:pt idx="12" formatCode="0.0000">
                  <c:v>0.94320000000000004</c:v>
                </c:pt>
                <c:pt idx="13">
                  <c:v>0.99999990000000005</c:v>
                </c:pt>
              </c:numCache>
            </c:numRef>
          </c:xVal>
          <c:yVal>
            <c:numRef>
              <c:f>Alpha!$AQ$8:$AQ$21</c:f>
              <c:numCache>
                <c:formatCode>General</c:formatCode>
                <c:ptCount val="14"/>
                <c:pt idx="0">
                  <c:v>1.4232665204474977</c:v>
                </c:pt>
                <c:pt idx="1">
                  <c:v>1.2956151621510061</c:v>
                </c:pt>
                <c:pt idx="2">
                  <c:v>1.2170903748570339</c:v>
                </c:pt>
                <c:pt idx="3">
                  <c:v>1.1477681081618651</c:v>
                </c:pt>
                <c:pt idx="4">
                  <c:v>1.0856630056632046</c:v>
                </c:pt>
                <c:pt idx="5">
                  <c:v>1.0493622297127867</c:v>
                </c:pt>
                <c:pt idx="6">
                  <c:v>1.0053207248225746</c:v>
                </c:pt>
                <c:pt idx="7">
                  <c:v>0.97062242820137334</c:v>
                </c:pt>
                <c:pt idx="8">
                  <c:v>0.93703529686397169</c:v>
                </c:pt>
                <c:pt idx="9">
                  <c:v>0.89029720375151655</c:v>
                </c:pt>
                <c:pt idx="10">
                  <c:v>0.80673663662177597</c:v>
                </c:pt>
                <c:pt idx="11">
                  <c:v>0.76632324565114707</c:v>
                </c:pt>
                <c:pt idx="12">
                  <c:v>0.71873643451281399</c:v>
                </c:pt>
                <c:pt idx="13">
                  <c:v>0.68703821374403551</c:v>
                </c:pt>
              </c:numCache>
            </c:numRef>
          </c:yVal>
          <c:smooth val="1"/>
        </c:ser>
        <c:ser>
          <c:idx val="21"/>
          <c:order val="21"/>
          <c:tx>
            <c:v>70</c:v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Alpha!$AO$8:$AO$21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0.13980000000000001</c:v>
                </c:pt>
                <c:pt idx="2">
                  <c:v>0.23089999999999999</c:v>
                </c:pt>
                <c:pt idx="3" formatCode="0.0000">
                  <c:v>0.315</c:v>
                </c:pt>
                <c:pt idx="4">
                  <c:v>0.39360000000000001</c:v>
                </c:pt>
                <c:pt idx="5">
                  <c:v>0.44109999999999999</c:v>
                </c:pt>
                <c:pt idx="6">
                  <c:v>0.50039999999999996</c:v>
                </c:pt>
                <c:pt idx="7">
                  <c:v>0.54849999999999999</c:v>
                </c:pt>
                <c:pt idx="8">
                  <c:v>0.59630000000000005</c:v>
                </c:pt>
                <c:pt idx="9">
                  <c:v>0.66500000000000004</c:v>
                </c:pt>
                <c:pt idx="10">
                  <c:v>0.79490000000000005</c:v>
                </c:pt>
                <c:pt idx="11" formatCode="0.0000">
                  <c:v>0.86140000000000005</c:v>
                </c:pt>
                <c:pt idx="12" formatCode="0.0000">
                  <c:v>0.94320000000000004</c:v>
                </c:pt>
                <c:pt idx="13">
                  <c:v>0.99999990000000005</c:v>
                </c:pt>
              </c:numCache>
            </c:numRef>
          </c:xVal>
          <c:yVal>
            <c:numRef>
              <c:f>Alpha!$AP$8:$AP$21</c:f>
              <c:numCache>
                <c:formatCode>General</c:formatCode>
                <c:ptCount val="14"/>
                <c:pt idx="1">
                  <c:v>1.306419012055027</c:v>
                </c:pt>
                <c:pt idx="2">
                  <c:v>1.2205560132223856</c:v>
                </c:pt>
                <c:pt idx="3">
                  <c:v>1.1438330136504706</c:v>
                </c:pt>
                <c:pt idx="4">
                  <c:v>1.0856630129029223</c:v>
                </c:pt>
                <c:pt idx="5">
                  <c:v>1.061705720071541</c:v>
                </c:pt>
                <c:pt idx="6">
                  <c:v>1.0160743588495695</c:v>
                </c:pt>
                <c:pt idx="7">
                  <c:v>0.94479883999904846</c:v>
                </c:pt>
                <c:pt idx="8">
                  <c:v>0.90796134790580729</c:v>
                </c:pt>
                <c:pt idx="9">
                  <c:v>0.90437948726203066</c:v>
                </c:pt>
                <c:pt idx="10">
                  <c:v>0.81062121460291681</c:v>
                </c:pt>
                <c:pt idx="11">
                  <c:v>0.76844914680825493</c:v>
                </c:pt>
                <c:pt idx="12">
                  <c:v>0.71364750010874289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23112"/>
        <c:axId val="285724288"/>
      </c:scatterChart>
      <c:valAx>
        <c:axId val="2857231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2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00" b="1" i="1" u="none" strike="noStrike" baseline="0">
                    <a:solidFill>
                      <a:srgbClr val="000000"/>
                    </a:solidFill>
                    <a:latin typeface="Times New Roman" pitchFamily="18" charset="0"/>
                    <a:cs typeface="Times New Roman" pitchFamily="18" charset="0"/>
                  </a:rPr>
                  <a:t>x</a:t>
                </a:r>
                <a:r>
                  <a:rPr lang="en-GB" sz="1400" b="1" i="1" u="none" strike="noStrike" baseline="-25000">
                    <a:solidFill>
                      <a:srgbClr val="000000"/>
                    </a:solidFill>
                    <a:latin typeface="Times New Roman" pitchFamily="18" charset="0"/>
                    <a:cs typeface="Times New Roman" pitchFamily="18" charset="0"/>
                  </a:rPr>
                  <a:t>1</a:t>
                </a:r>
                <a:endParaRPr lang="en-GB" sz="1400" i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9848443944506943"/>
              <c:y val="0.93843943420115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24288"/>
        <c:crosses val="autoZero"/>
        <c:crossBetween val="midCat"/>
      </c:valAx>
      <c:valAx>
        <c:axId val="285724288"/>
        <c:scaling>
          <c:orientation val="minMax"/>
          <c:max val="1.8"/>
          <c:min val="0.4"/>
        </c:scaling>
        <c:delete val="0"/>
        <c:axPos val="l"/>
        <c:title>
          <c:tx>
            <c:rich>
              <a:bodyPr/>
              <a:lstStyle/>
              <a:p>
                <a:pPr>
                  <a:defRPr sz="285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GB" sz="1400" b="1" i="0" u="none" strike="noStrike" baseline="0">
                    <a:solidFill>
                      <a:srgbClr val="000000"/>
                    </a:solidFill>
                    <a:latin typeface="Symbol"/>
                  </a:rPr>
                  <a:t>g</a:t>
                </a:r>
                <a:r>
                  <a:rPr lang="en-GB" sz="14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r>
                  <a:rPr lang="en-GB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</a:t>
                </a:r>
                <a:r>
                  <a:rPr lang="en-GB" sz="1400" b="1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g</a:t>
                </a:r>
                <a:r>
                  <a:rPr lang="en-GB" sz="14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3109611298587672E-3"/>
              <c:y val="0.4600001086820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23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19877943992656"/>
          <c:y val="0.18918974401083899"/>
          <c:w val="0.72973186975609328"/>
          <c:h val="0.61261440917795484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'20'!$H$11:$H$24</c:f>
              <c:numCache>
                <c:formatCode>General</c:formatCode>
                <c:ptCount val="14"/>
                <c:pt idx="1">
                  <c:v>1.6503938092214752</c:v>
                </c:pt>
                <c:pt idx="2">
                  <c:v>1.6185165320161152</c:v>
                </c:pt>
                <c:pt idx="3">
                  <c:v>1.5526515980724773</c:v>
                </c:pt>
                <c:pt idx="4">
                  <c:v>1.4036026440205505</c:v>
                </c:pt>
                <c:pt idx="5">
                  <c:v>1.2895204929454522</c:v>
                </c:pt>
                <c:pt idx="6">
                  <c:v>1.1857799298293019</c:v>
                </c:pt>
                <c:pt idx="7">
                  <c:v>1.0714870248444679</c:v>
                </c:pt>
                <c:pt idx="8">
                  <c:v>1.0377959060313324</c:v>
                </c:pt>
                <c:pt idx="9">
                  <c:v>1.01612480404884</c:v>
                </c:pt>
                <c:pt idx="10">
                  <c:v>1.0037204845675844</c:v>
                </c:pt>
                <c:pt idx="11">
                  <c:v>1.0014698367985309</c:v>
                </c:pt>
                <c:pt idx="12">
                  <c:v>1.0004843207852443</c:v>
                </c:pt>
                <c:pt idx="13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'20'!$I$11:$I$24</c:f>
              <c:numCache>
                <c:formatCode>General</c:formatCode>
                <c:ptCount val="14"/>
                <c:pt idx="0">
                  <c:v>1</c:v>
                </c:pt>
                <c:pt idx="1">
                  <c:v>1.0004073774036317</c:v>
                </c:pt>
                <c:pt idx="2">
                  <c:v>1.0007505970916661</c:v>
                </c:pt>
                <c:pt idx="3">
                  <c:v>1.0043914706111252</c:v>
                </c:pt>
                <c:pt idx="4">
                  <c:v>1.0213887267120452</c:v>
                </c:pt>
                <c:pt idx="5">
                  <c:v>1.0534224658371008</c:v>
                </c:pt>
                <c:pt idx="6">
                  <c:v>1.1100740416946679</c:v>
                </c:pt>
                <c:pt idx="7">
                  <c:v>1.2648160598546623</c:v>
                </c:pt>
                <c:pt idx="8">
                  <c:v>1.3680869586337241</c:v>
                </c:pt>
                <c:pt idx="9">
                  <c:v>1.4950868774692603</c:v>
                </c:pt>
                <c:pt idx="10">
                  <c:v>1.6402414064685427</c:v>
                </c:pt>
                <c:pt idx="11">
                  <c:v>1.7142172500595967</c:v>
                </c:pt>
                <c:pt idx="12">
                  <c:v>1.7660803623177801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'20'!$K$11:$K$24</c:f>
              <c:numCache>
                <c:formatCode>General</c:formatCode>
                <c:ptCount val="14"/>
                <c:pt idx="0">
                  <c:v>1.6658662853579123</c:v>
                </c:pt>
                <c:pt idx="1">
                  <c:v>1.6331204106730159</c:v>
                </c:pt>
                <c:pt idx="2">
                  <c:v>1.605581004808863</c:v>
                </c:pt>
                <c:pt idx="3">
                  <c:v>1.544753039319229</c:v>
                </c:pt>
                <c:pt idx="4">
                  <c:v>1.4047564577456846</c:v>
                </c:pt>
                <c:pt idx="5">
                  <c:v>1.2901735681381818</c:v>
                </c:pt>
                <c:pt idx="6">
                  <c:v>1.1845878022164327</c:v>
                </c:pt>
                <c:pt idx="7">
                  <c:v>1.0681075986283224</c:v>
                </c:pt>
                <c:pt idx="8">
                  <c:v>1.03524148054877</c:v>
                </c:pt>
                <c:pt idx="9">
                  <c:v>1.0141810633083064</c:v>
                </c:pt>
                <c:pt idx="10">
                  <c:v>1.0032917394147673</c:v>
                </c:pt>
                <c:pt idx="11">
                  <c:v>1.00093864150373</c:v>
                </c:pt>
                <c:pt idx="12">
                  <c:v>1.0001513980549066</c:v>
                </c:pt>
                <c:pt idx="13">
                  <c:v>1.0000000000000064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'20'!$L$11:$L$24</c:f>
              <c:numCache>
                <c:formatCode>General</c:formatCode>
                <c:ptCount val="14"/>
                <c:pt idx="0">
                  <c:v>1</c:v>
                </c:pt>
                <c:pt idx="1">
                  <c:v>1.0002221299226488</c:v>
                </c:pt>
                <c:pt idx="2">
                  <c:v>1.0007793659967006</c:v>
                </c:pt>
                <c:pt idx="3">
                  <c:v>1.0034105366734243</c:v>
                </c:pt>
                <c:pt idx="4">
                  <c:v>1.0196668976930918</c:v>
                </c:pt>
                <c:pt idx="5">
                  <c:v>1.0508142054540643</c:v>
                </c:pt>
                <c:pt idx="6">
                  <c:v>1.1089572666016259</c:v>
                </c:pt>
                <c:pt idx="7">
                  <c:v>1.2665278210738806</c:v>
                </c:pt>
                <c:pt idx="8">
                  <c:v>1.3699492195054124</c:v>
                </c:pt>
                <c:pt idx="9">
                  <c:v>1.4922268005357753</c:v>
                </c:pt>
                <c:pt idx="10">
                  <c:v>1.6273311366623198</c:v>
                </c:pt>
                <c:pt idx="11">
                  <c:v>1.6943757053540349</c:v>
                </c:pt>
                <c:pt idx="12">
                  <c:v>1.7436132853453989</c:v>
                </c:pt>
                <c:pt idx="13">
                  <c:v>1.7782264721564336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87712"/>
        <c:axId val="285786144"/>
      </c:scatterChart>
      <c:valAx>
        <c:axId val="2857877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633644289731987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86144"/>
        <c:crosses val="autoZero"/>
        <c:crossBetween val="midCat"/>
      </c:valAx>
      <c:valAx>
        <c:axId val="28578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732828725684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877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769677205555"/>
          <c:y val="0.17717769677205555"/>
          <c:w val="0.75375596423366009"/>
          <c:h val="0.5885903147003880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'20'!$C$11:$C$24</c:f>
              <c:numCache>
                <c:formatCode>General</c:formatCode>
                <c:ptCount val="14"/>
                <c:pt idx="0">
                  <c:v>77.51000000319226</c:v>
                </c:pt>
                <c:pt idx="1">
                  <c:v>78.569999999999993</c:v>
                </c:pt>
                <c:pt idx="2">
                  <c:v>79.39</c:v>
                </c:pt>
                <c:pt idx="3">
                  <c:v>81.19</c:v>
                </c:pt>
                <c:pt idx="4">
                  <c:v>84.51</c:v>
                </c:pt>
                <c:pt idx="5">
                  <c:v>86.53</c:v>
                </c:pt>
                <c:pt idx="6">
                  <c:v>87.45</c:v>
                </c:pt>
                <c:pt idx="7">
                  <c:v>86.36</c:v>
                </c:pt>
                <c:pt idx="8">
                  <c:v>84.69</c:v>
                </c:pt>
                <c:pt idx="9">
                  <c:v>82.32</c:v>
                </c:pt>
                <c:pt idx="10">
                  <c:v>79.17</c:v>
                </c:pt>
                <c:pt idx="11">
                  <c:v>77.489999999999995</c:v>
                </c:pt>
                <c:pt idx="12">
                  <c:v>76.16</c:v>
                </c:pt>
                <c:pt idx="13">
                  <c:v>75.179999853108455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'20'!$P$11:$P$24</c:f>
              <c:numCache>
                <c:formatCode>General</c:formatCode>
                <c:ptCount val="14"/>
                <c:pt idx="0">
                  <c:v>77.51000000366956</c:v>
                </c:pt>
                <c:pt idx="1">
                  <c:v>78.527259419693763</c:v>
                </c:pt>
                <c:pt idx="2">
                  <c:v>79.351973825719725</c:v>
                </c:pt>
                <c:pt idx="3">
                  <c:v>81.069490383381378</c:v>
                </c:pt>
                <c:pt idx="4">
                  <c:v>84.421176116569541</c:v>
                </c:pt>
                <c:pt idx="5">
                  <c:v>86.40798709890845</c:v>
                </c:pt>
                <c:pt idx="6">
                  <c:v>87.362049729994894</c:v>
                </c:pt>
                <c:pt idx="7">
                  <c:v>86.234372378301487</c:v>
                </c:pt>
                <c:pt idx="8">
                  <c:v>84.578018052918878</c:v>
                </c:pt>
                <c:pt idx="9">
                  <c:v>82.162528895818383</c:v>
                </c:pt>
                <c:pt idx="10">
                  <c:v>79.068232807306543</c:v>
                </c:pt>
                <c:pt idx="11">
                  <c:v>77.392841792257059</c:v>
                </c:pt>
                <c:pt idx="12">
                  <c:v>76.108710040899766</c:v>
                </c:pt>
                <c:pt idx="13">
                  <c:v>75.180006118142344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86536"/>
        <c:axId val="285790456"/>
      </c:scatterChart>
      <c:valAx>
        <c:axId val="28578653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
</a:t>
                </a:r>
              </a:p>
            </c:rich>
          </c:tx>
          <c:layout>
            <c:manualLayout>
              <c:xMode val="edge"/>
              <c:yMode val="edge"/>
              <c:x val="0.35435539354411111"/>
              <c:y val="0.84684933033423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0456"/>
        <c:crosses val="autoZero"/>
        <c:crossBetween val="midCat"/>
      </c:valAx>
      <c:valAx>
        <c:axId val="285790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5645779507377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865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'20'!$O$11:$O$24</c:f>
              <c:numCache>
                <c:formatCode>General</c:formatCode>
                <c:ptCount val="14"/>
                <c:pt idx="0">
                  <c:v>1.6658662853579123</c:v>
                </c:pt>
                <c:pt idx="1">
                  <c:v>1.632757726325563</c:v>
                </c:pt>
                <c:pt idx="2">
                  <c:v>1.6043306440574199</c:v>
                </c:pt>
                <c:pt idx="3">
                  <c:v>1.5395025095515746</c:v>
                </c:pt>
                <c:pt idx="4">
                  <c:v>1.3776621178188921</c:v>
                </c:pt>
                <c:pt idx="5">
                  <c:v>1.2277846658731537</c:v>
                </c:pt>
                <c:pt idx="6">
                  <c:v>1.0681996844175745</c:v>
                </c:pt>
                <c:pt idx="7">
                  <c:v>0.84333528317023543</c:v>
                </c:pt>
                <c:pt idx="8">
                  <c:v>0.75567872575781991</c:v>
                </c:pt>
                <c:pt idx="9">
                  <c:v>0.67964270776008751</c:v>
                </c:pt>
                <c:pt idx="10">
                  <c:v>0.6165258666853346</c:v>
                </c:pt>
                <c:pt idx="11">
                  <c:v>0.59074185160993364</c:v>
                </c:pt>
                <c:pt idx="12">
                  <c:v>0.57360849820365001</c:v>
                </c:pt>
                <c:pt idx="13">
                  <c:v>0.56235806611703321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'20'!$D$11:$D$24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 formatCode="0.0000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 formatCode="0.0000">
                  <c:v>0.96179999999999999</c:v>
                </c:pt>
                <c:pt idx="12" formatCode="0.0000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'20'!$J$11:$J$24</c:f>
              <c:numCache>
                <c:formatCode>General</c:formatCode>
                <c:ptCount val="14"/>
                <c:pt idx="0">
                  <c:v>0</c:v>
                </c:pt>
                <c:pt idx="1">
                  <c:v>1.649721749858303</c:v>
                </c:pt>
                <c:pt idx="2">
                  <c:v>1.6173025893961703</c:v>
                </c:pt>
                <c:pt idx="3">
                  <c:v>1.5458629861997548</c:v>
                </c:pt>
                <c:pt idx="4">
                  <c:v>1.3742100410084719</c:v>
                </c:pt>
                <c:pt idx="5">
                  <c:v>1.2241247313068613</c:v>
                </c:pt>
                <c:pt idx="6">
                  <c:v>1.0681989536653425</c:v>
                </c:pt>
                <c:pt idx="7">
                  <c:v>0.84714849759860777</c:v>
                </c:pt>
                <c:pt idx="8">
                  <c:v>0.75857451858744018</c:v>
                </c:pt>
                <c:pt idx="9">
                  <c:v>0.67964264776963235</c:v>
                </c:pt>
                <c:pt idx="10">
                  <c:v>0.61193460950885603</c:v>
                </c:pt>
                <c:pt idx="11">
                  <c:v>0.58421407016159332</c:v>
                </c:pt>
                <c:pt idx="12">
                  <c:v>0.56649988422509956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00648"/>
        <c:axId val="285801040"/>
      </c:scatterChart>
      <c:valAx>
        <c:axId val="28580064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801040"/>
        <c:crosses val="autoZero"/>
        <c:crossBetween val="midCat"/>
      </c:valAx>
      <c:valAx>
        <c:axId val="28580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800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9576763023072"/>
          <c:y val="0.18618673220114315"/>
          <c:w val="0.70570777527852646"/>
          <c:h val="0.61862043279734658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'24.91'!$F$11:$F$22</c:f>
              <c:numCache>
                <c:formatCode>General</c:formatCode>
                <c:ptCount val="12"/>
                <c:pt idx="0">
                  <c:v>9.9999999999999998E-13</c:v>
                </c:pt>
                <c:pt idx="1">
                  <c:v>0.24929999999999999</c:v>
                </c:pt>
                <c:pt idx="2">
                  <c:v>0.37680000000000002</c:v>
                </c:pt>
                <c:pt idx="3">
                  <c:v>0.4541</c:v>
                </c:pt>
                <c:pt idx="4">
                  <c:v>0.51049999999999995</c:v>
                </c:pt>
                <c:pt idx="5">
                  <c:v>0.52600000000000002</c:v>
                </c:pt>
                <c:pt idx="6">
                  <c:v>0.56189999999999996</c:v>
                </c:pt>
                <c:pt idx="7">
                  <c:v>0.58450000000000002</c:v>
                </c:pt>
                <c:pt idx="8">
                  <c:v>0.6391</c:v>
                </c:pt>
                <c:pt idx="9">
                  <c:v>0.72209999999999996</c:v>
                </c:pt>
                <c:pt idx="10">
                  <c:v>0.82979999999999998</c:v>
                </c:pt>
                <c:pt idx="11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'24.91'!$R$11:$R$22</c:f>
              <c:numCache>
                <c:formatCode>General</c:formatCode>
                <c:ptCount val="12"/>
                <c:pt idx="0">
                  <c:v>1.5860468840404128E-11</c:v>
                </c:pt>
                <c:pt idx="1">
                  <c:v>0.24892535870746774</c:v>
                </c:pt>
                <c:pt idx="2">
                  <c:v>0.37706937211870895</c:v>
                </c:pt>
                <c:pt idx="3">
                  <c:v>0.45432066019609302</c:v>
                </c:pt>
                <c:pt idx="4">
                  <c:v>0.51050371297971553</c:v>
                </c:pt>
                <c:pt idx="5">
                  <c:v>0.52599999999330949</c:v>
                </c:pt>
                <c:pt idx="6">
                  <c:v>0.56180862953685651</c:v>
                </c:pt>
                <c:pt idx="7">
                  <c:v>0.58423394143683327</c:v>
                </c:pt>
                <c:pt idx="8">
                  <c:v>0.63877887685151002</c:v>
                </c:pt>
                <c:pt idx="9">
                  <c:v>0.72210353781378434</c:v>
                </c:pt>
                <c:pt idx="10">
                  <c:v>0.83033156986383694</c:v>
                </c:pt>
                <c:pt idx="11">
                  <c:v>0.99999982156295986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'24.91'!$D$11:$E$11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'24.91'!$D$11:$E$11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01824"/>
        <c:axId val="285793592"/>
      </c:scatterChart>
      <c:valAx>
        <c:axId val="285801824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4834936992471943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793592"/>
        <c:crosses val="autoZero"/>
        <c:crossBetween val="midCat"/>
        <c:majorUnit val="0.2"/>
      </c:valAx>
      <c:valAx>
        <c:axId val="2857935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4.5045177145437855E-2"/>
              <c:y val="0.28828913373080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5801824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018070858175142"/>
          <c:w val="0.69069271623004713"/>
          <c:h val="0.61862043279734658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'24.91'!$W$11:$W$22</c:f>
              <c:numCache>
                <c:formatCode>General</c:formatCode>
                <c:ptCount val="12"/>
                <c:pt idx="1">
                  <c:v>0.51136619982691467</c:v>
                </c:pt>
                <c:pt idx="2">
                  <c:v>0.5171358984647233</c:v>
                </c:pt>
                <c:pt idx="3">
                  <c:v>0.52034853973213802</c:v>
                </c:pt>
                <c:pt idx="4">
                  <c:v>0.52926365744734249</c:v>
                </c:pt>
                <c:pt idx="5">
                  <c:v>0.53153569105256371</c:v>
                </c:pt>
                <c:pt idx="6">
                  <c:v>0.53527377407537391</c:v>
                </c:pt>
                <c:pt idx="7">
                  <c:v>0.53175284862329353</c:v>
                </c:pt>
                <c:pt idx="8">
                  <c:v>0.53868175482790215</c:v>
                </c:pt>
                <c:pt idx="9">
                  <c:v>0.54782464836104761</c:v>
                </c:pt>
                <c:pt idx="10">
                  <c:v>0.56312970930337547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'24.91'!$V$11:$V$22</c:f>
              <c:numCache>
                <c:formatCode>General</c:formatCode>
                <c:ptCount val="12"/>
                <c:pt idx="0">
                  <c:v>0.4862433818794667</c:v>
                </c:pt>
                <c:pt idx="1">
                  <c:v>0.49842140232808463</c:v>
                </c:pt>
                <c:pt idx="2">
                  <c:v>0.50753453496914713</c:v>
                </c:pt>
                <c:pt idx="3">
                  <c:v>0.51403008912523018</c:v>
                </c:pt>
                <c:pt idx="4">
                  <c:v>0.51908822476059902</c:v>
                </c:pt>
                <c:pt idx="5">
                  <c:v>0.52050984037098325</c:v>
                </c:pt>
                <c:pt idx="6">
                  <c:v>0.52380445899294159</c:v>
                </c:pt>
                <c:pt idx="7">
                  <c:v>0.5258570118383995</c:v>
                </c:pt>
                <c:pt idx="8">
                  <c:v>0.53073307212788834</c:v>
                </c:pt>
                <c:pt idx="9">
                  <c:v>0.53761449755317914</c:v>
                </c:pt>
                <c:pt idx="10">
                  <c:v>0.54518505837895836</c:v>
                </c:pt>
                <c:pt idx="11">
                  <c:v>0.55406713638846117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24016"/>
        <c:axId val="291133032"/>
      </c:scatterChart>
      <c:valAx>
        <c:axId val="29112401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4834936992471943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3032"/>
        <c:crossesAt val="0"/>
        <c:crossBetween val="midCat"/>
      </c:valAx>
      <c:valAx>
        <c:axId val="291133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/x1x2RT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5045177145437855E-2"/>
              <c:y val="0.39639755887985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24016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0179124962242"/>
          <c:y val="0.18918974401083899"/>
          <c:w val="0.72672885794639741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'24.91'!$H$11:$H$22</c:f>
              <c:numCache>
                <c:formatCode>General</c:formatCode>
                <c:ptCount val="12"/>
                <c:pt idx="1">
                  <c:v>1.3923277944983925</c:v>
                </c:pt>
                <c:pt idx="2">
                  <c:v>1.2589615826495788</c:v>
                </c:pt>
                <c:pt idx="3">
                  <c:v>1.1858980642444295</c:v>
                </c:pt>
                <c:pt idx="4">
                  <c:v>1.1409540527736584</c:v>
                </c:pt>
                <c:pt idx="5">
                  <c:v>1.1294974517746212</c:v>
                </c:pt>
                <c:pt idx="6">
                  <c:v>1.1048871565704215</c:v>
                </c:pt>
                <c:pt idx="7">
                  <c:v>1.0897375888564487</c:v>
                </c:pt>
                <c:pt idx="8">
                  <c:v>1.0615263976058353</c:v>
                </c:pt>
                <c:pt idx="9">
                  <c:v>1.0308231252747808</c:v>
                </c:pt>
                <c:pt idx="10">
                  <c:v>1.009797770598404</c:v>
                </c:pt>
                <c:pt idx="11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'24.91'!$I$11:$I$22</c:f>
              <c:numCache>
                <c:formatCode>General</c:formatCode>
                <c:ptCount val="12"/>
                <c:pt idx="0">
                  <c:v>1</c:v>
                </c:pt>
                <c:pt idx="1">
                  <c:v>1.0197231777075122</c:v>
                </c:pt>
                <c:pt idx="2">
                  <c:v>1.0588213843864356</c:v>
                </c:pt>
                <c:pt idx="3">
                  <c:v>1.0996027343396495</c:v>
                </c:pt>
                <c:pt idx="4">
                  <c:v>1.14166267639657</c:v>
                </c:pt>
                <c:pt idx="5">
                  <c:v>1.1550795983357538</c:v>
                </c:pt>
                <c:pt idx="6">
                  <c:v>1.1882686042467974</c:v>
                </c:pt>
                <c:pt idx="7">
                  <c:v>1.2089263942947355</c:v>
                </c:pt>
                <c:pt idx="8">
                  <c:v>1.2701926907939602</c:v>
                </c:pt>
                <c:pt idx="9">
                  <c:v>1.3766086108723223</c:v>
                </c:pt>
                <c:pt idx="10">
                  <c:v>1.5274955505169532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'24.91'!$K$11:$K$22</c:f>
              <c:numCache>
                <c:formatCode>General</c:formatCode>
                <c:ptCount val="12"/>
                <c:pt idx="0">
                  <c:v>1.6261957346110358</c:v>
                </c:pt>
                <c:pt idx="1">
                  <c:v>1.3872257522801952</c:v>
                </c:pt>
                <c:pt idx="2">
                  <c:v>1.2571891226283383</c:v>
                </c:pt>
                <c:pt idx="3">
                  <c:v>1.1846404604255101</c:v>
                </c:pt>
                <c:pt idx="4">
                  <c:v>1.1380667926215502</c:v>
                </c:pt>
                <c:pt idx="5">
                  <c:v>1.1264060667284066</c:v>
                </c:pt>
                <c:pt idx="6">
                  <c:v>1.1016472700618472</c:v>
                </c:pt>
                <c:pt idx="7">
                  <c:v>1.0877596132468361</c:v>
                </c:pt>
                <c:pt idx="8">
                  <c:v>1.0592418371003873</c:v>
                </c:pt>
                <c:pt idx="9">
                  <c:v>1.0290261548441346</c:v>
                </c:pt>
                <c:pt idx="10">
                  <c:v>1.0083739805090983</c:v>
                </c:pt>
                <c:pt idx="11">
                  <c:v>1.0000000000000062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'24.91'!$L$11:$L$22</c:f>
              <c:numCache>
                <c:formatCode>General</c:formatCode>
                <c:ptCount val="12"/>
                <c:pt idx="0">
                  <c:v>1</c:v>
                </c:pt>
                <c:pt idx="1">
                  <c:v>1.0180233989524858</c:v>
                </c:pt>
                <c:pt idx="2">
                  <c:v>1.0561186627265586</c:v>
                </c:pt>
                <c:pt idx="3">
                  <c:v>1.0974593537823221</c:v>
                </c:pt>
                <c:pt idx="4">
                  <c:v>1.1387567027129328</c:v>
                </c:pt>
                <c:pt idx="5">
                  <c:v>1.1519181961059763</c:v>
                </c:pt>
                <c:pt idx="6">
                  <c:v>1.1852240449253153</c:v>
                </c:pt>
                <c:pt idx="7">
                  <c:v>1.2080546852472531</c:v>
                </c:pt>
                <c:pt idx="8">
                  <c:v>1.269224551443864</c:v>
                </c:pt>
                <c:pt idx="9">
                  <c:v>1.3741846269104159</c:v>
                </c:pt>
                <c:pt idx="10">
                  <c:v>1.5196044021670772</c:v>
                </c:pt>
                <c:pt idx="11">
                  <c:v>1.7403165428285527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36560"/>
        <c:axId val="291132640"/>
      </c:scatterChart>
      <c:valAx>
        <c:axId val="2911365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6336442897319871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2640"/>
        <c:crosses val="autoZero"/>
        <c:crossBetween val="midCat"/>
      </c:valAx>
      <c:valAx>
        <c:axId val="29113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13222636374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65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9576763023072"/>
          <c:y val="0.17717769677205555"/>
          <c:w val="0.73573789337548501"/>
          <c:h val="0.6336354918458257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'24.91'!$C$11:$C$22</c:f>
              <c:numCache>
                <c:formatCode>General</c:formatCode>
                <c:ptCount val="12"/>
                <c:pt idx="0">
                  <c:v>97.210000000000264</c:v>
                </c:pt>
                <c:pt idx="1">
                  <c:v>105.69</c:v>
                </c:pt>
                <c:pt idx="2">
                  <c:v>108.56</c:v>
                </c:pt>
                <c:pt idx="3">
                  <c:v>109.34</c:v>
                </c:pt>
                <c:pt idx="4">
                  <c:v>109.53</c:v>
                </c:pt>
                <c:pt idx="5">
                  <c:v>109.49</c:v>
                </c:pt>
                <c:pt idx="6">
                  <c:v>109.21</c:v>
                </c:pt>
                <c:pt idx="7">
                  <c:v>108.78</c:v>
                </c:pt>
                <c:pt idx="8">
                  <c:v>107.84</c:v>
                </c:pt>
                <c:pt idx="9">
                  <c:v>105.65</c:v>
                </c:pt>
                <c:pt idx="10">
                  <c:v>101.9</c:v>
                </c:pt>
                <c:pt idx="11">
                  <c:v>94.810000000000116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'24.91'!$P$11:$P$22</c:f>
              <c:numCache>
                <c:formatCode>General</c:formatCode>
                <c:ptCount val="12"/>
                <c:pt idx="0">
                  <c:v>97.210000000569963</c:v>
                </c:pt>
                <c:pt idx="1">
                  <c:v>105.46119407688963</c:v>
                </c:pt>
                <c:pt idx="2">
                  <c:v>108.32971685286637</c:v>
                </c:pt>
                <c:pt idx="3">
                  <c:v>109.17099940199031</c:v>
                </c:pt>
                <c:pt idx="4">
                  <c:v>109.25203243237445</c:v>
                </c:pt>
                <c:pt idx="5">
                  <c:v>109.1903306677589</c:v>
                </c:pt>
                <c:pt idx="6">
                  <c:v>108.9074703822177</c:v>
                </c:pt>
                <c:pt idx="7">
                  <c:v>108.63200233219123</c:v>
                </c:pt>
                <c:pt idx="8">
                  <c:v>107.66200851766862</c:v>
                </c:pt>
                <c:pt idx="9">
                  <c:v>105.46531015512947</c:v>
                </c:pt>
                <c:pt idx="10">
                  <c:v>101.69118013128274</c:v>
                </c:pt>
                <c:pt idx="11">
                  <c:v>94.810007436617809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38912"/>
        <c:axId val="291133816"/>
      </c:scatterChart>
      <c:valAx>
        <c:axId val="2911389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x1</a:t>
                </a:r>
              </a:p>
            </c:rich>
          </c:tx>
          <c:layout>
            <c:manualLayout>
              <c:xMode val="edge"/>
              <c:yMode val="edge"/>
              <c:x val="0.53753911393555842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3816"/>
        <c:crosses val="autoZero"/>
        <c:crossBetween val="midCat"/>
      </c:valAx>
      <c:valAx>
        <c:axId val="291133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7747887774164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89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'24.91'!$O$11:$O$22</c:f>
              <c:numCache>
                <c:formatCode>General</c:formatCode>
                <c:ptCount val="12"/>
                <c:pt idx="0">
                  <c:v>1.6261957346110358</c:v>
                </c:pt>
                <c:pt idx="1">
                  <c:v>1.3626658814597061</c:v>
                </c:pt>
                <c:pt idx="2">
                  <c:v>1.1903862387799118</c:v>
                </c:pt>
                <c:pt idx="3">
                  <c:v>1.0794390301041437</c:v>
                </c:pt>
                <c:pt idx="4">
                  <c:v>0.99939415496765993</c:v>
                </c:pt>
                <c:pt idx="5">
                  <c:v>0.97785248165728023</c:v>
                </c:pt>
                <c:pt idx="6">
                  <c:v>0.92948440826752332</c:v>
                </c:pt>
                <c:pt idx="7">
                  <c:v>0.90042249455305401</c:v>
                </c:pt>
                <c:pt idx="8">
                  <c:v>0.83455826307125769</c:v>
                </c:pt>
                <c:pt idx="9">
                  <c:v>0.74882671126782852</c:v>
                </c:pt>
                <c:pt idx="10">
                  <c:v>0.66357663815074275</c:v>
                </c:pt>
                <c:pt idx="11">
                  <c:v>0.57460811030084036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'24.91'!$D$11:$D$22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0.1996</c:v>
                </c:pt>
                <c:pt idx="2">
                  <c:v>0.3427</c:v>
                </c:pt>
                <c:pt idx="3">
                  <c:v>0.44159999999999999</c:v>
                </c:pt>
                <c:pt idx="4">
                  <c:v>0.51690000000000003</c:v>
                </c:pt>
                <c:pt idx="5">
                  <c:v>0.53779999999999994</c:v>
                </c:pt>
                <c:pt idx="6">
                  <c:v>0.58579999999999999</c:v>
                </c:pt>
                <c:pt idx="7">
                  <c:v>0.61539999999999995</c:v>
                </c:pt>
                <c:pt idx="8">
                  <c:v>0.68479999999999996</c:v>
                </c:pt>
                <c:pt idx="9">
                  <c:v>0.78059999999999996</c:v>
                </c:pt>
                <c:pt idx="10">
                  <c:v>0.88319999999999999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'24.91'!$J$11:$J$22</c:f>
              <c:numCache>
                <c:formatCode>General</c:formatCode>
                <c:ptCount val="12"/>
                <c:pt idx="0">
                  <c:v>0</c:v>
                </c:pt>
                <c:pt idx="1">
                  <c:v>1.365397810833868</c:v>
                </c:pt>
                <c:pt idx="2">
                  <c:v>1.1890216812905796</c:v>
                </c:pt>
                <c:pt idx="3">
                  <c:v>1.0784786425222954</c:v>
                </c:pt>
                <c:pt idx="4">
                  <c:v>0.99937930560614596</c:v>
                </c:pt>
                <c:pt idx="5">
                  <c:v>0.97785248168352079</c:v>
                </c:pt>
                <c:pt idx="6">
                  <c:v>0.92982946163992231</c:v>
                </c:pt>
                <c:pt idx="7">
                  <c:v>0.90140937777455077</c:v>
                </c:pt>
                <c:pt idx="8">
                  <c:v>0.83572075740910323</c:v>
                </c:pt>
                <c:pt idx="9">
                  <c:v>0.74881350961590609</c:v>
                </c:pt>
                <c:pt idx="10">
                  <c:v>0.66108066256340736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31072"/>
        <c:axId val="291132248"/>
      </c:scatterChart>
      <c:valAx>
        <c:axId val="29113107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2248"/>
        <c:crosses val="autoZero"/>
        <c:crossBetween val="midCat"/>
      </c:valAx>
      <c:valAx>
        <c:axId val="29113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22889753688513"/>
          <c:y val="0.19219275582053486"/>
          <c:w val="0.66066259813308859"/>
          <c:h val="0.59159332651008389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'25'!$F$11:$F$23</c:f>
              <c:numCache>
                <c:formatCode>General</c:formatCode>
                <c:ptCount val="13"/>
                <c:pt idx="0">
                  <c:v>9.9999999999999998E-13</c:v>
                </c:pt>
                <c:pt idx="1">
                  <c:v>0.13750000000000001</c:v>
                </c:pt>
                <c:pt idx="2">
                  <c:v>0.217</c:v>
                </c:pt>
                <c:pt idx="3">
                  <c:v>0.313</c:v>
                </c:pt>
                <c:pt idx="4">
                  <c:v>0.40150000000000002</c:v>
                </c:pt>
                <c:pt idx="5">
                  <c:v>0.44600000000000001</c:v>
                </c:pt>
                <c:pt idx="6">
                  <c:v>0.505</c:v>
                </c:pt>
                <c:pt idx="7">
                  <c:v>0.56200000000000006</c:v>
                </c:pt>
                <c:pt idx="8">
                  <c:v>0.65049999999999997</c:v>
                </c:pt>
                <c:pt idx="9">
                  <c:v>0.74099999999999999</c:v>
                </c:pt>
                <c:pt idx="10">
                  <c:v>0.85650000000000004</c:v>
                </c:pt>
                <c:pt idx="11">
                  <c:v>0.92200000000000004</c:v>
                </c:pt>
                <c:pt idx="12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'25'!$R$11:$R$23</c:f>
              <c:numCache>
                <c:formatCode>General</c:formatCode>
                <c:ptCount val="13"/>
                <c:pt idx="0">
                  <c:v>1.5038057490582384E-11</c:v>
                </c:pt>
                <c:pt idx="1">
                  <c:v>0.13825734987759766</c:v>
                </c:pt>
                <c:pt idx="2">
                  <c:v>0.21787976653876909</c:v>
                </c:pt>
                <c:pt idx="3">
                  <c:v>0.31545495754070113</c:v>
                </c:pt>
                <c:pt idx="4">
                  <c:v>0.401499446015321</c:v>
                </c:pt>
                <c:pt idx="5">
                  <c:v>0.44615617701557064</c:v>
                </c:pt>
                <c:pt idx="6">
                  <c:v>0.50500066041461078</c:v>
                </c:pt>
                <c:pt idx="7">
                  <c:v>0.56198397828487545</c:v>
                </c:pt>
                <c:pt idx="8">
                  <c:v>0.65105859399452704</c:v>
                </c:pt>
                <c:pt idx="9">
                  <c:v>0.74138683351674839</c:v>
                </c:pt>
                <c:pt idx="10">
                  <c:v>0.85677227463945393</c:v>
                </c:pt>
                <c:pt idx="11">
                  <c:v>0.92234796939333619</c:v>
                </c:pt>
                <c:pt idx="12">
                  <c:v>0.99999983055338659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'25'!$D$11:$E$11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'25'!$D$11:$E$11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31464"/>
        <c:axId val="291123232"/>
      </c:scatterChart>
      <c:valAx>
        <c:axId val="291131464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4534635811502357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23232"/>
        <c:crosses val="autoZero"/>
        <c:crossBetween val="midCat"/>
        <c:majorUnit val="0.2"/>
      </c:valAx>
      <c:valAx>
        <c:axId val="2911232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5.1051200764829573E-2"/>
              <c:y val="0.27928009830171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1464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318372039144729"/>
          <c:w val="0.69069271623004713"/>
          <c:h val="0.61561742098765071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'25'!$W$11:$W$23</c:f>
              <c:numCache>
                <c:formatCode>General</c:formatCode>
                <c:ptCount val="13"/>
                <c:pt idx="1">
                  <c:v>0.46818983150332333</c:v>
                </c:pt>
                <c:pt idx="2">
                  <c:v>0.476184795351765</c:v>
                </c:pt>
                <c:pt idx="3">
                  <c:v>0.47429318713125934</c:v>
                </c:pt>
                <c:pt idx="4">
                  <c:v>0.47626294253409041</c:v>
                </c:pt>
                <c:pt idx="5">
                  <c:v>0.47820495244727584</c:v>
                </c:pt>
                <c:pt idx="6">
                  <c:v>0.48596897883981488</c:v>
                </c:pt>
                <c:pt idx="7">
                  <c:v>0.4903291261115007</c:v>
                </c:pt>
                <c:pt idx="8">
                  <c:v>0.49730741891675301</c:v>
                </c:pt>
                <c:pt idx="9">
                  <c:v>0.50114682755098394</c:v>
                </c:pt>
                <c:pt idx="10">
                  <c:v>0.50883357962177311</c:v>
                </c:pt>
                <c:pt idx="11">
                  <c:v>0.51916635819067325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'25'!$V$11:$V$23</c:f>
              <c:numCache>
                <c:formatCode>General</c:formatCode>
                <c:ptCount val="13"/>
                <c:pt idx="0">
                  <c:v>0.43293541800722052</c:v>
                </c:pt>
                <c:pt idx="1">
                  <c:v>0.43922337488220548</c:v>
                </c:pt>
                <c:pt idx="2">
                  <c:v>0.44367498450879539</c:v>
                </c:pt>
                <c:pt idx="3">
                  <c:v>0.45011926689987897</c:v>
                </c:pt>
                <c:pt idx="4">
                  <c:v>0.45675351205128495</c:v>
                </c:pt>
                <c:pt idx="5">
                  <c:v>0.46051687508869266</c:v>
                </c:pt>
                <c:pt idx="6">
                  <c:v>0.46572461125363829</c:v>
                </c:pt>
                <c:pt idx="7">
                  <c:v>0.47090973615026421</c:v>
                </c:pt>
                <c:pt idx="8">
                  <c:v>0.47890758154292029</c:v>
                </c:pt>
                <c:pt idx="9">
                  <c:v>0.48638686960240385</c:v>
                </c:pt>
                <c:pt idx="10">
                  <c:v>0.49453285259427571</c:v>
                </c:pt>
                <c:pt idx="11">
                  <c:v>0.49843107036686646</c:v>
                </c:pt>
                <c:pt idx="12">
                  <c:v>0.50243154745078522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25976"/>
        <c:axId val="291134208"/>
      </c:scatterChart>
      <c:valAx>
        <c:axId val="2911259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4834936992471943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4208"/>
        <c:crossesAt val="0"/>
        <c:crossBetween val="midCat"/>
      </c:valAx>
      <c:valAx>
        <c:axId val="29113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/x1x2RT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5045177145437855E-2"/>
              <c:y val="0.39639755887985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25976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21383848840586"/>
          <c:y val="0.18918974401083899"/>
          <c:w val="0.6756776571815678"/>
          <c:h val="0.60660838555856311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'8'!$F$11:$F$24</c:f>
              <c:numCache>
                <c:formatCode>General</c:formatCode>
                <c:ptCount val="14"/>
                <c:pt idx="0">
                  <c:v>9.9999999999999998E-13</c:v>
                </c:pt>
                <c:pt idx="1">
                  <c:v>3.6299999999999999E-2</c:v>
                </c:pt>
                <c:pt idx="2">
                  <c:v>6.5600000000000006E-2</c:v>
                </c:pt>
                <c:pt idx="3">
                  <c:v>0.127</c:v>
                </c:pt>
                <c:pt idx="4">
                  <c:v>0.25669999999999998</c:v>
                </c:pt>
                <c:pt idx="5">
                  <c:v>0.3589</c:v>
                </c:pt>
                <c:pt idx="6">
                  <c:v>0.46050000000000002</c:v>
                </c:pt>
                <c:pt idx="7">
                  <c:v>0.61580000000000001</c:v>
                </c:pt>
                <c:pt idx="8">
                  <c:v>0.69289999999999996</c:v>
                </c:pt>
                <c:pt idx="9">
                  <c:v>0.77910000000000001</c:v>
                </c:pt>
                <c:pt idx="10">
                  <c:v>0.87739999999999996</c:v>
                </c:pt>
                <c:pt idx="11">
                  <c:v>0.92969999999999997</c:v>
                </c:pt>
                <c:pt idx="12">
                  <c:v>0.97019999999999995</c:v>
                </c:pt>
                <c:pt idx="13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'8'!$R$11:$R$24</c:f>
              <c:numCache>
                <c:formatCode>General</c:formatCode>
                <c:ptCount val="14"/>
                <c:pt idx="0">
                  <c:v>1.6805103657485358E-11</c:v>
                </c:pt>
                <c:pt idx="1">
                  <c:v>3.5818734050725734E-2</c:v>
                </c:pt>
                <c:pt idx="2">
                  <c:v>6.4948041991954558E-2</c:v>
                </c:pt>
                <c:pt idx="3">
                  <c:v>0.12647985149818519</c:v>
                </c:pt>
                <c:pt idx="4">
                  <c:v>0.2573904804252255</c:v>
                </c:pt>
                <c:pt idx="5">
                  <c:v>0.35995327217588058</c:v>
                </c:pt>
                <c:pt idx="6">
                  <c:v>0.46065382196872057</c:v>
                </c:pt>
                <c:pt idx="7">
                  <c:v>0.61429749668271705</c:v>
                </c:pt>
                <c:pt idx="8">
                  <c:v>0.69176263533864135</c:v>
                </c:pt>
                <c:pt idx="9">
                  <c:v>0.7791000013517253</c:v>
                </c:pt>
                <c:pt idx="10">
                  <c:v>0.87839189274701224</c:v>
                </c:pt>
                <c:pt idx="11">
                  <c:v>0.93061736960187968</c:v>
                </c:pt>
                <c:pt idx="12">
                  <c:v>0.97074052707726399</c:v>
                </c:pt>
                <c:pt idx="13">
                  <c:v>0.99999980167093694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'8'!$D$11:$E$11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'8'!$D$11:$E$11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86136"/>
        <c:axId val="291385744"/>
      </c:scatterChart>
      <c:valAx>
        <c:axId val="29138613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13523817344153"/>
              <c:y val="0.90390655471845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85744"/>
        <c:crosses val="autoZero"/>
        <c:crossBetween val="midCat"/>
        <c:majorUnit val="0.2"/>
      </c:valAx>
      <c:valAx>
        <c:axId val="29138574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3.6036141716350285E-2"/>
              <c:y val="0.28528612192110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86136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19877943992656"/>
          <c:y val="0.18918974401083899"/>
          <c:w val="0.72973186975609328"/>
          <c:h val="0.61261440917795484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'25'!$H$11:$H$23</c:f>
              <c:numCache>
                <c:formatCode>General</c:formatCode>
                <c:ptCount val="13"/>
                <c:pt idx="1">
                  <c:v>1.4263405733570214</c:v>
                </c:pt>
                <c:pt idx="2">
                  <c:v>1.3632824829037382</c:v>
                </c:pt>
                <c:pt idx="3">
                  <c:v>1.273652692328221</c:v>
                </c:pt>
                <c:pt idx="4">
                  <c:v>1.2112053268069187</c:v>
                </c:pt>
                <c:pt idx="5">
                  <c:v>1.1752341359172849</c:v>
                </c:pt>
                <c:pt idx="6">
                  <c:v>1.1340996208179159</c:v>
                </c:pt>
                <c:pt idx="7">
                  <c:v>1.098358451767286</c:v>
                </c:pt>
                <c:pt idx="8">
                  <c:v>1.0541767036005647</c:v>
                </c:pt>
                <c:pt idx="9">
                  <c:v>1.0253885785660184</c:v>
                </c:pt>
                <c:pt idx="10">
                  <c:v>1.0066755245274071</c:v>
                </c:pt>
                <c:pt idx="11">
                  <c:v>1.0021794623328468</c:v>
                </c:pt>
                <c:pt idx="12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'25'!$I$11:$I$23</c:f>
              <c:numCache>
                <c:formatCode>General</c:formatCode>
                <c:ptCount val="13"/>
                <c:pt idx="0">
                  <c:v>1</c:v>
                </c:pt>
                <c:pt idx="1">
                  <c:v>1.007488216675247</c:v>
                </c:pt>
                <c:pt idx="2">
                  <c:v>1.017752693689072</c:v>
                </c:pt>
                <c:pt idx="3">
                  <c:v>1.0394514540676767</c:v>
                </c:pt>
                <c:pt idx="4">
                  <c:v>1.0656631750076391</c:v>
                </c:pt>
                <c:pt idx="5">
                  <c:v>1.0873626686864251</c:v>
                </c:pt>
                <c:pt idx="6">
                  <c:v>1.1240136724770866</c:v>
                </c:pt>
                <c:pt idx="7">
                  <c:v>1.1673058679787829</c:v>
                </c:pt>
                <c:pt idx="8">
                  <c:v>1.2529150192657879</c:v>
                </c:pt>
                <c:pt idx="9">
                  <c:v>1.3515197137717394</c:v>
                </c:pt>
                <c:pt idx="10">
                  <c:v>1.488829473173976</c:v>
                </c:pt>
                <c:pt idx="11">
                  <c:v>1.571205746536684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'25'!$K$11:$K$23</c:f>
              <c:numCache>
                <c:formatCode>General</c:formatCode>
                <c:ptCount val="13"/>
                <c:pt idx="0">
                  <c:v>1.5417766464646392</c:v>
                </c:pt>
                <c:pt idx="1">
                  <c:v>1.4306606275996057</c:v>
                </c:pt>
                <c:pt idx="2">
                  <c:v>1.3626989142797927</c:v>
                </c:pt>
                <c:pt idx="3">
                  <c:v>1.2780130837120607</c:v>
                </c:pt>
                <c:pt idx="4">
                  <c:v>1.2056663069324449</c:v>
                </c:pt>
                <c:pt idx="5">
                  <c:v>1.170561036559558</c:v>
                </c:pt>
                <c:pt idx="6">
                  <c:v>1.128377652742693</c:v>
                </c:pt>
                <c:pt idx="7">
                  <c:v>1.0931555784923874</c:v>
                </c:pt>
                <c:pt idx="8">
                  <c:v>1.0508556511040932</c:v>
                </c:pt>
                <c:pt idx="9">
                  <c:v>1.0233445114188717</c:v>
                </c:pt>
                <c:pt idx="10">
                  <c:v>1.0056082623711322</c:v>
                </c:pt>
                <c:pt idx="11">
                  <c:v>1.001435617222902</c:v>
                </c:pt>
                <c:pt idx="12">
                  <c:v>1.0000000000000058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'25'!$L$11:$L$23</c:f>
              <c:numCache>
                <c:formatCode>General</c:formatCode>
                <c:ptCount val="13"/>
                <c:pt idx="0">
                  <c:v>1</c:v>
                </c:pt>
                <c:pt idx="1">
                  <c:v>1.0041216218788915</c:v>
                </c:pt>
                <c:pt idx="2">
                  <c:v>1.0120708300206946</c:v>
                </c:pt>
                <c:pt idx="3">
                  <c:v>1.0311949231698814</c:v>
                </c:pt>
                <c:pt idx="4">
                  <c:v>1.0607921863301129</c:v>
                </c:pt>
                <c:pt idx="5">
                  <c:v>1.0823546454833795</c:v>
                </c:pt>
                <c:pt idx="6">
                  <c:v>1.1183396373134502</c:v>
                </c:pt>
                <c:pt idx="7">
                  <c:v>1.1618520134255672</c:v>
                </c:pt>
                <c:pt idx="8">
                  <c:v>1.2459018091117688</c:v>
                </c:pt>
                <c:pt idx="9">
                  <c:v>1.3461082332306011</c:v>
                </c:pt>
                <c:pt idx="10">
                  <c:v>1.4839574135707156</c:v>
                </c:pt>
                <c:pt idx="11">
                  <c:v>1.5624457005306092</c:v>
                </c:pt>
                <c:pt idx="12">
                  <c:v>1.652734913217724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28328"/>
        <c:axId val="291133424"/>
      </c:scatterChart>
      <c:valAx>
        <c:axId val="29112832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633644289731987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3424"/>
        <c:crosses val="autoZero"/>
        <c:crossBetween val="midCat"/>
      </c:valAx>
      <c:valAx>
        <c:axId val="29113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7328287256848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283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9576763023072"/>
          <c:y val="0.17717769677205555"/>
          <c:w val="0.73573789337548501"/>
          <c:h val="0.6336354918458257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'25'!$C$11:$C$23</c:f>
              <c:numCache>
                <c:formatCode>General</c:formatCode>
                <c:ptCount val="13"/>
                <c:pt idx="0">
                  <c:v>97.44999999999996</c:v>
                </c:pt>
                <c:pt idx="1">
                  <c:v>102.05</c:v>
                </c:pt>
                <c:pt idx="2">
                  <c:v>104.5</c:v>
                </c:pt>
                <c:pt idx="3">
                  <c:v>106.75</c:v>
                </c:pt>
                <c:pt idx="4">
                  <c:v>108.1</c:v>
                </c:pt>
                <c:pt idx="5">
                  <c:v>108.45</c:v>
                </c:pt>
                <c:pt idx="6">
                  <c:v>108.65</c:v>
                </c:pt>
                <c:pt idx="7">
                  <c:v>108.3</c:v>
                </c:pt>
                <c:pt idx="8">
                  <c:v>106.9</c:v>
                </c:pt>
                <c:pt idx="9">
                  <c:v>104.5</c:v>
                </c:pt>
                <c:pt idx="10">
                  <c:v>100.6</c:v>
                </c:pt>
                <c:pt idx="11">
                  <c:v>98.15</c:v>
                </c:pt>
                <c:pt idx="12">
                  <c:v>95.04999999999977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'25'!$P$11:$P$23</c:f>
              <c:numCache>
                <c:formatCode>General</c:formatCode>
                <c:ptCount val="13"/>
                <c:pt idx="0">
                  <c:v>97.450000000490917</c:v>
                </c:pt>
                <c:pt idx="1">
                  <c:v>101.79838035432672</c:v>
                </c:pt>
                <c:pt idx="2">
                  <c:v>104.03349253345267</c:v>
                </c:pt>
                <c:pt idx="3">
                  <c:v>106.28186000582852</c:v>
                </c:pt>
                <c:pt idx="4">
                  <c:v>107.60579129422375</c:v>
                </c:pt>
                <c:pt idx="5">
                  <c:v>107.98095682005426</c:v>
                </c:pt>
                <c:pt idx="6">
                  <c:v>108.10167765882716</c:v>
                </c:pt>
                <c:pt idx="7">
                  <c:v>107.79006082128384</c:v>
                </c:pt>
                <c:pt idx="8">
                  <c:v>106.47179594555621</c:v>
                </c:pt>
                <c:pt idx="9">
                  <c:v>104.23726754730399</c:v>
                </c:pt>
                <c:pt idx="10">
                  <c:v>100.46140950747787</c:v>
                </c:pt>
                <c:pt idx="11">
                  <c:v>98.040149322020156</c:v>
                </c:pt>
                <c:pt idx="12">
                  <c:v>95.050006600902051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30680"/>
        <c:axId val="291134992"/>
      </c:scatterChart>
      <c:valAx>
        <c:axId val="2911306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633644289731987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4992"/>
        <c:crosses val="autoZero"/>
        <c:crossBetween val="midCat"/>
      </c:valAx>
      <c:valAx>
        <c:axId val="29113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7747887774164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06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'25'!$O$11:$O$23</c:f>
              <c:numCache>
                <c:formatCode>General</c:formatCode>
                <c:ptCount val="13"/>
                <c:pt idx="0">
                  <c:v>1.5417766464646392</c:v>
                </c:pt>
                <c:pt idx="1">
                  <c:v>1.4247881894252841</c:v>
                </c:pt>
                <c:pt idx="2">
                  <c:v>1.3464461911741181</c:v>
                </c:pt>
                <c:pt idx="3">
                  <c:v>1.2393516055950538</c:v>
                </c:pt>
                <c:pt idx="4">
                  <c:v>1.1365716324735899</c:v>
                </c:pt>
                <c:pt idx="5">
                  <c:v>1.0814949069089879</c:v>
                </c:pt>
                <c:pt idx="6">
                  <c:v>1.0089758201304182</c:v>
                </c:pt>
                <c:pt idx="7">
                  <c:v>0.94087333486591174</c:v>
                </c:pt>
                <c:pt idx="8">
                  <c:v>0.84344981556232879</c:v>
                </c:pt>
                <c:pt idx="9">
                  <c:v>0.76022453927266265</c:v>
                </c:pt>
                <c:pt idx="10">
                  <c:v>0.67765304662714398</c:v>
                </c:pt>
                <c:pt idx="11">
                  <c:v>0.64094106878902268</c:v>
                </c:pt>
                <c:pt idx="12">
                  <c:v>0.60505770889361621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'25'!$D$11:$D$23</c:f>
              <c:numCache>
                <c:formatCode>General</c:formatCode>
                <c:ptCount val="13"/>
                <c:pt idx="0">
                  <c:v>9.9999999999999994E-12</c:v>
                </c:pt>
                <c:pt idx="1">
                  <c:v>0.10349999999999999</c:v>
                </c:pt>
                <c:pt idx="2">
                  <c:v>0.17499999999999999</c:v>
                </c:pt>
                <c:pt idx="3" formatCode="0.0000">
                  <c:v>0.27600000000000002</c:v>
                </c:pt>
                <c:pt idx="4">
                  <c:v>0.377</c:v>
                </c:pt>
                <c:pt idx="5">
                  <c:v>0.433</c:v>
                </c:pt>
                <c:pt idx="6">
                  <c:v>0.50900000000000001</c:v>
                </c:pt>
                <c:pt idx="7">
                  <c:v>0.58299999999999996</c:v>
                </c:pt>
                <c:pt idx="8">
                  <c:v>0.69399999999999995</c:v>
                </c:pt>
                <c:pt idx="9">
                  <c:v>0.79449999999999998</c:v>
                </c:pt>
                <c:pt idx="10">
                  <c:v>0.90049999999999997</c:v>
                </c:pt>
                <c:pt idx="11" formatCode="0.0000">
                  <c:v>0.95</c:v>
                </c:pt>
                <c:pt idx="12">
                  <c:v>0.99999990000000005</c:v>
                </c:pt>
              </c:numCache>
            </c:numRef>
          </c:xVal>
          <c:yVal>
            <c:numRef>
              <c:f>'25'!$J$11:$J$23</c:f>
              <c:numCache>
                <c:formatCode>General</c:formatCode>
                <c:ptCount val="13"/>
                <c:pt idx="0">
                  <c:v>0</c:v>
                </c:pt>
                <c:pt idx="1">
                  <c:v>1.4157392113865157</c:v>
                </c:pt>
                <c:pt idx="2">
                  <c:v>1.3395027017439929</c:v>
                </c:pt>
                <c:pt idx="3">
                  <c:v>1.2253123388726299</c:v>
                </c:pt>
                <c:pt idx="4">
                  <c:v>1.1365742527400708</c:v>
                </c:pt>
                <c:pt idx="5">
                  <c:v>1.0808115541956318</c:v>
                </c:pt>
                <c:pt idx="6">
                  <c:v>1.0089731544978471</c:v>
                </c:pt>
                <c:pt idx="7">
                  <c:v>0.940934575844392</c:v>
                </c:pt>
                <c:pt idx="8">
                  <c:v>0.84137925349343767</c:v>
                </c:pt>
                <c:pt idx="9">
                  <c:v>0.75869302394740956</c:v>
                </c:pt>
                <c:pt idx="10">
                  <c:v>0.67615233488178861</c:v>
                </c:pt>
                <c:pt idx="11">
                  <c:v>0.63784101130096538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29896"/>
        <c:axId val="291137736"/>
      </c:scatterChart>
      <c:valAx>
        <c:axId val="29112989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7736"/>
        <c:crosses val="autoZero"/>
        <c:crossBetween val="midCat"/>
      </c:valAx>
      <c:valAx>
        <c:axId val="29113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29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20781486901413"/>
          <c:y val="0.19219275582053486"/>
          <c:w val="0.67868066899126367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'40'!$F$11:$F$27</c:f>
              <c:numCache>
                <c:formatCode>General</c:formatCode>
                <c:ptCount val="17"/>
                <c:pt idx="0">
                  <c:v>9.9999999999999998E-13</c:v>
                </c:pt>
                <c:pt idx="1">
                  <c:v>8.9899999999999994E-2</c:v>
                </c:pt>
                <c:pt idx="2">
                  <c:v>0.1147</c:v>
                </c:pt>
                <c:pt idx="3">
                  <c:v>0.16569999999999999</c:v>
                </c:pt>
                <c:pt idx="4">
                  <c:v>0.2273</c:v>
                </c:pt>
                <c:pt idx="5">
                  <c:v>0.28949999999999998</c:v>
                </c:pt>
                <c:pt idx="6">
                  <c:v>0.38490000000000002</c:v>
                </c:pt>
                <c:pt idx="7">
                  <c:v>0.43309999999999998</c:v>
                </c:pt>
                <c:pt idx="8">
                  <c:v>0.51970000000000005</c:v>
                </c:pt>
                <c:pt idx="9">
                  <c:v>0.6159</c:v>
                </c:pt>
                <c:pt idx="10">
                  <c:v>0.63070000000000004</c:v>
                </c:pt>
                <c:pt idx="11">
                  <c:v>0.70430000000000004</c:v>
                </c:pt>
                <c:pt idx="12">
                  <c:v>0.7379</c:v>
                </c:pt>
                <c:pt idx="13">
                  <c:v>0.85429999999999995</c:v>
                </c:pt>
                <c:pt idx="14">
                  <c:v>0.88790000000000002</c:v>
                </c:pt>
                <c:pt idx="15">
                  <c:v>0.9093</c:v>
                </c:pt>
                <c:pt idx="16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'40'!$R$11:$R$27</c:f>
              <c:numCache>
                <c:formatCode>General</c:formatCode>
                <c:ptCount val="17"/>
                <c:pt idx="0">
                  <c:v>1.5104356976819536E-11</c:v>
                </c:pt>
                <c:pt idx="1">
                  <c:v>9.0434895489588635E-2</c:v>
                </c:pt>
                <c:pt idx="2">
                  <c:v>0.11450095054723695</c:v>
                </c:pt>
                <c:pt idx="3">
                  <c:v>0.16554992841134566</c:v>
                </c:pt>
                <c:pt idx="4">
                  <c:v>0.22792354763620359</c:v>
                </c:pt>
                <c:pt idx="5">
                  <c:v>0.2894999862687711</c:v>
                </c:pt>
                <c:pt idx="6">
                  <c:v>0.38591057632076031</c:v>
                </c:pt>
                <c:pt idx="7">
                  <c:v>0.43382320695922383</c:v>
                </c:pt>
                <c:pt idx="8">
                  <c:v>0.51916584573513902</c:v>
                </c:pt>
                <c:pt idx="9">
                  <c:v>0.61589999220207525</c:v>
                </c:pt>
                <c:pt idx="10">
                  <c:v>0.63520725806561595</c:v>
                </c:pt>
                <c:pt idx="11">
                  <c:v>0.70325946079244472</c:v>
                </c:pt>
                <c:pt idx="12">
                  <c:v>0.73811408125046662</c:v>
                </c:pt>
                <c:pt idx="13">
                  <c:v>0.85428218569502323</c:v>
                </c:pt>
                <c:pt idx="14">
                  <c:v>0.88820091289202086</c:v>
                </c:pt>
                <c:pt idx="15">
                  <c:v>0.90978689851644012</c:v>
                </c:pt>
                <c:pt idx="16">
                  <c:v>0.99999983498860101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'40'!$D$11:$E$11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'40'!$D$11:$E$11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36952"/>
        <c:axId val="291136168"/>
      </c:scatterChart>
      <c:valAx>
        <c:axId val="29113695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4834936992471943"/>
              <c:y val="0.90991257833784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6168"/>
        <c:crosses val="autoZero"/>
        <c:crossBetween val="midCat"/>
        <c:majorUnit val="0.2"/>
      </c:valAx>
      <c:valAx>
        <c:axId val="29113616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3.0030118096958571E-2"/>
              <c:y val="0.28828913373080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136952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318372039144729"/>
          <c:w val="0.69069271623004713"/>
          <c:h val="0.62162344460704244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'40'!$W$11:$W$27</c:f>
              <c:numCache>
                <c:formatCode>General</c:formatCode>
                <c:ptCount val="17"/>
                <c:pt idx="1">
                  <c:v>0.43557840403686537</c:v>
                </c:pt>
                <c:pt idx="2">
                  <c:v>0.4356255924053713</c:v>
                </c:pt>
                <c:pt idx="3">
                  <c:v>0.43752132617275352</c:v>
                </c:pt>
                <c:pt idx="4">
                  <c:v>0.4458574353106094</c:v>
                </c:pt>
                <c:pt idx="5">
                  <c:v>0.44830481852063481</c:v>
                </c:pt>
                <c:pt idx="6">
                  <c:v>0.44701664232918442</c:v>
                </c:pt>
                <c:pt idx="7">
                  <c:v>0.45695200355247556</c:v>
                </c:pt>
                <c:pt idx="8">
                  <c:v>0.46249713088775568</c:v>
                </c:pt>
                <c:pt idx="9">
                  <c:v>0.47138033740593405</c:v>
                </c:pt>
                <c:pt idx="10">
                  <c:v>0.46940918058553832</c:v>
                </c:pt>
                <c:pt idx="11">
                  <c:v>0.4755034443599882</c:v>
                </c:pt>
                <c:pt idx="12">
                  <c:v>0.48006669382868733</c:v>
                </c:pt>
                <c:pt idx="13">
                  <c:v>0.48490205827651295</c:v>
                </c:pt>
                <c:pt idx="14">
                  <c:v>0.47623094490799706</c:v>
                </c:pt>
                <c:pt idx="15">
                  <c:v>0.47884575377977118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'40'!$V$11:$V$27</c:f>
              <c:numCache>
                <c:formatCode>General</c:formatCode>
                <c:ptCount val="17"/>
                <c:pt idx="0">
                  <c:v>0.42360427354754926</c:v>
                </c:pt>
                <c:pt idx="1">
                  <c:v>0.42732721482575126</c:v>
                </c:pt>
                <c:pt idx="2">
                  <c:v>0.4284288399636963</c:v>
                </c:pt>
                <c:pt idx="3">
                  <c:v>0.43093873109889524</c:v>
                </c:pt>
                <c:pt idx="4">
                  <c:v>0.43435338066169948</c:v>
                </c:pt>
                <c:pt idx="5">
                  <c:v>0.43813404025173103</c:v>
                </c:pt>
                <c:pt idx="6">
                  <c:v>0.44491101038192782</c:v>
                </c:pt>
                <c:pt idx="7">
                  <c:v>0.44864771460248071</c:v>
                </c:pt>
                <c:pt idx="8">
                  <c:v>0.45575647254407814</c:v>
                </c:pt>
                <c:pt idx="9">
                  <c:v>0.46406569241282136</c:v>
                </c:pt>
                <c:pt idx="10">
                  <c:v>0.4656963524516588</c:v>
                </c:pt>
                <c:pt idx="11">
                  <c:v>0.47123684075752054</c:v>
                </c:pt>
                <c:pt idx="12">
                  <c:v>0.47391019131696466</c:v>
                </c:pt>
                <c:pt idx="13">
                  <c:v>0.48183434857380097</c:v>
                </c:pt>
                <c:pt idx="14">
                  <c:v>0.48385324062268154</c:v>
                </c:pt>
                <c:pt idx="15">
                  <c:v>0.48507121891685928</c:v>
                </c:pt>
                <c:pt idx="16">
                  <c:v>0.48963841856341395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3000"/>
        <c:axId val="289473392"/>
      </c:scatterChart>
      <c:valAx>
        <c:axId val="2894730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13523817344153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3392"/>
        <c:crossesAt val="0"/>
        <c:crossBetween val="midCat"/>
        <c:majorUnit val="0.2"/>
      </c:valAx>
      <c:valAx>
        <c:axId val="28947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/x1x2RT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5045177145437855E-2"/>
              <c:y val="0.39940057068954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3000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0179124962242"/>
          <c:y val="0.18918974401083899"/>
          <c:w val="0.72672885794639741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'40'!$H$11:$H$27</c:f>
              <c:numCache>
                <c:formatCode>General</c:formatCode>
                <c:ptCount val="17"/>
                <c:pt idx="1">
                  <c:v>1.4500319251275291</c:v>
                </c:pt>
                <c:pt idx="2">
                  <c:v>1.4424104744559001</c:v>
                </c:pt>
                <c:pt idx="3">
                  <c:v>1.3999057624485445</c:v>
                </c:pt>
                <c:pt idx="4">
                  <c:v>1.344130003160046</c:v>
                </c:pt>
                <c:pt idx="5">
                  <c:v>1.2963911207256316</c:v>
                </c:pt>
                <c:pt idx="6">
                  <c:v>1.2117609179649813</c:v>
                </c:pt>
                <c:pt idx="7">
                  <c:v>1.1776444563454933</c:v>
                </c:pt>
                <c:pt idx="8">
                  <c:v>1.1210031134873009</c:v>
                </c:pt>
                <c:pt idx="9">
                  <c:v>1.0673740525062563</c:v>
                </c:pt>
                <c:pt idx="10">
                  <c:v>1.0513849437151572</c:v>
                </c:pt>
                <c:pt idx="11">
                  <c:v>1.0355644463194267</c:v>
                </c:pt>
                <c:pt idx="12">
                  <c:v>1.0251383356959181</c:v>
                </c:pt>
                <c:pt idx="13">
                  <c:v>1.0062363726891401</c:v>
                </c:pt>
                <c:pt idx="14">
                  <c:v>1.002482438006</c:v>
                </c:pt>
                <c:pt idx="15">
                  <c:v>1.0013165083517064</c:v>
                </c:pt>
                <c:pt idx="1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'40'!$I$11:$I$27</c:f>
              <c:numCache>
                <c:formatCode>General</c:formatCode>
                <c:ptCount val="17"/>
                <c:pt idx="0">
                  <c:v>1</c:v>
                </c:pt>
                <c:pt idx="1">
                  <c:v>1.0024792265172753</c:v>
                </c:pt>
                <c:pt idx="2">
                  <c:v>1.0030051493827423</c:v>
                </c:pt>
                <c:pt idx="3">
                  <c:v>1.0066513809006234</c:v>
                </c:pt>
                <c:pt idx="4">
                  <c:v>1.0154671392309671</c:v>
                </c:pt>
                <c:pt idx="5">
                  <c:v>1.0259221173019004</c:v>
                </c:pt>
                <c:pt idx="6">
                  <c:v>1.0544021805624537</c:v>
                </c:pt>
                <c:pt idx="7">
                  <c:v>1.076438972442161</c:v>
                </c:pt>
                <c:pt idx="8">
                  <c:v>1.1237179776427193</c:v>
                </c:pt>
                <c:pt idx="9">
                  <c:v>1.2038242786582187</c:v>
                </c:pt>
                <c:pt idx="10">
                  <c:v>1.2371012479114063</c:v>
                </c:pt>
                <c:pt idx="11">
                  <c:v>1.2863759660166858</c:v>
                </c:pt>
                <c:pt idx="12">
                  <c:v>1.3311882598675604</c:v>
                </c:pt>
                <c:pt idx="13">
                  <c:v>1.4636031304078743</c:v>
                </c:pt>
                <c:pt idx="14">
                  <c:v>1.5066037500312099</c:v>
                </c:pt>
                <c:pt idx="15">
                  <c:v>1.5364229454471734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'40'!$K$11:$K$27</c:f>
              <c:numCache>
                <c:formatCode>General</c:formatCode>
                <c:ptCount val="17"/>
                <c:pt idx="0">
                  <c:v>1.5274570190093575</c:v>
                </c:pt>
                <c:pt idx="1">
                  <c:v>1.4581754264079296</c:v>
                </c:pt>
                <c:pt idx="2">
                  <c:v>1.4390267166219517</c:v>
                </c:pt>
                <c:pt idx="3">
                  <c:v>1.3975631726551645</c:v>
                </c:pt>
                <c:pt idx="4">
                  <c:v>1.3457067235931319</c:v>
                </c:pt>
                <c:pt idx="5">
                  <c:v>1.2939483662951405</c:v>
                </c:pt>
                <c:pt idx="6">
                  <c:v>1.2145137815938916</c:v>
                </c:pt>
                <c:pt idx="7">
                  <c:v>1.177304805970198</c:v>
                </c:pt>
                <c:pt idx="8">
                  <c:v>1.1179781822020667</c:v>
                </c:pt>
                <c:pt idx="9">
                  <c:v>1.0655912307812725</c:v>
                </c:pt>
                <c:pt idx="10">
                  <c:v>1.0572657341661769</c:v>
                </c:pt>
                <c:pt idx="11">
                  <c:v>1.0334423124081238</c:v>
                </c:pt>
                <c:pt idx="12">
                  <c:v>1.0243227086339228</c:v>
                </c:pt>
                <c:pt idx="13">
                  <c:v>1.0059340563248234</c:v>
                </c:pt>
                <c:pt idx="14">
                  <c:v>1.0032565961598467</c:v>
                </c:pt>
                <c:pt idx="15">
                  <c:v>1.0020284516455196</c:v>
                </c:pt>
                <c:pt idx="16">
                  <c:v>1.0000000000000056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'40'!$L$11:$L$27</c:f>
              <c:numCache>
                <c:formatCode>General</c:formatCode>
                <c:ptCount val="17"/>
                <c:pt idx="0">
                  <c:v>1</c:v>
                </c:pt>
                <c:pt idx="1">
                  <c:v>1.0015575738624121</c:v>
                </c:pt>
                <c:pt idx="2">
                  <c:v>1.0026171133555972</c:v>
                </c:pt>
                <c:pt idx="3">
                  <c:v>1.0060587999884467</c:v>
                </c:pt>
                <c:pt idx="4">
                  <c:v>1.0130588047869997</c:v>
                </c:pt>
                <c:pt idx="5">
                  <c:v>1.0239890685961084</c:v>
                </c:pt>
                <c:pt idx="6">
                  <c:v>1.0522984288578703</c:v>
                </c:pt>
                <c:pt idx="7">
                  <c:v>1.0729639937850199</c:v>
                </c:pt>
                <c:pt idx="8">
                  <c:v>1.1230863870608059</c:v>
                </c:pt>
                <c:pt idx="9">
                  <c:v>1.2018135854173622</c:v>
                </c:pt>
                <c:pt idx="10">
                  <c:v>1.2201182099816945</c:v>
                </c:pt>
                <c:pt idx="11">
                  <c:v>1.2901633089836178</c:v>
                </c:pt>
                <c:pt idx="12">
                  <c:v>1.3286572191517936</c:v>
                </c:pt>
                <c:pt idx="13">
                  <c:v>1.4633728131802364</c:v>
                </c:pt>
                <c:pt idx="14">
                  <c:v>1.5032104292891149</c:v>
                </c:pt>
                <c:pt idx="15">
                  <c:v>1.5284431881563874</c:v>
                </c:pt>
                <c:pt idx="16">
                  <c:v>1.6317259391584085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4176"/>
        <c:axId val="289474568"/>
      </c:scatterChart>
      <c:valAx>
        <c:axId val="2894741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of Acetone</a:t>
                </a:r>
              </a:p>
            </c:rich>
          </c:tx>
          <c:layout>
            <c:manualLayout>
              <c:xMode val="edge"/>
              <c:yMode val="edge"/>
              <c:x val="0.3423433463053277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4568"/>
        <c:crosses val="autoZero"/>
        <c:crossBetween val="midCat"/>
      </c:valAx>
      <c:valAx>
        <c:axId val="289474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13222636374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41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9576763023072"/>
          <c:y val="0.17717769677205555"/>
          <c:w val="0.73573789337548501"/>
          <c:h val="0.6336354918458257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'40'!$C$11:$C$27</c:f>
              <c:numCache>
                <c:formatCode>0.00</c:formatCode>
                <c:ptCount val="17"/>
                <c:pt idx="0" formatCode="General">
                  <c:v>184.85999999999981</c:v>
                </c:pt>
                <c:pt idx="1">
                  <c:v>190.47</c:v>
                </c:pt>
                <c:pt idx="2">
                  <c:v>191.95</c:v>
                </c:pt>
                <c:pt idx="3" formatCode="General">
                  <c:v>194.9</c:v>
                </c:pt>
                <c:pt idx="4" formatCode="General">
                  <c:v>198.36</c:v>
                </c:pt>
                <c:pt idx="5" formatCode="General">
                  <c:v>201.29</c:v>
                </c:pt>
                <c:pt idx="6" formatCode="General">
                  <c:v>204.36</c:v>
                </c:pt>
                <c:pt idx="7" formatCode="General">
                  <c:v>205.73</c:v>
                </c:pt>
                <c:pt idx="8" formatCode="General">
                  <c:v>206.26</c:v>
                </c:pt>
                <c:pt idx="9" formatCode="General">
                  <c:v>204.81</c:v>
                </c:pt>
                <c:pt idx="10" formatCode="General">
                  <c:v>204.23</c:v>
                </c:pt>
                <c:pt idx="11" formatCode="General">
                  <c:v>201.45</c:v>
                </c:pt>
                <c:pt idx="12" formatCode="General">
                  <c:v>199.89</c:v>
                </c:pt>
                <c:pt idx="13" formatCode="General">
                  <c:v>192.94</c:v>
                </c:pt>
                <c:pt idx="14" formatCode="General">
                  <c:v>190.56</c:v>
                </c:pt>
                <c:pt idx="15" formatCode="General">
                  <c:v>189.14</c:v>
                </c:pt>
                <c:pt idx="16" formatCode="General">
                  <c:v>182.80000000000024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'40'!$P$11:$P$27</c:f>
              <c:numCache>
                <c:formatCode>General</c:formatCode>
                <c:ptCount val="17"/>
                <c:pt idx="0">
                  <c:v>184.86000000094342</c:v>
                </c:pt>
                <c:pt idx="1">
                  <c:v>190.40679525507375</c:v>
                </c:pt>
                <c:pt idx="2">
                  <c:v>191.83260830758422</c:v>
                </c:pt>
                <c:pt idx="3">
                  <c:v>194.75023796213623</c:v>
                </c:pt>
                <c:pt idx="4">
                  <c:v>198.04937955297629</c:v>
                </c:pt>
                <c:pt idx="5">
                  <c:v>200.91072427242921</c:v>
                </c:pt>
                <c:pt idx="6">
                  <c:v>204.28789334126515</c:v>
                </c:pt>
                <c:pt idx="7">
                  <c:v>205.32780015269969</c:v>
                </c:pt>
                <c:pt idx="8">
                  <c:v>205.91506710599165</c:v>
                </c:pt>
                <c:pt idx="9">
                  <c:v>204.46791096996668</c:v>
                </c:pt>
                <c:pt idx="10">
                  <c:v>203.91506874059974</c:v>
                </c:pt>
                <c:pt idx="11">
                  <c:v>201.33463152312703</c:v>
                </c:pt>
                <c:pt idx="12">
                  <c:v>199.67303264998927</c:v>
                </c:pt>
                <c:pt idx="13">
                  <c:v>192.88605474672841</c:v>
                </c:pt>
                <c:pt idx="14">
                  <c:v>190.64254873765424</c:v>
                </c:pt>
                <c:pt idx="15">
                  <c:v>189.17318425162921</c:v>
                </c:pt>
                <c:pt idx="16">
                  <c:v>182.80001188408696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5352"/>
        <c:axId val="289475744"/>
      </c:scatterChart>
      <c:valAx>
        <c:axId val="28947535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633644289731987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5744"/>
        <c:crosses val="autoZero"/>
        <c:crossBetween val="midCat"/>
      </c:valAx>
      <c:valAx>
        <c:axId val="28947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7747887774164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53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'40'!$O$11:$O$27</c:f>
              <c:numCache>
                <c:formatCode>General</c:formatCode>
                <c:ptCount val="17"/>
                <c:pt idx="0">
                  <c:v>1.5274570190093575</c:v>
                </c:pt>
                <c:pt idx="1">
                  <c:v>1.4559077425620317</c:v>
                </c:pt>
                <c:pt idx="2">
                  <c:v>1.4352704511553389</c:v>
                </c:pt>
                <c:pt idx="3">
                  <c:v>1.3891466111833759</c:v>
                </c:pt>
                <c:pt idx="4">
                  <c:v>1.3283599305729079</c:v>
                </c:pt>
                <c:pt idx="5">
                  <c:v>1.2636349410146996</c:v>
                </c:pt>
                <c:pt idx="6">
                  <c:v>1.1541533734988889</c:v>
                </c:pt>
                <c:pt idx="7">
                  <c:v>1.0972453994631286</c:v>
                </c:pt>
                <c:pt idx="8">
                  <c:v>0.99545163674175796</c:v>
                </c:pt>
                <c:pt idx="9">
                  <c:v>0.8866526753491617</c:v>
                </c:pt>
                <c:pt idx="10">
                  <c:v>0.86652729671335627</c:v>
                </c:pt>
                <c:pt idx="11">
                  <c:v>0.8010166660391721</c:v>
                </c:pt>
                <c:pt idx="12">
                  <c:v>0.77094580443242089</c:v>
                </c:pt>
                <c:pt idx="13">
                  <c:v>0.68740791633179499</c:v>
                </c:pt>
                <c:pt idx="14">
                  <c:v>0.66740928389799559</c:v>
                </c:pt>
                <c:pt idx="15">
                  <c:v>0.65558763283453747</c:v>
                </c:pt>
                <c:pt idx="16">
                  <c:v>0.61284801326120564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'40'!$J$11:$J$27</c:f>
              <c:numCache>
                <c:formatCode>General</c:formatCode>
                <c:ptCount val="17"/>
                <c:pt idx="0">
                  <c:v>0</c:v>
                </c:pt>
                <c:pt idx="1">
                  <c:v>1.4464458582000765</c:v>
                </c:pt>
                <c:pt idx="2">
                  <c:v>1.4380888027779035</c:v>
                </c:pt>
                <c:pt idx="3">
                  <c:v>1.3906559798249987</c:v>
                </c:pt>
                <c:pt idx="4">
                  <c:v>1.3236568188488913</c:v>
                </c:pt>
                <c:pt idx="5">
                  <c:v>1.2636350253711701</c:v>
                </c:pt>
                <c:pt idx="6">
                  <c:v>1.1492397685659064</c:v>
                </c:pt>
                <c:pt idx="7">
                  <c:v>1.0940187846169516</c:v>
                </c:pt>
                <c:pt idx="8">
                  <c:v>0.99758403424219166</c:v>
                </c:pt>
                <c:pt idx="9">
                  <c:v>0.88665270457574608</c:v>
                </c:pt>
                <c:pt idx="10">
                  <c:v>0.84987784588384074</c:v>
                </c:pt>
                <c:pt idx="11">
                  <c:v>0.80502471569497136</c:v>
                </c:pt>
                <c:pt idx="12">
                  <c:v>0.77009268080377213</c:v>
                </c:pt>
                <c:pt idx="13">
                  <c:v>0.68750629988658474</c:v>
                </c:pt>
                <c:pt idx="14">
                  <c:v>0.66539223600447905</c:v>
                </c:pt>
                <c:pt idx="15">
                  <c:v>0.65171931421544527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6528"/>
        <c:axId val="289476920"/>
      </c:scatterChart>
      <c:valAx>
        <c:axId val="28947652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6920"/>
        <c:crosses val="autoZero"/>
        <c:crossBetween val="midCat"/>
      </c:valAx>
      <c:valAx>
        <c:axId val="28947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65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22588572718927"/>
          <c:y val="0.18918974401083899"/>
          <c:w val="0.66366560994278445"/>
          <c:h val="0.59459633831977965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'45'!$F$11:$F$17</c:f>
              <c:numCache>
                <c:formatCode>General</c:formatCode>
                <c:ptCount val="7"/>
                <c:pt idx="0">
                  <c:v>9.9999999999999998E-13</c:v>
                </c:pt>
                <c:pt idx="1">
                  <c:v>0.13370000000000001</c:v>
                </c:pt>
                <c:pt idx="2">
                  <c:v>0.33379999999999999</c:v>
                </c:pt>
                <c:pt idx="3">
                  <c:v>0.50309999999999999</c:v>
                </c:pt>
                <c:pt idx="4">
                  <c:v>0.65759999999999996</c:v>
                </c:pt>
                <c:pt idx="5">
                  <c:v>0.85009999999999997</c:v>
                </c:pt>
                <c:pt idx="6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'45'!$R$11:$R$17</c:f>
              <c:numCache>
                <c:formatCode>General</c:formatCode>
                <c:ptCount val="7"/>
                <c:pt idx="0">
                  <c:v>1.4910083240825664E-11</c:v>
                </c:pt>
                <c:pt idx="1">
                  <c:v>0.13439740625588492</c:v>
                </c:pt>
                <c:pt idx="2">
                  <c:v>0.33640609356583739</c:v>
                </c:pt>
                <c:pt idx="3">
                  <c:v>0.50309999999010191</c:v>
                </c:pt>
                <c:pt idx="4">
                  <c:v>0.65821949032523042</c:v>
                </c:pt>
                <c:pt idx="5">
                  <c:v>0.85301218759438702</c:v>
                </c:pt>
                <c:pt idx="6">
                  <c:v>0.99999984112704321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'45'!$D$11:$E$11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'45'!$D$11:$E$11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7704"/>
        <c:axId val="289478096"/>
      </c:scatterChart>
      <c:valAx>
        <c:axId val="289477704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 fraction Acetone</a:t>
                </a:r>
              </a:p>
            </c:rich>
          </c:tx>
          <c:layout>
            <c:manualLayout>
              <c:xMode val="edge"/>
              <c:yMode val="edge"/>
              <c:x val="0.3543553935441111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8096"/>
        <c:crosses val="autoZero"/>
        <c:crossBetween val="midCat"/>
        <c:majorUnit val="0.2"/>
      </c:valAx>
      <c:valAx>
        <c:axId val="28947809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27928009830171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7704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318372039144729"/>
          <c:w val="0.69069271623004713"/>
          <c:h val="0.62162344460704244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'45'!$W$11:$W$17</c:f>
              <c:numCache>
                <c:formatCode>General</c:formatCode>
                <c:ptCount val="7"/>
                <c:pt idx="1">
                  <c:v>0.48234961334665671</c:v>
                </c:pt>
                <c:pt idx="2">
                  <c:v>0.48078960589586783</c:v>
                </c:pt>
                <c:pt idx="3">
                  <c:v>0.45090680174872827</c:v>
                </c:pt>
                <c:pt idx="4">
                  <c:v>0.46542876679021916</c:v>
                </c:pt>
                <c:pt idx="5">
                  <c:v>0.5201794064004811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'45'!$V$11:$V$17</c:f>
              <c:numCache>
                <c:formatCode>General</c:formatCode>
                <c:ptCount val="7"/>
                <c:pt idx="0">
                  <c:v>0.4052978024264049</c:v>
                </c:pt>
                <c:pt idx="1">
                  <c:v>0.40998036616411432</c:v>
                </c:pt>
                <c:pt idx="2">
                  <c:v>0.41950549920586938</c:v>
                </c:pt>
                <c:pt idx="3">
                  <c:v>0.42972626327741759</c:v>
                </c:pt>
                <c:pt idx="4">
                  <c:v>0.43991038745506739</c:v>
                </c:pt>
                <c:pt idx="5">
                  <c:v>0.450872919999046</c:v>
                </c:pt>
                <c:pt idx="6">
                  <c:v>0.45708965628674925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78880"/>
        <c:axId val="289479272"/>
      </c:scatterChart>
      <c:valAx>
        <c:axId val="2894788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</a:t>
                </a:r>
              </a:p>
            </c:rich>
          </c:tx>
          <c:layout>
            <c:manualLayout>
              <c:xMode val="edge"/>
              <c:yMode val="edge"/>
              <c:x val="0.42642767697681172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9272"/>
        <c:crossesAt val="0"/>
        <c:crossBetween val="midCat"/>
        <c:majorUnit val="0.2"/>
      </c:valAx>
      <c:valAx>
        <c:axId val="28947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</a:t>
                </a:r>
                <a:r>
                  <a:rPr lang="en-GB" sz="8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x</a:t>
                </a:r>
                <a:r>
                  <a:rPr lang="en-GB" sz="8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2042165335741996E-2"/>
              <c:y val="0.4084096061186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78880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318372039144729"/>
          <c:w val="0.69069271623004713"/>
          <c:h val="0.62162344460704244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'8'!$W$11:$W$24</c:f>
              <c:numCache>
                <c:formatCode>General</c:formatCode>
                <c:ptCount val="14"/>
                <c:pt idx="1">
                  <c:v>0.56502242632583288</c:v>
                </c:pt>
                <c:pt idx="2">
                  <c:v>0.57573307587600819</c:v>
                </c:pt>
                <c:pt idx="3">
                  <c:v>0.58692645638432328</c:v>
                </c:pt>
                <c:pt idx="4">
                  <c:v>0.58888541388399629</c:v>
                </c:pt>
                <c:pt idx="5">
                  <c:v>0.59122051304258239</c:v>
                </c:pt>
                <c:pt idx="6">
                  <c:v>0.59728719722889834</c:v>
                </c:pt>
                <c:pt idx="7">
                  <c:v>0.6187835155865683</c:v>
                </c:pt>
                <c:pt idx="8">
                  <c:v>0.63024696518635859</c:v>
                </c:pt>
                <c:pt idx="9">
                  <c:v>0.64008009551569367</c:v>
                </c:pt>
                <c:pt idx="10">
                  <c:v>0.64516779792540646</c:v>
                </c:pt>
                <c:pt idx="11">
                  <c:v>0.68130929638338555</c:v>
                </c:pt>
                <c:pt idx="12">
                  <c:v>0.71627891348978312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'8'!$V$11:$V$24</c:f>
              <c:numCache>
                <c:formatCode>General</c:formatCode>
                <c:ptCount val="14"/>
                <c:pt idx="0">
                  <c:v>0.56414336381446295</c:v>
                </c:pt>
                <c:pt idx="1">
                  <c:v>0.56561999890881443</c:v>
                </c:pt>
                <c:pt idx="2">
                  <c:v>0.56690915685284016</c:v>
                </c:pt>
                <c:pt idx="3">
                  <c:v>0.56992656391300844</c:v>
                </c:pt>
                <c:pt idx="4">
                  <c:v>0.57798300965308169</c:v>
                </c:pt>
                <c:pt idx="5">
                  <c:v>0.58623450840244762</c:v>
                </c:pt>
                <c:pt idx="6">
                  <c:v>0.59607602409416627</c:v>
                </c:pt>
                <c:pt idx="7">
                  <c:v>0.61246587498447114</c:v>
                </c:pt>
                <c:pt idx="8">
                  <c:v>0.61994745060098766</c:v>
                </c:pt>
                <c:pt idx="9">
                  <c:v>0.62710310532544877</c:v>
                </c:pt>
                <c:pt idx="10">
                  <c:v>0.63361781043107934</c:v>
                </c:pt>
                <c:pt idx="11">
                  <c:v>0.63645508316899091</c:v>
                </c:pt>
                <c:pt idx="12">
                  <c:v>0.63840342485178869</c:v>
                </c:pt>
                <c:pt idx="13">
                  <c:v>0.63971180769130831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93976"/>
        <c:axId val="291386528"/>
      </c:scatterChart>
      <c:valAx>
        <c:axId val="2913939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13523817344153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86528"/>
        <c:crossesAt val="0"/>
        <c:crossBetween val="midCat"/>
        <c:majorUnit val="0.2"/>
      </c:valAx>
      <c:valAx>
        <c:axId val="29138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</a:t>
                </a:r>
                <a:r>
                  <a:rPr lang="en-GB" sz="8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x</a:t>
                </a:r>
                <a:r>
                  <a:rPr lang="en-GB" sz="8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2042165335741996E-2"/>
              <c:y val="0.4084096061186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93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0179124962242"/>
          <c:y val="0.18918974401083899"/>
          <c:w val="0.72672885794639741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'45'!$H$11:$H$17</c:f>
              <c:numCache>
                <c:formatCode>General</c:formatCode>
                <c:ptCount val="7"/>
                <c:pt idx="1">
                  <c:v>1.4000122223870928</c:v>
                </c:pt>
                <c:pt idx="2">
                  <c:v>1.2436801806646027</c:v>
                </c:pt>
                <c:pt idx="3">
                  <c:v>1.1257264926746624</c:v>
                </c:pt>
                <c:pt idx="4">
                  <c:v>1.0503951848910118</c:v>
                </c:pt>
                <c:pt idx="5">
                  <c:v>1.0100753481528135</c:v>
                </c:pt>
                <c:pt idx="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'45'!$I$11:$I$17</c:f>
              <c:numCache>
                <c:formatCode>General</c:formatCode>
                <c:ptCount val="7"/>
                <c:pt idx="0">
                  <c:v>1</c:v>
                </c:pt>
                <c:pt idx="1">
                  <c:v>1.0109610816430703</c:v>
                </c:pt>
                <c:pt idx="2">
                  <c:v>1.0520452656913897</c:v>
                </c:pt>
                <c:pt idx="3">
                  <c:v>1.1129156486611078</c:v>
                </c:pt>
                <c:pt idx="4">
                  <c:v>1.2354993035437765</c:v>
                </c:pt>
                <c:pt idx="5">
                  <c:v>1.4639928381920229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'45'!$K$11:$K$17</c:f>
              <c:numCache>
                <c:formatCode>General</c:formatCode>
                <c:ptCount val="7"/>
                <c:pt idx="0">
                  <c:v>1.4997490624581153</c:v>
                </c:pt>
                <c:pt idx="1">
                  <c:v>1.3983932048870382</c:v>
                </c:pt>
                <c:pt idx="2">
                  <c:v>1.2379202098549349</c:v>
                </c:pt>
                <c:pt idx="3">
                  <c:v>1.1197814418693546</c:v>
                </c:pt>
                <c:pt idx="4">
                  <c:v>1.0456015898790703</c:v>
                </c:pt>
                <c:pt idx="5">
                  <c:v>1.0058566004449436</c:v>
                </c:pt>
                <c:pt idx="6">
                  <c:v>1.0000000000000051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'45'!$L$11:$L$17</c:f>
              <c:numCache>
                <c:formatCode>General</c:formatCode>
                <c:ptCount val="7"/>
                <c:pt idx="0">
                  <c:v>1</c:v>
                </c:pt>
                <c:pt idx="1">
                  <c:v>1.0037433235846696</c:v>
                </c:pt>
                <c:pt idx="2">
                  <c:v>1.0349958430779866</c:v>
                </c:pt>
                <c:pt idx="3">
                  <c:v>1.1070382529819409</c:v>
                </c:pt>
                <c:pt idx="4">
                  <c:v>1.2264804255521431</c:v>
                </c:pt>
                <c:pt idx="5">
                  <c:v>1.4246747390243177</c:v>
                </c:pt>
                <c:pt idx="6">
                  <c:v>1.5794703337428428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80056"/>
        <c:axId val="289480448"/>
      </c:scatterChart>
      <c:valAx>
        <c:axId val="28948005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of Acetone</a:t>
                </a:r>
              </a:p>
            </c:rich>
          </c:tx>
          <c:layout>
            <c:manualLayout>
              <c:xMode val="edge"/>
              <c:yMode val="edge"/>
              <c:x val="0.3423433463053277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80448"/>
        <c:crosses val="autoZero"/>
        <c:crossBetween val="midCat"/>
      </c:valAx>
      <c:valAx>
        <c:axId val="28948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13222636374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94800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9576763023072"/>
          <c:y val="0.17717769677205555"/>
          <c:w val="0.73573789337548501"/>
          <c:h val="0.6336354918458257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'45'!$C$11:$C$17</c:f>
              <c:numCache>
                <c:formatCode>General</c:formatCode>
                <c:ptCount val="7"/>
                <c:pt idx="0">
                  <c:v>224.900065543181</c:v>
                </c:pt>
                <c:pt idx="1">
                  <c:v>236</c:v>
                </c:pt>
                <c:pt idx="2">
                  <c:v>249</c:v>
                </c:pt>
                <c:pt idx="3">
                  <c:v>251</c:v>
                </c:pt>
                <c:pt idx="4">
                  <c:v>248</c:v>
                </c:pt>
                <c:pt idx="5">
                  <c:v>237</c:v>
                </c:pt>
                <c:pt idx="6">
                  <c:v>223.5893178447038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'45'!$P$11:$P$17</c:f>
              <c:numCache>
                <c:formatCode>General</c:formatCode>
                <c:ptCount val="7"/>
                <c:pt idx="0">
                  <c:v>224.90006554428527</c:v>
                </c:pt>
                <c:pt idx="1">
                  <c:v>234.50386268718378</c:v>
                </c:pt>
                <c:pt idx="2">
                  <c:v>245.92674702934789</c:v>
                </c:pt>
                <c:pt idx="3">
                  <c:v>249.67444911680354</c:v>
                </c:pt>
                <c:pt idx="4">
                  <c:v>246.63588179961496</c:v>
                </c:pt>
                <c:pt idx="5">
                  <c:v>235.20439039042384</c:v>
                </c:pt>
                <c:pt idx="6">
                  <c:v>223.5893310080713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3384"/>
        <c:axId val="291552992"/>
      </c:scatterChart>
      <c:valAx>
        <c:axId val="2915533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633644289731987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552992"/>
        <c:crosses val="autoZero"/>
        <c:crossBetween val="midCat"/>
      </c:valAx>
      <c:valAx>
        <c:axId val="29155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7747887774164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5533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'45'!$O$11:$O$17</c:f>
              <c:numCache>
                <c:formatCode>General</c:formatCode>
                <c:ptCount val="7"/>
                <c:pt idx="0">
                  <c:v>1.4997490624581153</c:v>
                </c:pt>
                <c:pt idx="1">
                  <c:v>1.3931780884907459</c:v>
                </c:pt>
                <c:pt idx="2">
                  <c:v>1.1960629775801506</c:v>
                </c:pt>
                <c:pt idx="3">
                  <c:v>1.0115110646385419</c:v>
                </c:pt>
                <c:pt idx="4">
                  <c:v>0.85252203630429413</c:v>
                </c:pt>
                <c:pt idx="5">
                  <c:v>0.70602543366059833</c:v>
                </c:pt>
                <c:pt idx="6">
                  <c:v>0.6331236355863189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'45'!$D$11:$D$17</c:f>
              <c:numCache>
                <c:formatCode>General</c:formatCode>
                <c:ptCount val="7"/>
                <c:pt idx="0">
                  <c:v>9.9999999999999994E-12</c:v>
                </c:pt>
                <c:pt idx="1">
                  <c:v>0.1008</c:v>
                </c:pt>
                <c:pt idx="2">
                  <c:v>0.2989</c:v>
                </c:pt>
                <c:pt idx="3" formatCode="0.0000">
                  <c:v>0.50170000000000003</c:v>
                </c:pt>
                <c:pt idx="4">
                  <c:v>0.69440000000000002</c:v>
                </c:pt>
                <c:pt idx="5">
                  <c:v>0.8921</c:v>
                </c:pt>
                <c:pt idx="6">
                  <c:v>0.99999990000000005</c:v>
                </c:pt>
              </c:numCache>
            </c:numRef>
          </c:xVal>
          <c:yVal>
            <c:numRef>
              <c:f>'45'!$J$11:$J$17</c:f>
              <c:numCache>
                <c:formatCode>General</c:formatCode>
                <c:ptCount val="7"/>
                <c:pt idx="0">
                  <c:v>0</c:v>
                </c:pt>
                <c:pt idx="1">
                  <c:v>1.3848329553020131</c:v>
                </c:pt>
                <c:pt idx="2">
                  <c:v>1.1821546289144442</c:v>
                </c:pt>
                <c:pt idx="3">
                  <c:v>1.0115110646785914</c:v>
                </c:pt>
                <c:pt idx="4">
                  <c:v>0.85017869445832028</c:v>
                </c:pt>
                <c:pt idx="5">
                  <c:v>0.68994555287594117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2208"/>
        <c:axId val="291551816"/>
      </c:scatterChart>
      <c:valAx>
        <c:axId val="29155220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551816"/>
        <c:crosses val="autoZero"/>
        <c:crossBetween val="midCat"/>
      </c:valAx>
      <c:valAx>
        <c:axId val="29155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552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20781486901413"/>
          <c:y val="0.19219275582053486"/>
          <c:w val="0.67868066899126367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'55'!$F$11:$F$27</c:f>
              <c:numCache>
                <c:formatCode>General</c:formatCode>
                <c:ptCount val="17"/>
                <c:pt idx="0">
                  <c:v>9.9999999999999998E-13</c:v>
                </c:pt>
                <c:pt idx="1">
                  <c:v>0.16769999999999999</c:v>
                </c:pt>
                <c:pt idx="2">
                  <c:v>0.27789999999999998</c:v>
                </c:pt>
                <c:pt idx="3">
                  <c:v>0.3599</c:v>
                </c:pt>
                <c:pt idx="4">
                  <c:v>0.42309999999999998</c:v>
                </c:pt>
                <c:pt idx="5">
                  <c:v>0.45240000000000002</c:v>
                </c:pt>
                <c:pt idx="6">
                  <c:v>0.47949999999999998</c:v>
                </c:pt>
                <c:pt idx="7">
                  <c:v>0.48649999999999999</c:v>
                </c:pt>
                <c:pt idx="8">
                  <c:v>0.52029999999999998</c:v>
                </c:pt>
                <c:pt idx="9">
                  <c:v>0.53059999999999996</c:v>
                </c:pt>
                <c:pt idx="10">
                  <c:v>0.56220000000000003</c:v>
                </c:pt>
                <c:pt idx="11">
                  <c:v>0.57640000000000002</c:v>
                </c:pt>
                <c:pt idx="12">
                  <c:v>0.6401</c:v>
                </c:pt>
                <c:pt idx="13">
                  <c:v>0.70730000000000004</c:v>
                </c:pt>
                <c:pt idx="14">
                  <c:v>0.79869999999999997</c:v>
                </c:pt>
                <c:pt idx="15">
                  <c:v>0.88990000000000002</c:v>
                </c:pt>
                <c:pt idx="16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'55'!$R$11:$R$27</c:f>
              <c:numCache>
                <c:formatCode>0.0000</c:formatCode>
                <c:ptCount val="17"/>
                <c:pt idx="0">
                  <c:v>1.4661518077142885E-11</c:v>
                </c:pt>
                <c:pt idx="1">
                  <c:v>0.16683304906993005</c:v>
                </c:pt>
                <c:pt idx="2">
                  <c:v>0.27789998373028663</c:v>
                </c:pt>
                <c:pt idx="3">
                  <c:v>0.36011244857149466</c:v>
                </c:pt>
                <c:pt idx="4">
                  <c:v>0.42325621823476495</c:v>
                </c:pt>
                <c:pt idx="5">
                  <c:v>0.45252077697941101</c:v>
                </c:pt>
                <c:pt idx="6">
                  <c:v>0.47959276001992435</c:v>
                </c:pt>
                <c:pt idx="7">
                  <c:v>0.48650000246980379</c:v>
                </c:pt>
                <c:pt idx="8">
                  <c:v>0.52025788904752202</c:v>
                </c:pt>
                <c:pt idx="9">
                  <c:v>0.5305615581411055</c:v>
                </c:pt>
                <c:pt idx="10">
                  <c:v>0.56203426317777094</c:v>
                </c:pt>
                <c:pt idx="11">
                  <c:v>0.57613583716912975</c:v>
                </c:pt>
                <c:pt idx="12">
                  <c:v>0.64011202058878225</c:v>
                </c:pt>
                <c:pt idx="13">
                  <c:v>0.70729087572741645</c:v>
                </c:pt>
                <c:pt idx="14">
                  <c:v>0.79959258775228614</c:v>
                </c:pt>
                <c:pt idx="15">
                  <c:v>0.89055301878667104</c:v>
                </c:pt>
                <c:pt idx="16">
                  <c:v>0.99999984719456392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'55'!$D$11:$E$11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'55'!$D$11:$E$11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4952"/>
        <c:axId val="291553776"/>
      </c:scatterChart>
      <c:valAx>
        <c:axId val="29155495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4834936992471943"/>
              <c:y val="0.90991257833784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553776"/>
        <c:crosses val="autoZero"/>
        <c:crossBetween val="midCat"/>
        <c:majorUnit val="0.2"/>
      </c:valAx>
      <c:valAx>
        <c:axId val="29155377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3.0030118096958571E-2"/>
              <c:y val="0.28828913373080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554952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318372039144729"/>
          <c:w val="0.69069271623004713"/>
          <c:h val="0.62162344460704244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'55'!$W$11:$W$27</c:f>
              <c:numCache>
                <c:formatCode>General</c:formatCode>
                <c:ptCount val="17"/>
                <c:pt idx="1">
                  <c:v>0.40338607680621691</c:v>
                </c:pt>
                <c:pt idx="2">
                  <c:v>0.40485341143630948</c:v>
                </c:pt>
                <c:pt idx="3">
                  <c:v>0.4094901123495826</c:v>
                </c:pt>
                <c:pt idx="4">
                  <c:v>0.40930510251747754</c:v>
                </c:pt>
                <c:pt idx="5">
                  <c:v>0.41334236427495302</c:v>
                </c:pt>
                <c:pt idx="6">
                  <c:v>0.41398154823601607</c:v>
                </c:pt>
                <c:pt idx="7">
                  <c:v>0.41338233202067598</c:v>
                </c:pt>
                <c:pt idx="8">
                  <c:v>0.41670165537612008</c:v>
                </c:pt>
                <c:pt idx="9">
                  <c:v>0.41667327741371807</c:v>
                </c:pt>
                <c:pt idx="10">
                  <c:v>0.41744232899107003</c:v>
                </c:pt>
                <c:pt idx="11">
                  <c:v>0.41932161948616431</c:v>
                </c:pt>
                <c:pt idx="12">
                  <c:v>0.42402385396228759</c:v>
                </c:pt>
                <c:pt idx="13">
                  <c:v>0.43101810185392592</c:v>
                </c:pt>
                <c:pt idx="14">
                  <c:v>0.2755167453436505</c:v>
                </c:pt>
                <c:pt idx="15">
                  <c:v>0.44196451569422374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'55'!$V$11:$V$27</c:f>
              <c:numCache>
                <c:formatCode>General</c:formatCode>
                <c:ptCount val="17"/>
                <c:pt idx="0">
                  <c:v>0.38001799810880321</c:v>
                </c:pt>
                <c:pt idx="1">
                  <c:v>0.38549206722426876</c:v>
                </c:pt>
                <c:pt idx="2">
                  <c:v>0.39010426450882352</c:v>
                </c:pt>
                <c:pt idx="3">
                  <c:v>0.39407234345613534</c:v>
                </c:pt>
                <c:pt idx="4">
                  <c:v>0.39742159422882145</c:v>
                </c:pt>
                <c:pt idx="5">
                  <c:v>0.39904899008675926</c:v>
                </c:pt>
                <c:pt idx="6">
                  <c:v>0.40058826630718547</c:v>
                </c:pt>
                <c:pt idx="7">
                  <c:v>0.40098534125260121</c:v>
                </c:pt>
                <c:pt idx="8">
                  <c:v>0.40294524296988143</c:v>
                </c:pt>
                <c:pt idx="9">
                  <c:v>0.40354818902629597</c:v>
                </c:pt>
                <c:pt idx="10">
                  <c:v>0.40539624443066863</c:v>
                </c:pt>
                <c:pt idx="11">
                  <c:v>0.406224627725087</c:v>
                </c:pt>
                <c:pt idx="12">
                  <c:v>0.40994390896118199</c:v>
                </c:pt>
                <c:pt idx="13">
                  <c:v>0.41369256685755967</c:v>
                </c:pt>
                <c:pt idx="14">
                  <c:v>0.41841425957160799</c:v>
                </c:pt>
                <c:pt idx="15">
                  <c:v>0.42248428256476206</c:v>
                </c:pt>
                <c:pt idx="16">
                  <c:v>0.4266185633190096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4560"/>
        <c:axId val="291550640"/>
      </c:scatterChart>
      <c:valAx>
        <c:axId val="2915545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13523817344153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550640"/>
        <c:crossesAt val="0"/>
        <c:crossBetween val="midCat"/>
        <c:majorUnit val="0.2"/>
      </c:valAx>
      <c:valAx>
        <c:axId val="29155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/x1x2RT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5045177145437855E-2"/>
              <c:y val="0.39940057068954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554560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0179124962242"/>
          <c:y val="0.18918974401083899"/>
          <c:w val="0.72672885794639741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'55'!$H$11:$H$27</c:f>
              <c:numCache>
                <c:formatCode>General</c:formatCode>
                <c:ptCount val="17"/>
                <c:pt idx="1">
                  <c:v>1.3544842817107365</c:v>
                </c:pt>
                <c:pt idx="2">
                  <c:v>1.2661522444517457</c:v>
                </c:pt>
                <c:pt idx="3">
                  <c:v>1.2069931524857127</c:v>
                </c:pt>
                <c:pt idx="4">
                  <c:v>1.1637484555205904</c:v>
                </c:pt>
                <c:pt idx="5">
                  <c:v>1.1459689311399217</c:v>
                </c:pt>
                <c:pt idx="6">
                  <c:v>1.1294274811762155</c:v>
                </c:pt>
                <c:pt idx="7">
                  <c:v>1.1253287322756815</c:v>
                </c:pt>
                <c:pt idx="8">
                  <c:v>1.1069238334276463</c:v>
                </c:pt>
                <c:pt idx="9">
                  <c:v>1.1012844151583048</c:v>
                </c:pt>
                <c:pt idx="10">
                  <c:v>1.0855093951933026</c:v>
                </c:pt>
                <c:pt idx="11">
                  <c:v>1.0793852274232889</c:v>
                </c:pt>
                <c:pt idx="12">
                  <c:v>1.0531227325147956</c:v>
                </c:pt>
                <c:pt idx="13">
                  <c:v>1.0330743009270149</c:v>
                </c:pt>
                <c:pt idx="14">
                  <c:v>0.99172842992300003</c:v>
                </c:pt>
                <c:pt idx="15">
                  <c:v>1.0038958332731969</c:v>
                </c:pt>
                <c:pt idx="1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'55'!$I$11:$I$27</c:f>
              <c:numCache>
                <c:formatCode>General</c:formatCode>
                <c:ptCount val="17"/>
                <c:pt idx="0">
                  <c:v>1</c:v>
                </c:pt>
                <c:pt idx="1">
                  <c:v>1.0071267281575143</c:v>
                </c:pt>
                <c:pt idx="2">
                  <c:v>1.0229088676111731</c:v>
                </c:pt>
                <c:pt idx="3">
                  <c:v>1.0434114373847283</c:v>
                </c:pt>
                <c:pt idx="4">
                  <c:v>1.064615018551283</c:v>
                </c:pt>
                <c:pt idx="5">
                  <c:v>1.0777543786517223</c:v>
                </c:pt>
                <c:pt idx="6">
                  <c:v>1.0905008925136985</c:v>
                </c:pt>
                <c:pt idx="7">
                  <c:v>1.0935834623934333</c:v>
                </c:pt>
                <c:pt idx="8">
                  <c:v>1.1125026090586516</c:v>
                </c:pt>
                <c:pt idx="9">
                  <c:v>1.1184610223459408</c:v>
                </c:pt>
                <c:pt idx="10">
                  <c:v>1.1377896447990872</c:v>
                </c:pt>
                <c:pt idx="11">
                  <c:v>1.1473430100893613</c:v>
                </c:pt>
                <c:pt idx="12">
                  <c:v>1.1961295430991001</c:v>
                </c:pt>
                <c:pt idx="13">
                  <c:v>1.2536123603527198</c:v>
                </c:pt>
                <c:pt idx="14">
                  <c:v>1.3166628904839393</c:v>
                </c:pt>
                <c:pt idx="15">
                  <c:v>1.4359963037518664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'55'!$K$11:$K$27</c:f>
              <c:numCache>
                <c:formatCode>General</c:formatCode>
                <c:ptCount val="17"/>
                <c:pt idx="0">
                  <c:v>1.462310908017701</c:v>
                </c:pt>
                <c:pt idx="1">
                  <c:v>1.3444458922950429</c:v>
                </c:pt>
                <c:pt idx="2">
                  <c:v>1.2627826479090145</c:v>
                </c:pt>
                <c:pt idx="3">
                  <c:v>1.2036552351684606</c:v>
                </c:pt>
                <c:pt idx="4">
                  <c:v>1.16087666273778</c:v>
                </c:pt>
                <c:pt idx="5">
                  <c:v>1.1422606016057637</c:v>
                </c:pt>
                <c:pt idx="6">
                  <c:v>1.1258873130127296</c:v>
                </c:pt>
                <c:pt idx="7">
                  <c:v>1.1218527743031721</c:v>
                </c:pt>
                <c:pt idx="8">
                  <c:v>1.1030410081358952</c:v>
                </c:pt>
                <c:pt idx="9">
                  <c:v>1.0976142005875869</c:v>
                </c:pt>
                <c:pt idx="10">
                  <c:v>1.0820038787175099</c:v>
                </c:pt>
                <c:pt idx="11">
                  <c:v>1.0754960575452912</c:v>
                </c:pt>
                <c:pt idx="12">
                  <c:v>1.0498590488951334</c:v>
                </c:pt>
                <c:pt idx="13">
                  <c:v>1.0296697968722195</c:v>
                </c:pt>
                <c:pt idx="14">
                  <c:v>1.0118485713325309</c:v>
                </c:pt>
                <c:pt idx="15">
                  <c:v>1.00299552114241</c:v>
                </c:pt>
                <c:pt idx="16">
                  <c:v>1.0000000000000049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'55'!$L$11:$L$27</c:f>
              <c:numCache>
                <c:formatCode>General</c:formatCode>
                <c:ptCount val="17"/>
                <c:pt idx="0">
                  <c:v>1</c:v>
                </c:pt>
                <c:pt idx="1">
                  <c:v>1.0059041416250223</c:v>
                </c:pt>
                <c:pt idx="2">
                  <c:v>1.0201866946089035</c:v>
                </c:pt>
                <c:pt idx="3">
                  <c:v>1.0395668975555374</c:v>
                </c:pt>
                <c:pt idx="4">
                  <c:v>1.0613084240833706</c:v>
                </c:pt>
                <c:pt idx="5">
                  <c:v>1.0737431962409179</c:v>
                </c:pt>
                <c:pt idx="6">
                  <c:v>1.0866787866785272</c:v>
                </c:pt>
                <c:pt idx="7">
                  <c:v>1.0902055496335956</c:v>
                </c:pt>
                <c:pt idx="8">
                  <c:v>1.1087872750515777</c:v>
                </c:pt>
                <c:pt idx="9">
                  <c:v>1.1149056304640459</c:v>
                </c:pt>
                <c:pt idx="10">
                  <c:v>1.1348791978460968</c:v>
                </c:pt>
                <c:pt idx="11">
                  <c:v>1.1444463973853698</c:v>
                </c:pt>
                <c:pt idx="12">
                  <c:v>1.1923604554327465</c:v>
                </c:pt>
                <c:pt idx="13">
                  <c:v>1.2495361404756173</c:v>
                </c:pt>
                <c:pt idx="14">
                  <c:v>1.3359256396446058</c:v>
                </c:pt>
                <c:pt idx="15">
                  <c:v>1.4251532219223932</c:v>
                </c:pt>
                <c:pt idx="16">
                  <c:v>1.5320680245245288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56520"/>
        <c:axId val="280342384"/>
      </c:scatterChart>
      <c:valAx>
        <c:axId val="2915565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of Acetone</a:t>
                </a:r>
              </a:p>
            </c:rich>
          </c:tx>
          <c:layout>
            <c:manualLayout>
              <c:xMode val="edge"/>
              <c:yMode val="edge"/>
              <c:x val="0.3423433463053277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42384"/>
        <c:crosses val="autoZero"/>
        <c:crossBetween val="midCat"/>
      </c:valAx>
      <c:valAx>
        <c:axId val="28034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13222636374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5565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9576763023072"/>
          <c:y val="0.17717769677205555"/>
          <c:w val="0.73573789337548501"/>
          <c:h val="0.6336354918458257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'55'!$C$11:$C$27</c:f>
              <c:numCache>
                <c:formatCode>General</c:formatCode>
                <c:ptCount val="17"/>
                <c:pt idx="0">
                  <c:v>327.42</c:v>
                </c:pt>
                <c:pt idx="1">
                  <c:v>344.69</c:v>
                </c:pt>
                <c:pt idx="2">
                  <c:v>354.03</c:v>
                </c:pt>
                <c:pt idx="3">
                  <c:v>359.46</c:v>
                </c:pt>
                <c:pt idx="4">
                  <c:v>361.99</c:v>
                </c:pt>
                <c:pt idx="5">
                  <c:v>363.06</c:v>
                </c:pt>
                <c:pt idx="6">
                  <c:v>363.5</c:v>
                </c:pt>
                <c:pt idx="7">
                  <c:v>363.5</c:v>
                </c:pt>
                <c:pt idx="8">
                  <c:v>363.8</c:v>
                </c:pt>
                <c:pt idx="9">
                  <c:v>363.71</c:v>
                </c:pt>
                <c:pt idx="10">
                  <c:v>363.26</c:v>
                </c:pt>
                <c:pt idx="11">
                  <c:v>363.07</c:v>
                </c:pt>
                <c:pt idx="12">
                  <c:v>360.95</c:v>
                </c:pt>
                <c:pt idx="13">
                  <c:v>357.31</c:v>
                </c:pt>
                <c:pt idx="14">
                  <c:v>342.44</c:v>
                </c:pt>
                <c:pt idx="15">
                  <c:v>340.78</c:v>
                </c:pt>
                <c:pt idx="16">
                  <c:v>328.27999999999952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'55'!$P$11:$P$27</c:f>
              <c:numCache>
                <c:formatCode>General</c:formatCode>
                <c:ptCount val="17"/>
                <c:pt idx="0">
                  <c:v>327.42000000152632</c:v>
                </c:pt>
                <c:pt idx="1">
                  <c:v>343.91333730219247</c:v>
                </c:pt>
                <c:pt idx="2">
                  <c:v>353.08784466610865</c:v>
                </c:pt>
                <c:pt idx="3">
                  <c:v>358.25444279426625</c:v>
                </c:pt>
                <c:pt idx="4">
                  <c:v>360.96343795341659</c:v>
                </c:pt>
                <c:pt idx="5">
                  <c:v>361.78855956111556</c:v>
                </c:pt>
                <c:pt idx="6">
                  <c:v>362.29053075348298</c:v>
                </c:pt>
                <c:pt idx="7">
                  <c:v>362.37720560490072</c:v>
                </c:pt>
                <c:pt idx="8">
                  <c:v>362.55321978048676</c:v>
                </c:pt>
                <c:pt idx="9">
                  <c:v>362.52414037030678</c:v>
                </c:pt>
                <c:pt idx="10">
                  <c:v>362.1936722440139</c:v>
                </c:pt>
                <c:pt idx="11">
                  <c:v>361.92768069576061</c:v>
                </c:pt>
                <c:pt idx="12">
                  <c:v>359.82463943160661</c:v>
                </c:pt>
                <c:pt idx="13">
                  <c:v>356.13707645308756</c:v>
                </c:pt>
                <c:pt idx="14">
                  <c:v>348.99738491431225</c:v>
                </c:pt>
                <c:pt idx="15">
                  <c:v>340.22472148027759</c:v>
                </c:pt>
                <c:pt idx="16">
                  <c:v>328.28001733497234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43168"/>
        <c:axId val="280343560"/>
      </c:scatterChart>
      <c:valAx>
        <c:axId val="2803431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633644289731987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43560"/>
        <c:crosses val="autoZero"/>
        <c:crossBetween val="midCat"/>
      </c:valAx>
      <c:valAx>
        <c:axId val="280343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7747887774164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431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'55'!$O$11:$O$27</c:f>
              <c:numCache>
                <c:formatCode>General</c:formatCode>
                <c:ptCount val="17"/>
                <c:pt idx="0">
                  <c:v>1.462310908017701</c:v>
                </c:pt>
                <c:pt idx="1">
                  <c:v>1.3365546841502329</c:v>
                </c:pt>
                <c:pt idx="2">
                  <c:v>1.2377956452305154</c:v>
                </c:pt>
                <c:pt idx="3">
                  <c:v>1.157842980570817</c:v>
                </c:pt>
                <c:pt idx="4">
                  <c:v>1.0938164970662552</c:v>
                </c:pt>
                <c:pt idx="5">
                  <c:v>1.0638117248190437</c:v>
                </c:pt>
                <c:pt idx="6">
                  <c:v>1.0360810635257218</c:v>
                </c:pt>
                <c:pt idx="7">
                  <c:v>1.0290286769134616</c:v>
                </c:pt>
                <c:pt idx="8">
                  <c:v>0.99481752086718778</c:v>
                </c:pt>
                <c:pt idx="9">
                  <c:v>0.98449067848974625</c:v>
                </c:pt>
                <c:pt idx="10">
                  <c:v>0.95340885688191335</c:v>
                </c:pt>
                <c:pt idx="11">
                  <c:v>0.93975223304682143</c:v>
                </c:pt>
                <c:pt idx="12">
                  <c:v>0.88048798004971185</c:v>
                </c:pt>
                <c:pt idx="13">
                  <c:v>0.82404162914430867</c:v>
                </c:pt>
                <c:pt idx="14">
                  <c:v>0.75741384198727668</c:v>
                </c:pt>
                <c:pt idx="15">
                  <c:v>0.7037808326247661</c:v>
                </c:pt>
                <c:pt idx="16">
                  <c:v>0.65271253233703563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'55'!$D$11:$D$27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</c:v>
                </c:pt>
                <c:pt idx="2">
                  <c:v>0.23669999999999999</c:v>
                </c:pt>
                <c:pt idx="3">
                  <c:v>0.32650000000000001</c:v>
                </c:pt>
                <c:pt idx="4">
                  <c:v>0.40089999999999998</c:v>
                </c:pt>
                <c:pt idx="5">
                  <c:v>0.43659999999999999</c:v>
                </c:pt>
                <c:pt idx="6">
                  <c:v>0.47010000000000002</c:v>
                </c:pt>
                <c:pt idx="7">
                  <c:v>0.47870000000000001</c:v>
                </c:pt>
                <c:pt idx="8">
                  <c:v>0.52090000000000003</c:v>
                </c:pt>
                <c:pt idx="9">
                  <c:v>0.53380000000000005</c:v>
                </c:pt>
                <c:pt idx="10">
                  <c:v>0.57310000000000005</c:v>
                </c:pt>
                <c:pt idx="11">
                  <c:v>0.59060000000000001</c:v>
                </c:pt>
                <c:pt idx="12">
                  <c:v>0.66830000000000001</c:v>
                </c:pt>
                <c:pt idx="13">
                  <c:v>0.74519999999999997</c:v>
                </c:pt>
                <c:pt idx="14" formatCode="0.0000">
                  <c:v>0.84009999999999996</c:v>
                </c:pt>
                <c:pt idx="15">
                  <c:v>0.92020000000000002</c:v>
                </c:pt>
                <c:pt idx="16">
                  <c:v>0.99999990000000005</c:v>
                </c:pt>
              </c:numCache>
            </c:numRef>
          </c:xVal>
          <c:yVal>
            <c:numRef>
              <c:f>'55'!$J$11:$J$27</c:f>
              <c:numCache>
                <c:formatCode>General</c:formatCode>
                <c:ptCount val="17"/>
                <c:pt idx="0">
                  <c:v>0</c:v>
                </c:pt>
                <c:pt idx="1">
                  <c:v>1.3448995482313282</c:v>
                </c:pt>
                <c:pt idx="2">
                  <c:v>1.2377957455864328</c:v>
                </c:pt>
                <c:pt idx="3">
                  <c:v>1.156775850100892</c:v>
                </c:pt>
                <c:pt idx="4">
                  <c:v>1.0931166996913184</c:v>
                </c:pt>
                <c:pt idx="5">
                  <c:v>1.0632932269535627</c:v>
                </c:pt>
                <c:pt idx="6">
                  <c:v>1.0356960630933441</c:v>
                </c:pt>
                <c:pt idx="7">
                  <c:v>1.0290286667400492</c:v>
                </c:pt>
                <c:pt idx="8">
                  <c:v>0.99498538197970987</c:v>
                </c:pt>
                <c:pt idx="9">
                  <c:v>0.9846426412324959</c:v>
                </c:pt>
                <c:pt idx="10">
                  <c:v>0.95405104111752015</c:v>
                </c:pt>
                <c:pt idx="11">
                  <c:v>0.94076942808865893</c:v>
                </c:pt>
                <c:pt idx="12">
                  <c:v>0.8804420378968465</c:v>
                </c:pt>
                <c:pt idx="13">
                  <c:v>0.82407794753742403</c:v>
                </c:pt>
                <c:pt idx="14">
                  <c:v>0.75321362597110209</c:v>
                </c:pt>
                <c:pt idx="15">
                  <c:v>0.69909360535977083</c:v>
                </c:pt>
                <c:pt idx="1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44344"/>
        <c:axId val="280344736"/>
      </c:scatterChart>
      <c:valAx>
        <c:axId val="28034434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44736"/>
        <c:crosses val="autoZero"/>
        <c:crossBetween val="midCat"/>
      </c:valAx>
      <c:valAx>
        <c:axId val="28034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44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22588572718927"/>
          <c:y val="0.19219275582053486"/>
          <c:w val="0.66066259813308859"/>
          <c:h val="0.59159332651008389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'60'!$F$11:$F$27</c:f>
              <c:numCache>
                <c:formatCode>General</c:formatCode>
                <c:ptCount val="17"/>
                <c:pt idx="0">
                  <c:v>9.9999999999999998E-13</c:v>
                </c:pt>
                <c:pt idx="1">
                  <c:v>9.1200000000000003E-2</c:v>
                </c:pt>
                <c:pt idx="2">
                  <c:v>0.26700000000000002</c:v>
                </c:pt>
                <c:pt idx="3">
                  <c:v>0.35260000000000002</c:v>
                </c:pt>
                <c:pt idx="4">
                  <c:v>0.44800000000000001</c:v>
                </c:pt>
                <c:pt idx="5">
                  <c:v>0.52029999999999998</c:v>
                </c:pt>
                <c:pt idx="6">
                  <c:v>0.58950000000000002</c:v>
                </c:pt>
                <c:pt idx="7">
                  <c:v>0.67700000000000005</c:v>
                </c:pt>
                <c:pt idx="8">
                  <c:v>0.75629999999999997</c:v>
                </c:pt>
                <c:pt idx="9">
                  <c:v>0.83860000000000001</c:v>
                </c:pt>
                <c:pt idx="10">
                  <c:v>0.86</c:v>
                </c:pt>
                <c:pt idx="11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'60'!$R$11:$R$27</c:f>
              <c:numCache>
                <c:formatCode>General</c:formatCode>
                <c:ptCount val="17"/>
                <c:pt idx="0">
                  <c:v>1.4598543153468249E-11</c:v>
                </c:pt>
                <c:pt idx="1">
                  <c:v>9.1290372550119722E-2</c:v>
                </c:pt>
                <c:pt idx="2">
                  <c:v>0.26703713454852557</c:v>
                </c:pt>
                <c:pt idx="3">
                  <c:v>0.35409712043019653</c:v>
                </c:pt>
                <c:pt idx="4">
                  <c:v>0.44881300722247247</c:v>
                </c:pt>
                <c:pt idx="5">
                  <c:v>0.5202999999284218</c:v>
                </c:pt>
                <c:pt idx="6">
                  <c:v>0.58713494408603251</c:v>
                </c:pt>
                <c:pt idx="7">
                  <c:v>0.67715090559014746</c:v>
                </c:pt>
                <c:pt idx="8">
                  <c:v>0.75630008679918881</c:v>
                </c:pt>
                <c:pt idx="9">
                  <c:v>0.8395610936010014</c:v>
                </c:pt>
                <c:pt idx="10">
                  <c:v>0.86001189433881553</c:v>
                </c:pt>
                <c:pt idx="11">
                  <c:v>0.99999985031904781</c:v>
                </c:pt>
                <c:pt idx="15">
                  <c:v>5.9266710660131201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'60'!$D$11:$E$11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'60'!$D$11:$E$11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45520"/>
        <c:axId val="280345912"/>
      </c:scatterChart>
      <c:valAx>
        <c:axId val="28034552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735840535380697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45912"/>
        <c:crosses val="autoZero"/>
        <c:crossBetween val="midCat"/>
        <c:majorUnit val="0.2"/>
      </c:valAx>
      <c:valAx>
        <c:axId val="28034591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27928009830171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45520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20781486901413"/>
          <c:y val="0.15015059048479285"/>
          <c:w val="0.68768970442035127"/>
          <c:h val="0.65465657451369685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'60'!$W$11:$W$27</c:f>
              <c:numCache>
                <c:formatCode>General</c:formatCode>
                <c:ptCount val="17"/>
                <c:pt idx="1">
                  <c:v>0.40992197910992317</c:v>
                </c:pt>
                <c:pt idx="2">
                  <c:v>0.39946092432075142</c:v>
                </c:pt>
                <c:pt idx="3">
                  <c:v>0.39341931492002941</c:v>
                </c:pt>
                <c:pt idx="4">
                  <c:v>0.4095049175478423</c:v>
                </c:pt>
                <c:pt idx="5">
                  <c:v>0.40982938549807435</c:v>
                </c:pt>
                <c:pt idx="6">
                  <c:v>0.40886408900865939</c:v>
                </c:pt>
                <c:pt idx="7">
                  <c:v>0.42393149845465222</c:v>
                </c:pt>
                <c:pt idx="8">
                  <c:v>0.42487491664528243</c:v>
                </c:pt>
                <c:pt idx="9">
                  <c:v>0.42808479357364781</c:v>
                </c:pt>
                <c:pt idx="10">
                  <c:v>0.43436873546918348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'60'!$V$11:$V$27</c:f>
              <c:numCache>
                <c:formatCode>General</c:formatCode>
                <c:ptCount val="17"/>
                <c:pt idx="0">
                  <c:v>0.37192817486788521</c:v>
                </c:pt>
                <c:pt idx="1">
                  <c:v>0.37424928701504967</c:v>
                </c:pt>
                <c:pt idx="2">
                  <c:v>0.3798547204207729</c:v>
                </c:pt>
                <c:pt idx="3">
                  <c:v>0.3832504637891691</c:v>
                </c:pt>
                <c:pt idx="4">
                  <c:v>0.38737285065726867</c:v>
                </c:pt>
                <c:pt idx="5">
                  <c:v>0.39068895207553511</c:v>
                </c:pt>
                <c:pt idx="6">
                  <c:v>0.39384280095659796</c:v>
                </c:pt>
                <c:pt idx="7">
                  <c:v>0.39798907552724566</c:v>
                </c:pt>
                <c:pt idx="8">
                  <c:v>0.40138627684677464</c:v>
                </c:pt>
                <c:pt idx="9">
                  <c:v>0.40461028563356255</c:v>
                </c:pt>
                <c:pt idx="10">
                  <c:v>0.40534283807262855</c:v>
                </c:pt>
                <c:pt idx="11">
                  <c:v>0.40974446506747425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32192"/>
        <c:axId val="291438424"/>
      </c:scatterChart>
      <c:valAx>
        <c:axId val="2803321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13523817344153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438424"/>
        <c:crossesAt val="0"/>
        <c:crossBetween val="midCat"/>
        <c:majorUnit val="0.2"/>
      </c:valAx>
      <c:valAx>
        <c:axId val="291438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/x1x2RT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8048188955133714E-2"/>
              <c:y val="0.384385511641069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332192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0179124962242"/>
          <c:y val="0.18918974401083899"/>
          <c:w val="0.72672885794639741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'8'!$H$11:$H$24</c:f>
              <c:numCache>
                <c:formatCode>General</c:formatCode>
                <c:ptCount val="14"/>
                <c:pt idx="1">
                  <c:v>1.7434025303055047</c:v>
                </c:pt>
                <c:pt idx="2">
                  <c:v>1.7060787325852602</c:v>
                </c:pt>
                <c:pt idx="3">
                  <c:v>1.6269893322266142</c:v>
                </c:pt>
                <c:pt idx="4">
                  <c:v>1.4554413970315392</c:v>
                </c:pt>
                <c:pt idx="5">
                  <c:v>1.3237739170069407</c:v>
                </c:pt>
                <c:pt idx="6">
                  <c:v>1.2069109215134588</c:v>
                </c:pt>
                <c:pt idx="7">
                  <c:v>1.0798735503036259</c:v>
                </c:pt>
                <c:pt idx="8">
                  <c:v>1.0426115108114791</c:v>
                </c:pt>
                <c:pt idx="9">
                  <c:v>1.0175124786763365</c:v>
                </c:pt>
                <c:pt idx="10">
                  <c:v>1.0037812110666597</c:v>
                </c:pt>
                <c:pt idx="11">
                  <c:v>1.0021586496888664</c:v>
                </c:pt>
                <c:pt idx="12">
                  <c:v>1.001054347798715</c:v>
                </c:pt>
                <c:pt idx="13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'8'!$I$11:$I$24</c:f>
              <c:numCache>
                <c:formatCode>General</c:formatCode>
                <c:ptCount val="14"/>
                <c:pt idx="0">
                  <c:v>1</c:v>
                </c:pt>
                <c:pt idx="1">
                  <c:v>0.99992535115471692</c:v>
                </c:pt>
                <c:pt idx="2">
                  <c:v>1.0007652797110131</c:v>
                </c:pt>
                <c:pt idx="3">
                  <c:v>1.0046887256679711</c:v>
                </c:pt>
                <c:pt idx="4">
                  <c:v>1.0242402013064731</c:v>
                </c:pt>
                <c:pt idx="5">
                  <c:v>1.0588795359246725</c:v>
                </c:pt>
                <c:pt idx="6">
                  <c:v>1.1216594060984828</c:v>
                </c:pt>
                <c:pt idx="7">
                  <c:v>1.2952988905600025</c:v>
                </c:pt>
                <c:pt idx="8">
                  <c:v>1.4143165731212632</c:v>
                </c:pt>
                <c:pt idx="9">
                  <c:v>1.5615871921405284</c:v>
                </c:pt>
                <c:pt idx="10">
                  <c:v>1.7333484159660966</c:v>
                </c:pt>
                <c:pt idx="11">
                  <c:v>1.8239260614733435</c:v>
                </c:pt>
                <c:pt idx="12">
                  <c:v>1.8917424215647121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'8'!$K$11:$K$24</c:f>
              <c:numCache>
                <c:formatCode>General</c:formatCode>
                <c:ptCount val="14"/>
                <c:pt idx="0">
                  <c:v>1.7579412214454835</c:v>
                </c:pt>
                <c:pt idx="1">
                  <c:v>1.7199782313707495</c:v>
                </c:pt>
                <c:pt idx="2">
                  <c:v>1.6881005310128556</c:v>
                </c:pt>
                <c:pt idx="3">
                  <c:v>1.6178537368470476</c:v>
                </c:pt>
                <c:pt idx="4">
                  <c:v>1.4570734913810937</c:v>
                </c:pt>
                <c:pt idx="5">
                  <c:v>1.3264668383369378</c:v>
                </c:pt>
                <c:pt idx="6">
                  <c:v>1.2069570069357842</c:v>
                </c:pt>
                <c:pt idx="7">
                  <c:v>1.0760911056560243</c:v>
                </c:pt>
                <c:pt idx="8">
                  <c:v>1.0393442105122563</c:v>
                </c:pt>
                <c:pt idx="9">
                  <c:v>1.015829407429222</c:v>
                </c:pt>
                <c:pt idx="10">
                  <c:v>1.0036754545161233</c:v>
                </c:pt>
                <c:pt idx="11">
                  <c:v>1.0010483355290112</c:v>
                </c:pt>
                <c:pt idx="12">
                  <c:v>1.0001691299489592</c:v>
                </c:pt>
                <c:pt idx="13">
                  <c:v>1.0000000000000073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'8'!$L$11:$L$24</c:f>
              <c:numCache>
                <c:formatCode>General</c:formatCode>
                <c:ptCount val="14"/>
                <c:pt idx="0">
                  <c:v>1</c:v>
                </c:pt>
                <c:pt idx="1">
                  <c:v>1.000244288334734</c:v>
                </c:pt>
                <c:pt idx="2">
                  <c:v>1.0008572919909502</c:v>
                </c:pt>
                <c:pt idx="3">
                  <c:v>1.003753648281398</c:v>
                </c:pt>
                <c:pt idx="4">
                  <c:v>1.021688062648328</c:v>
                </c:pt>
                <c:pt idx="5">
                  <c:v>1.0561907744268502</c:v>
                </c:pt>
                <c:pt idx="6">
                  <c:v>1.1210079639486836</c:v>
                </c:pt>
                <c:pt idx="7">
                  <c:v>1.2989791116581364</c:v>
                </c:pt>
                <c:pt idx="8">
                  <c:v>1.4174326871490264</c:v>
                </c:pt>
                <c:pt idx="9">
                  <c:v>1.5590041526032941</c:v>
                </c:pt>
                <c:pt idx="10">
                  <c:v>1.7172023700746888</c:v>
                </c:pt>
                <c:pt idx="11">
                  <c:v>1.7963580717616101</c:v>
                </c:pt>
                <c:pt idx="12">
                  <c:v>1.8547532303813816</c:v>
                </c:pt>
                <c:pt idx="13">
                  <c:v>1.8959341480335654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88880"/>
        <c:axId val="291389272"/>
      </c:scatterChart>
      <c:valAx>
        <c:axId val="2913888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of Acetone</a:t>
                </a:r>
              </a:p>
            </c:rich>
          </c:tx>
          <c:layout>
            <c:manualLayout>
              <c:xMode val="edge"/>
              <c:yMode val="edge"/>
              <c:x val="0.3423433463053277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89272"/>
        <c:crosses val="autoZero"/>
        <c:crossBetween val="midCat"/>
      </c:valAx>
      <c:valAx>
        <c:axId val="291389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13222636374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8888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0179124962242"/>
          <c:y val="0.18918974401083899"/>
          <c:w val="0.72672885794639741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'60'!$H$11:$H$27</c:f>
              <c:numCache>
                <c:formatCode>General</c:formatCode>
                <c:ptCount val="17"/>
                <c:pt idx="1">
                  <c:v>1.3894277102326171</c:v>
                </c:pt>
                <c:pt idx="2">
                  <c:v>1.2657127933020376</c:v>
                </c:pt>
                <c:pt idx="3">
                  <c:v>1.1975938473864873</c:v>
                </c:pt>
                <c:pt idx="4">
                  <c:v>1.1430831897066436</c:v>
                </c:pt>
                <c:pt idx="5">
                  <c:v>1.1043029437950187</c:v>
                </c:pt>
                <c:pt idx="6">
                  <c:v>1.0759862230054096</c:v>
                </c:pt>
                <c:pt idx="7">
                  <c:v>1.0419419937743963</c:v>
                </c:pt>
                <c:pt idx="8">
                  <c:v>1.0222376266926476</c:v>
                </c:pt>
                <c:pt idx="9">
                  <c:v>1.0085677533338673</c:v>
                </c:pt>
                <c:pt idx="10">
                  <c:v>1.007827630525586</c:v>
                </c:pt>
                <c:pt idx="11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'60'!$I$11:$I$27</c:f>
              <c:numCache>
                <c:formatCode>General</c:formatCode>
                <c:ptCount val="17"/>
                <c:pt idx="0">
                  <c:v>1</c:v>
                </c:pt>
                <c:pt idx="1">
                  <c:v>1.0038604301401561</c:v>
                </c:pt>
                <c:pt idx="2">
                  <c:v>1.0217079265930724</c:v>
                </c:pt>
                <c:pt idx="3">
                  <c:v>1.04189448739389</c:v>
                </c:pt>
                <c:pt idx="4">
                  <c:v>1.0780961045710364</c:v>
                </c:pt>
                <c:pt idx="5">
                  <c:v>1.1114025627097412</c:v>
                </c:pt>
                <c:pt idx="6">
                  <c:v>1.1448922707617224</c:v>
                </c:pt>
                <c:pt idx="7">
                  <c:v>1.2219313931810982</c:v>
                </c:pt>
                <c:pt idx="8">
                  <c:v>1.2871906437920559</c:v>
                </c:pt>
                <c:pt idx="9">
                  <c:v>1.370028615910494</c:v>
                </c:pt>
                <c:pt idx="10">
                  <c:v>1.3809452828462887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'60'!$K$11:$K$27</c:f>
              <c:numCache>
                <c:formatCode>General</c:formatCode>
                <c:ptCount val="17"/>
                <c:pt idx="0">
                  <c:v>1.4505287931190445</c:v>
                </c:pt>
                <c:pt idx="1">
                  <c:v>1.3877343777032869</c:v>
                </c:pt>
                <c:pt idx="2">
                  <c:v>1.2615632180903595</c:v>
                </c:pt>
                <c:pt idx="3">
                  <c:v>1.2002815011880774</c:v>
                </c:pt>
                <c:pt idx="4">
                  <c:v>1.1390168957283977</c:v>
                </c:pt>
                <c:pt idx="5">
                  <c:v>1.0990400257489346</c:v>
                </c:pt>
                <c:pt idx="6">
                  <c:v>1.0679743700550379</c:v>
                </c:pt>
                <c:pt idx="7">
                  <c:v>1.0365934280430904</c:v>
                </c:pt>
                <c:pt idx="8">
                  <c:v>1.0183348406886792</c:v>
                </c:pt>
                <c:pt idx="9">
                  <c:v>1.0068791289305923</c:v>
                </c:pt>
                <c:pt idx="10">
                  <c:v>1.0050515314202155</c:v>
                </c:pt>
                <c:pt idx="11">
                  <c:v>1.0000000000000044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'60'!$L$11:$L$27</c:f>
              <c:numCache>
                <c:formatCode>General</c:formatCode>
                <c:ptCount val="17"/>
                <c:pt idx="0">
                  <c:v>1</c:v>
                </c:pt>
                <c:pt idx="1">
                  <c:v>1.001544836957418</c:v>
                </c:pt>
                <c:pt idx="2">
                  <c:v>1.0181651107418541</c:v>
                </c:pt>
                <c:pt idx="3">
                  <c:v>1.0374131182593431</c:v>
                </c:pt>
                <c:pt idx="4">
                  <c:v>1.0707356600405959</c:v>
                </c:pt>
                <c:pt idx="5">
                  <c:v>1.1061058094172553</c:v>
                </c:pt>
                <c:pt idx="6">
                  <c:v>1.1475182176007834</c:v>
                </c:pt>
                <c:pt idx="7">
                  <c:v>1.2148201506108478</c:v>
                </c:pt>
                <c:pt idx="8">
                  <c:v>1.2822756936842059</c:v>
                </c:pt>
                <c:pt idx="9">
                  <c:v>1.3580339111814403</c:v>
                </c:pt>
                <c:pt idx="10">
                  <c:v>1.3770053709573906</c:v>
                </c:pt>
                <c:pt idx="11">
                  <c:v>1.506432659997303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39208"/>
        <c:axId val="291439600"/>
      </c:scatterChart>
      <c:valAx>
        <c:axId val="2914392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of Acetone</a:t>
                </a:r>
              </a:p>
            </c:rich>
          </c:tx>
          <c:layout>
            <c:manualLayout>
              <c:xMode val="edge"/>
              <c:yMode val="edge"/>
              <c:x val="0.3423433463053277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439600"/>
        <c:crosses val="autoZero"/>
        <c:crossBetween val="midCat"/>
      </c:valAx>
      <c:valAx>
        <c:axId val="29143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13222636374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4392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9576763023072"/>
          <c:y val="0.17717769677205555"/>
          <c:w val="0.73573789337548501"/>
          <c:h val="0.6846866926106554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'60'!$C$11:$C$27</c:f>
              <c:numCache>
                <c:formatCode>General</c:formatCode>
                <c:ptCount val="17"/>
                <c:pt idx="0">
                  <c:v>388.85999951834737</c:v>
                </c:pt>
                <c:pt idx="1">
                  <c:v>400.67</c:v>
                </c:pt>
                <c:pt idx="2">
                  <c:v>419.47</c:v>
                </c:pt>
                <c:pt idx="3">
                  <c:v>425.49</c:v>
                </c:pt>
                <c:pt idx="4">
                  <c:v>431.38</c:v>
                </c:pt>
                <c:pt idx="5">
                  <c:v>432.18</c:v>
                </c:pt>
                <c:pt idx="6">
                  <c:v>430.67</c:v>
                </c:pt>
                <c:pt idx="7">
                  <c:v>427.35</c:v>
                </c:pt>
                <c:pt idx="8">
                  <c:v>420.64</c:v>
                </c:pt>
                <c:pt idx="9">
                  <c:v>411.94</c:v>
                </c:pt>
                <c:pt idx="10">
                  <c:v>409.65</c:v>
                </c:pt>
                <c:pt idx="11">
                  <c:v>391.35999992427935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'60'!$D$11:$D$27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'60'!$P$11:$P$27</c:f>
              <c:numCache>
                <c:formatCode>General</c:formatCode>
                <c:ptCount val="17"/>
                <c:pt idx="0">
                  <c:v>388.85999952013555</c:v>
                </c:pt>
                <c:pt idx="1">
                  <c:v>399.78553449320498</c:v>
                </c:pt>
                <c:pt idx="2">
                  <c:v>418.03664804310478</c:v>
                </c:pt>
                <c:pt idx="3">
                  <c:v>424.64188317218589</c:v>
                </c:pt>
                <c:pt idx="4">
                  <c:v>429.06680212631295</c:v>
                </c:pt>
                <c:pt idx="5">
                  <c:v>430.12030445305504</c:v>
                </c:pt>
                <c:pt idx="6">
                  <c:v>429.18508474367434</c:v>
                </c:pt>
                <c:pt idx="7">
                  <c:v>425.06155098576136</c:v>
                </c:pt>
                <c:pt idx="8">
                  <c:v>419.03399663731312</c:v>
                </c:pt>
                <c:pt idx="9">
                  <c:v>410.77951553022478</c:v>
                </c:pt>
                <c:pt idx="10">
                  <c:v>408.5159536394483</c:v>
                </c:pt>
                <c:pt idx="11">
                  <c:v>391.36001936742144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40384"/>
        <c:axId val="291440776"/>
      </c:scatterChart>
      <c:valAx>
        <c:axId val="29144038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633644289731987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440776"/>
        <c:crosses val="autoZero"/>
        <c:crossBetween val="midCat"/>
      </c:valAx>
      <c:valAx>
        <c:axId val="29144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5045059840289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4403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'60'!$D$11:$D$22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'60'!$O$11:$O$22</c:f>
              <c:numCache>
                <c:formatCode>General</c:formatCode>
                <c:ptCount val="12"/>
                <c:pt idx="0">
                  <c:v>1.4505287931190445</c:v>
                </c:pt>
                <c:pt idx="1">
                  <c:v>1.3855938610986902</c:v>
                </c:pt>
                <c:pt idx="2">
                  <c:v>1.2390556352605335</c:v>
                </c:pt>
                <c:pt idx="3">
                  <c:v>1.1569947208707061</c:v>
                </c:pt>
                <c:pt idx="4">
                  <c:v>1.0637703947258215</c:v>
                </c:pt>
                <c:pt idx="5">
                  <c:v>0.99361201830045232</c:v>
                </c:pt>
                <c:pt idx="6">
                  <c:v>0.93068184336798176</c:v>
                </c:pt>
                <c:pt idx="7">
                  <c:v>0.85328962276585574</c:v>
                </c:pt>
                <c:pt idx="8">
                  <c:v>0.79416216473917733</c:v>
                </c:pt>
                <c:pt idx="9">
                  <c:v>0.74142414312367488</c:v>
                </c:pt>
                <c:pt idx="10">
                  <c:v>0.7298820706279695</c:v>
                </c:pt>
                <c:pt idx="11">
                  <c:v>0.66381991479247049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'60'!$D$11:$D$22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6.7199999999999996E-2</c:v>
                </c:pt>
                <c:pt idx="2">
                  <c:v>0.2261</c:v>
                </c:pt>
                <c:pt idx="3" formatCode="0.0000">
                  <c:v>0.3201</c:v>
                </c:pt>
                <c:pt idx="4">
                  <c:v>0.432</c:v>
                </c:pt>
                <c:pt idx="5">
                  <c:v>0.52029999999999998</c:v>
                </c:pt>
                <c:pt idx="6">
                  <c:v>0.60289999999999999</c:v>
                </c:pt>
                <c:pt idx="7">
                  <c:v>0.70950000000000002</c:v>
                </c:pt>
                <c:pt idx="8">
                  <c:v>0.79520000000000002</c:v>
                </c:pt>
                <c:pt idx="9">
                  <c:v>0.87519999999999998</c:v>
                </c:pt>
                <c:pt idx="10">
                  <c:v>0.89319999999999999</c:v>
                </c:pt>
                <c:pt idx="11">
                  <c:v>0.99999990000000005</c:v>
                </c:pt>
              </c:numCache>
            </c:numRef>
          </c:xVal>
          <c:yVal>
            <c:numRef>
              <c:f>'60'!$J$11:$J$22</c:f>
              <c:numCache>
                <c:formatCode>General</c:formatCode>
                <c:ptCount val="12"/>
                <c:pt idx="0">
                  <c:v>0</c:v>
                </c:pt>
                <c:pt idx="1">
                  <c:v>1.3840845485249669</c:v>
                </c:pt>
                <c:pt idx="2">
                  <c:v>1.2388205673637176</c:v>
                </c:pt>
                <c:pt idx="3">
                  <c:v>1.1494387021684422</c:v>
                </c:pt>
                <c:pt idx="4">
                  <c:v>1.060279491652059</c:v>
                </c:pt>
                <c:pt idx="5">
                  <c:v>0.99361201858540549</c:v>
                </c:pt>
                <c:pt idx="6">
                  <c:v>0.9398143829633262</c:v>
                </c:pt>
                <c:pt idx="7">
                  <c:v>0.85270089596591103</c:v>
                </c:pt>
                <c:pt idx="8">
                  <c:v>0.79416179073609616</c:v>
                </c:pt>
                <c:pt idx="9">
                  <c:v>0.73616546517431181</c:v>
                </c:pt>
                <c:pt idx="10">
                  <c:v>0.72980996643714668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41560"/>
        <c:axId val="291447440"/>
      </c:scatterChart>
      <c:valAx>
        <c:axId val="29144156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447440"/>
        <c:crosses val="autoZero"/>
        <c:crossBetween val="midCat"/>
      </c:valAx>
      <c:valAx>
        <c:axId val="29144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441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21986210779756"/>
          <c:y val="0.19219275582053486"/>
          <c:w val="0.66666862175248032"/>
          <c:h val="0.59759935012947552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'70'!$D$11:$D$27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0.13980000000000001</c:v>
                </c:pt>
                <c:pt idx="2">
                  <c:v>0.23089999999999999</c:v>
                </c:pt>
                <c:pt idx="3" formatCode="0.0000">
                  <c:v>0.315</c:v>
                </c:pt>
                <c:pt idx="4">
                  <c:v>0.39360000000000001</c:v>
                </c:pt>
                <c:pt idx="5">
                  <c:v>0.44109999999999999</c:v>
                </c:pt>
                <c:pt idx="6">
                  <c:v>0.50039999999999996</c:v>
                </c:pt>
                <c:pt idx="7">
                  <c:v>0.54849999999999999</c:v>
                </c:pt>
                <c:pt idx="8">
                  <c:v>0.59630000000000005</c:v>
                </c:pt>
                <c:pt idx="9">
                  <c:v>0.66500000000000004</c:v>
                </c:pt>
                <c:pt idx="10">
                  <c:v>0.79490000000000005</c:v>
                </c:pt>
                <c:pt idx="11" formatCode="0.0000">
                  <c:v>0.86140000000000005</c:v>
                </c:pt>
                <c:pt idx="12" formatCode="0.0000">
                  <c:v>0.94320000000000004</c:v>
                </c:pt>
                <c:pt idx="13">
                  <c:v>0.99999990000000005</c:v>
                </c:pt>
              </c:numCache>
            </c:numRef>
          </c:xVal>
          <c:yVal>
            <c:numRef>
              <c:f>'70'!$F$11:$F$27</c:f>
              <c:numCache>
                <c:formatCode>General</c:formatCode>
                <c:ptCount val="17"/>
                <c:pt idx="0">
                  <c:v>9.9999999999999998E-13</c:v>
                </c:pt>
                <c:pt idx="1">
                  <c:v>0.17699999999999999</c:v>
                </c:pt>
                <c:pt idx="2">
                  <c:v>0.2707</c:v>
                </c:pt>
                <c:pt idx="3">
                  <c:v>0.34760000000000002</c:v>
                </c:pt>
                <c:pt idx="4">
                  <c:v>0.41649999999999998</c:v>
                </c:pt>
                <c:pt idx="5">
                  <c:v>0.45910000000000001</c:v>
                </c:pt>
                <c:pt idx="6">
                  <c:v>0.50760000000000005</c:v>
                </c:pt>
                <c:pt idx="7">
                  <c:v>0.53759999999999997</c:v>
                </c:pt>
                <c:pt idx="8">
                  <c:v>0.57599999999999996</c:v>
                </c:pt>
                <c:pt idx="9">
                  <c:v>0.6452</c:v>
                </c:pt>
                <c:pt idx="10">
                  <c:v>0.76090000000000002</c:v>
                </c:pt>
                <c:pt idx="11">
                  <c:v>0.82869999999999999</c:v>
                </c:pt>
                <c:pt idx="12">
                  <c:v>0.92310000000000003</c:v>
                </c:pt>
                <c:pt idx="13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'70'!$D$11:$D$27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0.13980000000000001</c:v>
                </c:pt>
                <c:pt idx="2">
                  <c:v>0.23089999999999999</c:v>
                </c:pt>
                <c:pt idx="3" formatCode="0.0000">
                  <c:v>0.315</c:v>
                </c:pt>
                <c:pt idx="4">
                  <c:v>0.39360000000000001</c:v>
                </c:pt>
                <c:pt idx="5">
                  <c:v>0.44109999999999999</c:v>
                </c:pt>
                <c:pt idx="6">
                  <c:v>0.50039999999999996</c:v>
                </c:pt>
                <c:pt idx="7">
                  <c:v>0.54849999999999999</c:v>
                </c:pt>
                <c:pt idx="8">
                  <c:v>0.59630000000000005</c:v>
                </c:pt>
                <c:pt idx="9">
                  <c:v>0.66500000000000004</c:v>
                </c:pt>
                <c:pt idx="10">
                  <c:v>0.79490000000000005</c:v>
                </c:pt>
                <c:pt idx="11" formatCode="0.0000">
                  <c:v>0.86140000000000005</c:v>
                </c:pt>
                <c:pt idx="12" formatCode="0.0000">
                  <c:v>0.94320000000000004</c:v>
                </c:pt>
                <c:pt idx="13">
                  <c:v>0.99999990000000005</c:v>
                </c:pt>
              </c:numCache>
            </c:numRef>
          </c:xVal>
          <c:yVal>
            <c:numRef>
              <c:f>'70'!$R$11:$R$27</c:f>
              <c:numCache>
                <c:formatCode>General</c:formatCode>
                <c:ptCount val="17"/>
                <c:pt idx="0">
                  <c:v>1.4416818784628542E-11</c:v>
                </c:pt>
                <c:pt idx="1">
                  <c:v>0.17579356113508268</c:v>
                </c:pt>
                <c:pt idx="2">
                  <c:v>0.27013901153067454</c:v>
                </c:pt>
                <c:pt idx="3">
                  <c:v>0.34837923280025468</c:v>
                </c:pt>
                <c:pt idx="4">
                  <c:v>0.41649999837937529</c:v>
                </c:pt>
                <c:pt idx="5">
                  <c:v>0.45619743220898507</c:v>
                </c:pt>
                <c:pt idx="6">
                  <c:v>0.50494044595479803</c:v>
                </c:pt>
                <c:pt idx="7">
                  <c:v>0.54429605913758738</c:v>
                </c:pt>
                <c:pt idx="8">
                  <c:v>0.58367870133257227</c:v>
                </c:pt>
                <c:pt idx="9">
                  <c:v>0.64159931131139702</c:v>
                </c:pt>
                <c:pt idx="10">
                  <c:v>0.76002497692678062</c:v>
                </c:pt>
                <c:pt idx="11">
                  <c:v>0.82830637793348383</c:v>
                </c:pt>
                <c:pt idx="12">
                  <c:v>0.92360288515168598</c:v>
                </c:pt>
                <c:pt idx="13">
                  <c:v>0.99999985630691102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'70'!$D$11:$E$11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'70'!$D$11:$E$11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03416"/>
        <c:axId val="230601456"/>
      </c:scatterChart>
      <c:valAx>
        <c:axId val="23060341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435539354411111"/>
              <c:y val="0.89790053109906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01456"/>
        <c:crosses val="autoZero"/>
        <c:crossBetween val="midCat"/>
        <c:majorUnit val="0.2"/>
      </c:valAx>
      <c:valAx>
        <c:axId val="2306014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4.2042165335741996E-2"/>
              <c:y val="0.28228311011141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03416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318372039144729"/>
          <c:w val="0.69069271623004713"/>
          <c:h val="0.62162344460704244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'40'!$W$11:$W$27</c:f>
              <c:numCache>
                <c:formatCode>General</c:formatCode>
                <c:ptCount val="17"/>
                <c:pt idx="1">
                  <c:v>0.43557840403686537</c:v>
                </c:pt>
                <c:pt idx="2">
                  <c:v>0.4356255924053713</c:v>
                </c:pt>
                <c:pt idx="3">
                  <c:v>0.43752132617275352</c:v>
                </c:pt>
                <c:pt idx="4">
                  <c:v>0.4458574353106094</c:v>
                </c:pt>
                <c:pt idx="5">
                  <c:v>0.44830481852063481</c:v>
                </c:pt>
                <c:pt idx="6">
                  <c:v>0.44701664232918442</c:v>
                </c:pt>
                <c:pt idx="7">
                  <c:v>0.45695200355247556</c:v>
                </c:pt>
                <c:pt idx="8">
                  <c:v>0.46249713088775568</c:v>
                </c:pt>
                <c:pt idx="9">
                  <c:v>0.47138033740593405</c:v>
                </c:pt>
                <c:pt idx="10">
                  <c:v>0.46940918058553832</c:v>
                </c:pt>
                <c:pt idx="11">
                  <c:v>0.4755034443599882</c:v>
                </c:pt>
                <c:pt idx="12">
                  <c:v>0.48006669382868733</c:v>
                </c:pt>
                <c:pt idx="13">
                  <c:v>0.48490205827651295</c:v>
                </c:pt>
                <c:pt idx="14">
                  <c:v>0.47623094490799706</c:v>
                </c:pt>
                <c:pt idx="15">
                  <c:v>0.47884575377977118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'40'!$V$11:$V$27</c:f>
              <c:numCache>
                <c:formatCode>General</c:formatCode>
                <c:ptCount val="17"/>
                <c:pt idx="0">
                  <c:v>0.42360427354754926</c:v>
                </c:pt>
                <c:pt idx="1">
                  <c:v>0.42732721482575126</c:v>
                </c:pt>
                <c:pt idx="2">
                  <c:v>0.4284288399636963</c:v>
                </c:pt>
                <c:pt idx="3">
                  <c:v>0.43093873109889524</c:v>
                </c:pt>
                <c:pt idx="4">
                  <c:v>0.43435338066169948</c:v>
                </c:pt>
                <c:pt idx="5">
                  <c:v>0.43813404025173103</c:v>
                </c:pt>
                <c:pt idx="6">
                  <c:v>0.44491101038192782</c:v>
                </c:pt>
                <c:pt idx="7">
                  <c:v>0.44864771460248071</c:v>
                </c:pt>
                <c:pt idx="8">
                  <c:v>0.45575647254407814</c:v>
                </c:pt>
                <c:pt idx="9">
                  <c:v>0.46406569241282136</c:v>
                </c:pt>
                <c:pt idx="10">
                  <c:v>0.4656963524516588</c:v>
                </c:pt>
                <c:pt idx="11">
                  <c:v>0.47123684075752054</c:v>
                </c:pt>
                <c:pt idx="12">
                  <c:v>0.47391019131696466</c:v>
                </c:pt>
                <c:pt idx="13">
                  <c:v>0.48183434857380097</c:v>
                </c:pt>
                <c:pt idx="14">
                  <c:v>0.48385324062268154</c:v>
                </c:pt>
                <c:pt idx="15">
                  <c:v>0.48507121891685928</c:v>
                </c:pt>
                <c:pt idx="16">
                  <c:v>0.48963841856341395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4160"/>
        <c:axId val="164893376"/>
      </c:scatterChart>
      <c:valAx>
        <c:axId val="1648941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13523817344153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893376"/>
        <c:crossesAt val="0"/>
        <c:crossBetween val="midCat"/>
        <c:majorUnit val="0.2"/>
      </c:valAx>
      <c:valAx>
        <c:axId val="16489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/x1x2RT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5045177145437855E-2"/>
              <c:y val="0.39940057068954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894160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Activity coefficients</a:t>
            </a:r>
          </a:p>
        </c:rich>
      </c:tx>
      <c:layout>
        <c:manualLayout>
          <c:xMode val="edge"/>
          <c:yMode val="edge"/>
          <c:x val="0.28828913373080228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0179124962242"/>
          <c:y val="0.18918974401083899"/>
          <c:w val="0.72672885794639741"/>
          <c:h val="0.60961139736825898"/>
        </c:manualLayout>
      </c:layout>
      <c:scatterChart>
        <c:scatterStyle val="smoothMarker"/>
        <c:varyColors val="0"/>
        <c:ser>
          <c:idx val="0"/>
          <c:order val="0"/>
          <c:tx>
            <c:v>Experimental gamma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'40'!$H$11:$H$27</c:f>
              <c:numCache>
                <c:formatCode>General</c:formatCode>
                <c:ptCount val="17"/>
                <c:pt idx="1">
                  <c:v>1.4500319251275291</c:v>
                </c:pt>
                <c:pt idx="2">
                  <c:v>1.4424104744559001</c:v>
                </c:pt>
                <c:pt idx="3">
                  <c:v>1.3999057624485445</c:v>
                </c:pt>
                <c:pt idx="4">
                  <c:v>1.344130003160046</c:v>
                </c:pt>
                <c:pt idx="5">
                  <c:v>1.2963911207256316</c:v>
                </c:pt>
                <c:pt idx="6">
                  <c:v>1.2117609179649813</c:v>
                </c:pt>
                <c:pt idx="7">
                  <c:v>1.1776444563454933</c:v>
                </c:pt>
                <c:pt idx="8">
                  <c:v>1.1210031134873009</c:v>
                </c:pt>
                <c:pt idx="9">
                  <c:v>1.0673740525062563</c:v>
                </c:pt>
                <c:pt idx="10">
                  <c:v>1.0513849437151572</c:v>
                </c:pt>
                <c:pt idx="11">
                  <c:v>1.0355644463194267</c:v>
                </c:pt>
                <c:pt idx="12">
                  <c:v>1.0251383356959181</c:v>
                </c:pt>
                <c:pt idx="13">
                  <c:v>1.0062363726891401</c:v>
                </c:pt>
                <c:pt idx="14">
                  <c:v>1.002482438006</c:v>
                </c:pt>
                <c:pt idx="15">
                  <c:v>1.0013165083517064</c:v>
                </c:pt>
                <c:pt idx="16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Experimental gamma 2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'40'!$I$11:$I$27</c:f>
              <c:numCache>
                <c:formatCode>General</c:formatCode>
                <c:ptCount val="17"/>
                <c:pt idx="0">
                  <c:v>1</c:v>
                </c:pt>
                <c:pt idx="1">
                  <c:v>1.0024792265172753</c:v>
                </c:pt>
                <c:pt idx="2">
                  <c:v>1.0030051493827423</c:v>
                </c:pt>
                <c:pt idx="3">
                  <c:v>1.0066513809006234</c:v>
                </c:pt>
                <c:pt idx="4">
                  <c:v>1.0154671392309671</c:v>
                </c:pt>
                <c:pt idx="5">
                  <c:v>1.0259221173019004</c:v>
                </c:pt>
                <c:pt idx="6">
                  <c:v>1.0544021805624537</c:v>
                </c:pt>
                <c:pt idx="7">
                  <c:v>1.076438972442161</c:v>
                </c:pt>
                <c:pt idx="8">
                  <c:v>1.1237179776427193</c:v>
                </c:pt>
                <c:pt idx="9">
                  <c:v>1.2038242786582187</c:v>
                </c:pt>
                <c:pt idx="10">
                  <c:v>1.2371012479114063</c:v>
                </c:pt>
                <c:pt idx="11">
                  <c:v>1.2863759660166858</c:v>
                </c:pt>
                <c:pt idx="12">
                  <c:v>1.3311882598675604</c:v>
                </c:pt>
                <c:pt idx="13">
                  <c:v>1.4636031304078743</c:v>
                </c:pt>
                <c:pt idx="14">
                  <c:v>1.5066037500312099</c:v>
                </c:pt>
                <c:pt idx="15">
                  <c:v>1.5364229454471734</c:v>
                </c:pt>
              </c:numCache>
            </c:numRef>
          </c:yVal>
          <c:smooth val="1"/>
        </c:ser>
        <c:ser>
          <c:idx val="1"/>
          <c:order val="2"/>
          <c:tx>
            <c:v>Model gamma 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'40'!$K$11:$K$27</c:f>
              <c:numCache>
                <c:formatCode>General</c:formatCode>
                <c:ptCount val="17"/>
                <c:pt idx="0">
                  <c:v>1.5274570190093575</c:v>
                </c:pt>
                <c:pt idx="1">
                  <c:v>1.4581754264079296</c:v>
                </c:pt>
                <c:pt idx="2">
                  <c:v>1.4390267166219517</c:v>
                </c:pt>
                <c:pt idx="3">
                  <c:v>1.3975631726551645</c:v>
                </c:pt>
                <c:pt idx="4">
                  <c:v>1.3457067235931319</c:v>
                </c:pt>
                <c:pt idx="5">
                  <c:v>1.2939483662951405</c:v>
                </c:pt>
                <c:pt idx="6">
                  <c:v>1.2145137815938916</c:v>
                </c:pt>
                <c:pt idx="7">
                  <c:v>1.177304805970198</c:v>
                </c:pt>
                <c:pt idx="8">
                  <c:v>1.1179781822020667</c:v>
                </c:pt>
                <c:pt idx="9">
                  <c:v>1.0655912307812725</c:v>
                </c:pt>
                <c:pt idx="10">
                  <c:v>1.0572657341661769</c:v>
                </c:pt>
                <c:pt idx="11">
                  <c:v>1.0334423124081238</c:v>
                </c:pt>
                <c:pt idx="12">
                  <c:v>1.0243227086339228</c:v>
                </c:pt>
                <c:pt idx="13">
                  <c:v>1.0059340563248234</c:v>
                </c:pt>
                <c:pt idx="14">
                  <c:v>1.0032565961598467</c:v>
                </c:pt>
                <c:pt idx="15">
                  <c:v>1.0020284516455196</c:v>
                </c:pt>
                <c:pt idx="16">
                  <c:v>1.0000000000000056</c:v>
                </c:pt>
              </c:numCache>
            </c:numRef>
          </c:yVal>
          <c:smooth val="1"/>
        </c:ser>
        <c:ser>
          <c:idx val="3"/>
          <c:order val="3"/>
          <c:tx>
            <c:v>Model gamma 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'40'!$L$11:$L$27</c:f>
              <c:numCache>
                <c:formatCode>General</c:formatCode>
                <c:ptCount val="17"/>
                <c:pt idx="0">
                  <c:v>1</c:v>
                </c:pt>
                <c:pt idx="1">
                  <c:v>1.0015575738624121</c:v>
                </c:pt>
                <c:pt idx="2">
                  <c:v>1.0026171133555972</c:v>
                </c:pt>
                <c:pt idx="3">
                  <c:v>1.0060587999884467</c:v>
                </c:pt>
                <c:pt idx="4">
                  <c:v>1.0130588047869997</c:v>
                </c:pt>
                <c:pt idx="5">
                  <c:v>1.0239890685961084</c:v>
                </c:pt>
                <c:pt idx="6">
                  <c:v>1.0522984288578703</c:v>
                </c:pt>
                <c:pt idx="7">
                  <c:v>1.0729639937850199</c:v>
                </c:pt>
                <c:pt idx="8">
                  <c:v>1.1230863870608059</c:v>
                </c:pt>
                <c:pt idx="9">
                  <c:v>1.2018135854173622</c:v>
                </c:pt>
                <c:pt idx="10">
                  <c:v>1.2201182099816945</c:v>
                </c:pt>
                <c:pt idx="11">
                  <c:v>1.2901633089836178</c:v>
                </c:pt>
                <c:pt idx="12">
                  <c:v>1.3286572191517936</c:v>
                </c:pt>
                <c:pt idx="13">
                  <c:v>1.4633728131802364</c:v>
                </c:pt>
                <c:pt idx="14">
                  <c:v>1.5032104292891149</c:v>
                </c:pt>
                <c:pt idx="15">
                  <c:v>1.5284431881563874</c:v>
                </c:pt>
                <c:pt idx="16">
                  <c:v>1.6317259391584085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69792"/>
        <c:axId val="225669400"/>
      </c:scatterChart>
      <c:valAx>
        <c:axId val="2256697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of Acetone</a:t>
                </a:r>
              </a:p>
            </c:rich>
          </c:tx>
          <c:layout>
            <c:manualLayout>
              <c:xMode val="edge"/>
              <c:yMode val="edge"/>
              <c:x val="0.3423433463053277"/>
              <c:y val="0.88889149566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69400"/>
        <c:crosses val="autoZero"/>
        <c:crossBetween val="midCat"/>
      </c:valAx>
      <c:valAx>
        <c:axId val="22566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Activity coefficients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3213222636374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697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19576763023072"/>
          <c:y val="0.17717769677205555"/>
          <c:w val="0.73573789337548501"/>
          <c:h val="0.6336354918458257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'40'!$C$11:$C$27</c:f>
              <c:numCache>
                <c:formatCode>0.00</c:formatCode>
                <c:ptCount val="17"/>
                <c:pt idx="0" formatCode="General">
                  <c:v>184.85999999999981</c:v>
                </c:pt>
                <c:pt idx="1">
                  <c:v>190.47</c:v>
                </c:pt>
                <c:pt idx="2">
                  <c:v>191.95</c:v>
                </c:pt>
                <c:pt idx="3" formatCode="General">
                  <c:v>194.9</c:v>
                </c:pt>
                <c:pt idx="4" formatCode="General">
                  <c:v>198.36</c:v>
                </c:pt>
                <c:pt idx="5" formatCode="General">
                  <c:v>201.29</c:v>
                </c:pt>
                <c:pt idx="6" formatCode="General">
                  <c:v>204.36</c:v>
                </c:pt>
                <c:pt idx="7" formatCode="General">
                  <c:v>205.73</c:v>
                </c:pt>
                <c:pt idx="8" formatCode="General">
                  <c:v>206.26</c:v>
                </c:pt>
                <c:pt idx="9" formatCode="General">
                  <c:v>204.81</c:v>
                </c:pt>
                <c:pt idx="10" formatCode="General">
                  <c:v>204.23</c:v>
                </c:pt>
                <c:pt idx="11" formatCode="General">
                  <c:v>201.45</c:v>
                </c:pt>
                <c:pt idx="12" formatCode="General">
                  <c:v>199.89</c:v>
                </c:pt>
                <c:pt idx="13" formatCode="General">
                  <c:v>192.94</c:v>
                </c:pt>
                <c:pt idx="14" formatCode="General">
                  <c:v>190.56</c:v>
                </c:pt>
                <c:pt idx="15" formatCode="General">
                  <c:v>189.14</c:v>
                </c:pt>
                <c:pt idx="16" formatCode="General">
                  <c:v>182.80000000000024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'40'!$D$11:$D$27</c:f>
              <c:numCache>
                <c:formatCode>General</c:formatCode>
                <c:ptCount val="17"/>
                <c:pt idx="0">
                  <c:v>9.9999999999999994E-12</c:v>
                </c:pt>
                <c:pt idx="1">
                  <c:v>6.4600000000000005E-2</c:v>
                </c:pt>
                <c:pt idx="2">
                  <c:v>8.3500000000000005E-2</c:v>
                </c:pt>
                <c:pt idx="3">
                  <c:v>0.12620000000000001</c:v>
                </c:pt>
                <c:pt idx="4">
                  <c:v>0.1835</c:v>
                </c:pt>
                <c:pt idx="5">
                  <c:v>0.24590000000000001</c:v>
                </c:pt>
                <c:pt idx="6" formatCode="0.0000">
                  <c:v>0.35510000000000003</c:v>
                </c:pt>
                <c:pt idx="7">
                  <c:v>0.41389999999999999</c:v>
                </c:pt>
                <c:pt idx="8">
                  <c:v>0.52310000000000001</c:v>
                </c:pt>
                <c:pt idx="9">
                  <c:v>0.64649999999999996</c:v>
                </c:pt>
                <c:pt idx="10">
                  <c:v>0.67020000000000002</c:v>
                </c:pt>
                <c:pt idx="11">
                  <c:v>0.74950000000000006</c:v>
                </c:pt>
                <c:pt idx="12">
                  <c:v>0.78710000000000002</c:v>
                </c:pt>
                <c:pt idx="13">
                  <c:v>0.89610000000000001</c:v>
                </c:pt>
                <c:pt idx="14">
                  <c:v>0.92330000000000001</c:v>
                </c:pt>
                <c:pt idx="15">
                  <c:v>0.93959999999999999</c:v>
                </c:pt>
                <c:pt idx="16">
                  <c:v>0.99999990000000005</c:v>
                </c:pt>
              </c:numCache>
            </c:numRef>
          </c:xVal>
          <c:yVal>
            <c:numRef>
              <c:f>'40'!$P$11:$P$27</c:f>
              <c:numCache>
                <c:formatCode>General</c:formatCode>
                <c:ptCount val="17"/>
                <c:pt idx="0">
                  <c:v>184.86000000094342</c:v>
                </c:pt>
                <c:pt idx="1">
                  <c:v>190.40679525507375</c:v>
                </c:pt>
                <c:pt idx="2">
                  <c:v>191.83260830758422</c:v>
                </c:pt>
                <c:pt idx="3">
                  <c:v>194.75023796213623</c:v>
                </c:pt>
                <c:pt idx="4">
                  <c:v>198.04937955297629</c:v>
                </c:pt>
                <c:pt idx="5">
                  <c:v>200.91072427242921</c:v>
                </c:pt>
                <c:pt idx="6">
                  <c:v>204.28789334126515</c:v>
                </c:pt>
                <c:pt idx="7">
                  <c:v>205.32780015269969</c:v>
                </c:pt>
                <c:pt idx="8">
                  <c:v>205.91506710599165</c:v>
                </c:pt>
                <c:pt idx="9">
                  <c:v>204.46791096996668</c:v>
                </c:pt>
                <c:pt idx="10">
                  <c:v>203.91506874059974</c:v>
                </c:pt>
                <c:pt idx="11">
                  <c:v>201.33463152312703</c:v>
                </c:pt>
                <c:pt idx="12">
                  <c:v>199.67303264998927</c:v>
                </c:pt>
                <c:pt idx="13">
                  <c:v>192.88605474672841</c:v>
                </c:pt>
                <c:pt idx="14">
                  <c:v>190.64254873765424</c:v>
                </c:pt>
                <c:pt idx="15">
                  <c:v>189.17318425162921</c:v>
                </c:pt>
                <c:pt idx="16">
                  <c:v>182.80001188408696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35944"/>
        <c:axId val="229411072"/>
      </c:scatterChart>
      <c:valAx>
        <c:axId val="28823594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633644289731987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11072"/>
        <c:crosses val="autoZero"/>
        <c:crossBetween val="midCat"/>
      </c:valAx>
      <c:valAx>
        <c:axId val="22941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7747887774164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359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'70'!$D$11:$D$24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0.13980000000000001</c:v>
                </c:pt>
                <c:pt idx="2">
                  <c:v>0.23089999999999999</c:v>
                </c:pt>
                <c:pt idx="3" formatCode="0.0000">
                  <c:v>0.315</c:v>
                </c:pt>
                <c:pt idx="4">
                  <c:v>0.39360000000000001</c:v>
                </c:pt>
                <c:pt idx="5">
                  <c:v>0.44109999999999999</c:v>
                </c:pt>
                <c:pt idx="6">
                  <c:v>0.50039999999999996</c:v>
                </c:pt>
                <c:pt idx="7">
                  <c:v>0.54849999999999999</c:v>
                </c:pt>
                <c:pt idx="8">
                  <c:v>0.59630000000000005</c:v>
                </c:pt>
                <c:pt idx="9">
                  <c:v>0.66500000000000004</c:v>
                </c:pt>
                <c:pt idx="10">
                  <c:v>0.79490000000000005</c:v>
                </c:pt>
                <c:pt idx="11" formatCode="0.0000">
                  <c:v>0.86140000000000005</c:v>
                </c:pt>
                <c:pt idx="12" formatCode="0.0000">
                  <c:v>0.94320000000000004</c:v>
                </c:pt>
                <c:pt idx="13">
                  <c:v>0.99999990000000005</c:v>
                </c:pt>
              </c:numCache>
            </c:numRef>
          </c:xVal>
          <c:yVal>
            <c:numRef>
              <c:f>'70'!$O$11:$O$24</c:f>
              <c:numCache>
                <c:formatCode>General</c:formatCode>
                <c:ptCount val="14"/>
                <c:pt idx="0">
                  <c:v>1.4232665204474977</c:v>
                </c:pt>
                <c:pt idx="1">
                  <c:v>1.2956151621510061</c:v>
                </c:pt>
                <c:pt idx="2">
                  <c:v>1.2170903748570339</c:v>
                </c:pt>
                <c:pt idx="3">
                  <c:v>1.1477681081618651</c:v>
                </c:pt>
                <c:pt idx="4">
                  <c:v>1.0856630056632046</c:v>
                </c:pt>
                <c:pt idx="5">
                  <c:v>1.0493622297127867</c:v>
                </c:pt>
                <c:pt idx="6">
                  <c:v>1.0053207248225746</c:v>
                </c:pt>
                <c:pt idx="7">
                  <c:v>0.97062242820137334</c:v>
                </c:pt>
                <c:pt idx="8">
                  <c:v>0.93703529686397169</c:v>
                </c:pt>
                <c:pt idx="9">
                  <c:v>0.89029720375151655</c:v>
                </c:pt>
                <c:pt idx="10">
                  <c:v>0.80673663662177597</c:v>
                </c:pt>
                <c:pt idx="11">
                  <c:v>0.76632324565114707</c:v>
                </c:pt>
                <c:pt idx="12">
                  <c:v>0.71873643451281399</c:v>
                </c:pt>
                <c:pt idx="13">
                  <c:v>0.68703821374403551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'70'!$D$11:$D$24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0.13980000000000001</c:v>
                </c:pt>
                <c:pt idx="2">
                  <c:v>0.23089999999999999</c:v>
                </c:pt>
                <c:pt idx="3" formatCode="0.0000">
                  <c:v>0.315</c:v>
                </c:pt>
                <c:pt idx="4">
                  <c:v>0.39360000000000001</c:v>
                </c:pt>
                <c:pt idx="5">
                  <c:v>0.44109999999999999</c:v>
                </c:pt>
                <c:pt idx="6">
                  <c:v>0.50039999999999996</c:v>
                </c:pt>
                <c:pt idx="7">
                  <c:v>0.54849999999999999</c:v>
                </c:pt>
                <c:pt idx="8">
                  <c:v>0.59630000000000005</c:v>
                </c:pt>
                <c:pt idx="9">
                  <c:v>0.66500000000000004</c:v>
                </c:pt>
                <c:pt idx="10">
                  <c:v>0.79490000000000005</c:v>
                </c:pt>
                <c:pt idx="11" formatCode="0.0000">
                  <c:v>0.86140000000000005</c:v>
                </c:pt>
                <c:pt idx="12" formatCode="0.0000">
                  <c:v>0.94320000000000004</c:v>
                </c:pt>
                <c:pt idx="13">
                  <c:v>0.99999990000000005</c:v>
                </c:pt>
              </c:numCache>
            </c:numRef>
          </c:xVal>
          <c:yVal>
            <c:numRef>
              <c:f>'70'!$J$11:$J$24</c:f>
              <c:numCache>
                <c:formatCode>General</c:formatCode>
                <c:ptCount val="14"/>
                <c:pt idx="0">
                  <c:v>0</c:v>
                </c:pt>
                <c:pt idx="1">
                  <c:v>1.306419012055027</c:v>
                </c:pt>
                <c:pt idx="2">
                  <c:v>1.2205560132223856</c:v>
                </c:pt>
                <c:pt idx="3">
                  <c:v>1.1438330136504706</c:v>
                </c:pt>
                <c:pt idx="4">
                  <c:v>1.0856630129029223</c:v>
                </c:pt>
                <c:pt idx="5">
                  <c:v>1.061705720071541</c:v>
                </c:pt>
                <c:pt idx="6">
                  <c:v>1.0160743588495695</c:v>
                </c:pt>
                <c:pt idx="7">
                  <c:v>0.94479883999904846</c:v>
                </c:pt>
                <c:pt idx="8">
                  <c:v>0.90796134790580729</c:v>
                </c:pt>
                <c:pt idx="9">
                  <c:v>0.90437948726203066</c:v>
                </c:pt>
                <c:pt idx="10">
                  <c:v>0.81062121460291681</c:v>
                </c:pt>
                <c:pt idx="11">
                  <c:v>0.76844914680825493</c:v>
                </c:pt>
                <c:pt idx="12">
                  <c:v>0.71364750010874289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64768"/>
        <c:axId val="284878552"/>
      </c:scatterChart>
      <c:valAx>
        <c:axId val="23026476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878552"/>
        <c:crosses val="autoZero"/>
        <c:crossBetween val="midCat"/>
      </c:valAx>
      <c:valAx>
        <c:axId val="28487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64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Pressure</a:t>
            </a:r>
          </a:p>
        </c:rich>
      </c:tx>
      <c:layout>
        <c:manualLayout>
          <c:xMode val="edge"/>
          <c:yMode val="edge"/>
          <c:x val="0.4174186415477241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17769677205555"/>
          <c:y val="0.17717769677205555"/>
          <c:w val="0.75375596423366009"/>
          <c:h val="0.6336354918458257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'8'!$C$11:$C$24</c:f>
              <c:numCache>
                <c:formatCode>General</c:formatCode>
                <c:ptCount val="14"/>
                <c:pt idx="0">
                  <c:v>42.861685105517829</c:v>
                </c:pt>
                <c:pt idx="1">
                  <c:v>43.49</c:v>
                </c:pt>
                <c:pt idx="2">
                  <c:v>44.01</c:v>
                </c:pt>
                <c:pt idx="3">
                  <c:v>45.09</c:v>
                </c:pt>
                <c:pt idx="4">
                  <c:v>47.09</c:v>
                </c:pt>
                <c:pt idx="5">
                  <c:v>48.21</c:v>
                </c:pt>
                <c:pt idx="6">
                  <c:v>48.7</c:v>
                </c:pt>
                <c:pt idx="7">
                  <c:v>47.99</c:v>
                </c:pt>
                <c:pt idx="8">
                  <c:v>46.98</c:v>
                </c:pt>
                <c:pt idx="9">
                  <c:v>45.48</c:v>
                </c:pt>
                <c:pt idx="10">
                  <c:v>43.51</c:v>
                </c:pt>
                <c:pt idx="11">
                  <c:v>42.48</c:v>
                </c:pt>
                <c:pt idx="12">
                  <c:v>41.63</c:v>
                </c:pt>
                <c:pt idx="13">
                  <c:v>40.973785263727756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'8'!$P$11:$P$24</c:f>
              <c:numCache>
                <c:formatCode>General</c:formatCode>
                <c:ptCount val="14"/>
                <c:pt idx="0">
                  <c:v>42.861685105809514</c:v>
                </c:pt>
                <c:pt idx="1">
                  <c:v>43.482156887391731</c:v>
                </c:pt>
                <c:pt idx="2">
                  <c:v>43.983357898083895</c:v>
                </c:pt>
                <c:pt idx="3">
                  <c:v>45.021209711547726</c:v>
                </c:pt>
                <c:pt idx="4">
                  <c:v>47.016339353399616</c:v>
                </c:pt>
                <c:pt idx="5">
                  <c:v>48.166716456591843</c:v>
                </c:pt>
                <c:pt idx="6">
                  <c:v>48.685597018538836</c:v>
                </c:pt>
                <c:pt idx="7">
                  <c:v>47.93887375285226</c:v>
                </c:pt>
                <c:pt idx="8">
                  <c:v>46.909776002204609</c:v>
                </c:pt>
                <c:pt idx="9">
                  <c:v>45.40477128086485</c:v>
                </c:pt>
                <c:pt idx="10">
                  <c:v>43.456288925333432</c:v>
                </c:pt>
                <c:pt idx="11">
                  <c:v>42.391106567332699</c:v>
                </c:pt>
                <c:pt idx="12">
                  <c:v>41.570027304330068</c:v>
                </c:pt>
                <c:pt idx="13">
                  <c:v>40.97378929264277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90448"/>
        <c:axId val="291390840"/>
      </c:scatterChart>
      <c:valAx>
        <c:axId val="29139044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435539354411111"/>
              <c:y val="0.89189450747966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90840"/>
        <c:crosses val="autoZero"/>
        <c:crossBetween val="midCat"/>
      </c:valAx>
      <c:valAx>
        <c:axId val="291390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47747887774164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9044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Symbol"/>
                <a:ea typeface="Symbol"/>
                <a:cs typeface="Symbol"/>
              </a:defRPr>
            </a:pP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/</a:t>
            </a:r>
            <a:r>
              <a:rPr lang="en-GB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g</a:t>
            </a:r>
            <a:r>
              <a:rPr lang="en-GB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endParaRPr lang="en-GB"/>
          </a:p>
        </c:rich>
      </c:tx>
      <c:layout>
        <c:manualLayout>
          <c:xMode val="edge"/>
          <c:yMode val="edge"/>
          <c:x val="0.4624638186931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12047238783428"/>
          <c:y val="0.18618673220114315"/>
          <c:w val="0.81081318861788143"/>
          <c:h val="0.69069271623004713"/>
        </c:manualLayout>
      </c:layout>
      <c:scatterChart>
        <c:scatterStyle val="smoothMarker"/>
        <c:varyColors val="0"/>
        <c:ser>
          <c:idx val="0"/>
          <c:order val="0"/>
          <c:tx>
            <c:v>Model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'8'!$O$11:$O$24</c:f>
              <c:numCache>
                <c:formatCode>General</c:formatCode>
                <c:ptCount val="14"/>
                <c:pt idx="0">
                  <c:v>1.7579412214454835</c:v>
                </c:pt>
                <c:pt idx="1">
                  <c:v>1.7195581633705415</c:v>
                </c:pt>
                <c:pt idx="2">
                  <c:v>1.6866545755537339</c:v>
                </c:pt>
                <c:pt idx="3">
                  <c:v>1.6118035930600068</c:v>
                </c:pt>
                <c:pt idx="4">
                  <c:v>1.4261432081375196</c:v>
                </c:pt>
                <c:pt idx="5">
                  <c:v>1.2558970125986519</c:v>
                </c:pt>
                <c:pt idx="6">
                  <c:v>1.0766712153269191</c:v>
                </c:pt>
                <c:pt idx="7">
                  <c:v>0.82841294059178727</c:v>
                </c:pt>
                <c:pt idx="8">
                  <c:v>0.73325824918201676</c:v>
                </c:pt>
                <c:pt idx="9">
                  <c:v>0.65158864762030633</c:v>
                </c:pt>
                <c:pt idx="10">
                  <c:v>0.58448291943160369</c:v>
                </c:pt>
                <c:pt idx="11">
                  <c:v>0.55726547577862728</c:v>
                </c:pt>
                <c:pt idx="12">
                  <c:v>0.53924646878404436</c:v>
                </c:pt>
                <c:pt idx="13">
                  <c:v>0.52744447956549145</c:v>
                </c:pt>
              </c:numCache>
            </c:numRef>
          </c:yVal>
          <c:smooth val="1"/>
        </c:ser>
        <c:ser>
          <c:idx val="1"/>
          <c:order val="1"/>
          <c:tx>
            <c:v>Experim.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'8'!$D$11:$D$24</c:f>
              <c:numCache>
                <c:formatCode>General</c:formatCode>
                <c:ptCount val="14"/>
                <c:pt idx="0">
                  <c:v>9.9999999999999994E-12</c:v>
                </c:pt>
                <c:pt idx="1">
                  <c:v>2.2100000000000002E-2</c:v>
                </c:pt>
                <c:pt idx="2">
                  <c:v>4.1300000000000003E-2</c:v>
                </c:pt>
                <c:pt idx="3">
                  <c:v>8.5900000000000004E-2</c:v>
                </c:pt>
                <c:pt idx="4">
                  <c:v>0.20269999999999999</c:v>
                </c:pt>
                <c:pt idx="5">
                  <c:v>0.31900000000000001</c:v>
                </c:pt>
                <c:pt idx="6">
                  <c:v>0.45350000000000001</c:v>
                </c:pt>
                <c:pt idx="7">
                  <c:v>0.66790000000000005</c:v>
                </c:pt>
                <c:pt idx="8">
                  <c:v>0.76200000000000001</c:v>
                </c:pt>
                <c:pt idx="9">
                  <c:v>0.84989999999999999</c:v>
                </c:pt>
                <c:pt idx="10">
                  <c:v>0.92820000000000003</c:v>
                </c:pt>
                <c:pt idx="11">
                  <c:v>0.96179999999999999</c:v>
                </c:pt>
                <c:pt idx="12">
                  <c:v>0.98470000000000002</c:v>
                </c:pt>
                <c:pt idx="13">
                  <c:v>0.99999990000000005</c:v>
                </c:pt>
              </c:numCache>
            </c:numRef>
          </c:xVal>
          <c:yVal>
            <c:numRef>
              <c:f>'8'!$J$11:$J$24</c:f>
              <c:numCache>
                <c:formatCode>General</c:formatCode>
                <c:ptCount val="14"/>
                <c:pt idx="0">
                  <c:v>0</c:v>
                </c:pt>
                <c:pt idx="1">
                  <c:v>1.7435326830070046</c:v>
                </c:pt>
                <c:pt idx="2">
                  <c:v>1.7047741035519512</c:v>
                </c:pt>
                <c:pt idx="3">
                  <c:v>1.6193964266344327</c:v>
                </c:pt>
                <c:pt idx="4">
                  <c:v>1.4209961639613891</c:v>
                </c:pt>
                <c:pt idx="5">
                  <c:v>1.2501647941009151</c:v>
                </c:pt>
                <c:pt idx="6">
                  <c:v>1.0760048147873249</c:v>
                </c:pt>
                <c:pt idx="7">
                  <c:v>0.83368677158115934</c:v>
                </c:pt>
                <c:pt idx="8">
                  <c:v>0.73718397325326801</c:v>
                </c:pt>
                <c:pt idx="9">
                  <c:v>0.65158864250262738</c:v>
                </c:pt>
                <c:pt idx="10">
                  <c:v>0.57909950580085401</c:v>
                </c:pt>
                <c:pt idx="11">
                  <c:v>0.54945135707931925</c:v>
                </c:pt>
                <c:pt idx="12">
                  <c:v>0.52917053420555826</c:v>
                </c:pt>
                <c:pt idx="1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88488"/>
        <c:axId val="291388096"/>
      </c:scatterChart>
      <c:valAx>
        <c:axId val="29138848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88096"/>
        <c:crosses val="autoZero"/>
        <c:crossBetween val="midCat"/>
      </c:valAx>
      <c:valAx>
        <c:axId val="29138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884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Composition</a:t>
            </a:r>
          </a:p>
        </c:rich>
      </c:tx>
      <c:layout>
        <c:manualLayout>
          <c:xMode val="edge"/>
          <c:yMode val="edge"/>
          <c:x val="0.16816866134296798"/>
          <c:y val="3.6036141716350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22588572718927"/>
          <c:y val="0.19219275582053486"/>
          <c:w val="0.66366560994278445"/>
          <c:h val="0.59459633831977965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'10'!$F$11:$F$22</c:f>
              <c:numCache>
                <c:formatCode>General</c:formatCode>
                <c:ptCount val="12"/>
                <c:pt idx="0">
                  <c:v>9.9999999999999998E-13</c:v>
                </c:pt>
                <c:pt idx="1">
                  <c:v>9.5299999999999996E-2</c:v>
                </c:pt>
                <c:pt idx="2">
                  <c:v>0.27100000000000002</c:v>
                </c:pt>
                <c:pt idx="3">
                  <c:v>0.36</c:v>
                </c:pt>
                <c:pt idx="4">
                  <c:v>0.44529999999999997</c:v>
                </c:pt>
                <c:pt idx="5">
                  <c:v>0.51060000000000005</c:v>
                </c:pt>
                <c:pt idx="6">
                  <c:v>0.57350000000000001</c:v>
                </c:pt>
                <c:pt idx="7">
                  <c:v>0.66259999999999997</c:v>
                </c:pt>
                <c:pt idx="8">
                  <c:v>0.73119999999999996</c:v>
                </c:pt>
                <c:pt idx="9">
                  <c:v>0.82</c:v>
                </c:pt>
                <c:pt idx="10">
                  <c:v>0.83819999999999995</c:v>
                </c:pt>
                <c:pt idx="11">
                  <c:v>0.99999999999900002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'10'!$R$11:$R$22</c:f>
              <c:numCache>
                <c:formatCode>General</c:formatCode>
                <c:ptCount val="12"/>
                <c:pt idx="0">
                  <c:v>1.6908559143108661E-11</c:v>
                </c:pt>
                <c:pt idx="1">
                  <c:v>9.3534691771246209E-2</c:v>
                </c:pt>
                <c:pt idx="2">
                  <c:v>0.26966918293045888</c:v>
                </c:pt>
                <c:pt idx="3">
                  <c:v>0.35998832182516749</c:v>
                </c:pt>
                <c:pt idx="4">
                  <c:v>0.44533263938160933</c:v>
                </c:pt>
                <c:pt idx="5">
                  <c:v>0.51060760841276009</c:v>
                </c:pt>
                <c:pt idx="6">
                  <c:v>0.57236900470014329</c:v>
                </c:pt>
                <c:pt idx="7">
                  <c:v>0.66031693972390948</c:v>
                </c:pt>
                <c:pt idx="8">
                  <c:v>0.73119876333392797</c:v>
                </c:pt>
                <c:pt idx="9">
                  <c:v>0.8181077975691019</c:v>
                </c:pt>
                <c:pt idx="10">
                  <c:v>0.83960620940772923</c:v>
                </c:pt>
                <c:pt idx="11">
                  <c:v>0.99999980233252062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xVal>
            <c:numRef>
              <c:f>'10'!$D$11:$E$11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xVal>
          <c:yVal>
            <c:numRef>
              <c:f>'10'!$D$11:$E$11</c:f>
              <c:numCache>
                <c:formatCode>General</c:formatCode>
                <c:ptCount val="2"/>
                <c:pt idx="0">
                  <c:v>9.9999999999999994E-12</c:v>
                </c:pt>
                <c:pt idx="1">
                  <c:v>0.99999999999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90056"/>
        <c:axId val="291387312"/>
      </c:scatterChart>
      <c:valAx>
        <c:axId val="29139005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735840535380697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87312"/>
        <c:crosses val="autoZero"/>
        <c:crossBetween val="midCat"/>
        <c:majorUnit val="0.2"/>
      </c:valAx>
      <c:valAx>
        <c:axId val="29138731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Vapour fraction Acetone</a:t>
                </a:r>
              </a:p>
            </c:rich>
          </c:tx>
          <c:layout>
            <c:manualLayout>
              <c:xMode val="edge"/>
              <c:yMode val="edge"/>
              <c:x val="4.8048188955133714E-2"/>
              <c:y val="0.28228311011141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90056"/>
        <c:crosses val="autoZero"/>
        <c:crossBetween val="midCat"/>
        <c:majorUnit val="0.2"/>
        <c:minorUnit val="0.0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Excess Gibbs Energy</a:t>
            </a:r>
          </a:p>
        </c:rich>
      </c:tx>
      <c:layout>
        <c:manualLayout>
          <c:xMode val="edge"/>
          <c:yMode val="edge"/>
          <c:x val="9.9099389719963279E-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20480305931829"/>
          <c:y val="0.18318372039144729"/>
          <c:w val="0.69069271623004713"/>
          <c:h val="0.62162344460704244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'10'!$W$11:$W$22</c:f>
              <c:numCache>
                <c:formatCode>General</c:formatCode>
                <c:ptCount val="12"/>
                <c:pt idx="1">
                  <c:v>0.57763833084236094</c:v>
                </c:pt>
                <c:pt idx="2">
                  <c:v>0.57237879150121074</c:v>
                </c:pt>
                <c:pt idx="3">
                  <c:v>0.59114569323941957</c:v>
                </c:pt>
                <c:pt idx="4">
                  <c:v>0.57460643576854675</c:v>
                </c:pt>
                <c:pt idx="5">
                  <c:v>0.60667968135134176</c:v>
                </c:pt>
                <c:pt idx="6">
                  <c:v>0.59739299961842918</c:v>
                </c:pt>
                <c:pt idx="7">
                  <c:v>0.58887444242741271</c:v>
                </c:pt>
                <c:pt idx="8">
                  <c:v>0.61385827940452853</c:v>
                </c:pt>
                <c:pt idx="9">
                  <c:v>0.63634642189897839</c:v>
                </c:pt>
                <c:pt idx="10">
                  <c:v>0.62696688955963387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'10'!$D$11:$D$22</c:f>
              <c:numCache>
                <c:formatCode>General</c:formatCode>
                <c:ptCount val="12"/>
                <c:pt idx="0">
                  <c:v>9.9999999999999994E-12</c:v>
                </c:pt>
                <c:pt idx="1">
                  <c:v>6.0999999999999999E-2</c:v>
                </c:pt>
                <c:pt idx="2">
                  <c:v>0.21490000000000001</c:v>
                </c:pt>
                <c:pt idx="3">
                  <c:v>0.31869999999999998</c:v>
                </c:pt>
                <c:pt idx="4">
                  <c:v>0.432</c:v>
                </c:pt>
                <c:pt idx="5">
                  <c:v>0.52459999999999996</c:v>
                </c:pt>
                <c:pt idx="6">
                  <c:v>0.61170000000000002</c:v>
                </c:pt>
                <c:pt idx="7">
                  <c:v>0.72560000000000002</c:v>
                </c:pt>
                <c:pt idx="8">
                  <c:v>0.80400000000000005</c:v>
                </c:pt>
                <c:pt idx="9">
                  <c:v>0.88300000000000001</c:v>
                </c:pt>
                <c:pt idx="10">
                  <c:v>0.89990000000000003</c:v>
                </c:pt>
                <c:pt idx="11">
                  <c:v>0.99999990000000005</c:v>
                </c:pt>
              </c:numCache>
            </c:numRef>
          </c:xVal>
          <c:yVal>
            <c:numRef>
              <c:f>'10'!$V$11:$V$22</c:f>
              <c:numCache>
                <c:formatCode>General</c:formatCode>
                <c:ptCount val="12"/>
                <c:pt idx="0">
                  <c:v>0.56884610905387245</c:v>
                </c:pt>
                <c:pt idx="1">
                  <c:v>0.57262270831374085</c:v>
                </c:pt>
                <c:pt idx="2">
                  <c:v>0.58237753392470548</c:v>
                </c:pt>
                <c:pt idx="3">
                  <c:v>0.58914666778595348</c:v>
                </c:pt>
                <c:pt idx="4">
                  <c:v>0.59671725632621619</c:v>
                </c:pt>
                <c:pt idx="5">
                  <c:v>0.60305071779736141</c:v>
                </c:pt>
                <c:pt idx="6">
                  <c:v>0.60913194288465478</c:v>
                </c:pt>
                <c:pt idx="7">
                  <c:v>0.61727184680014502</c:v>
                </c:pt>
                <c:pt idx="8">
                  <c:v>0.62300231228537328</c:v>
                </c:pt>
                <c:pt idx="9">
                  <c:v>0.6288852721318321</c:v>
                </c:pt>
                <c:pt idx="10">
                  <c:v>0.63015823417572303</c:v>
                </c:pt>
                <c:pt idx="11">
                  <c:v>0.63780501957375979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92016"/>
        <c:axId val="291392408"/>
      </c:scatterChart>
      <c:valAx>
        <c:axId val="29139201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Liquid fraction Acetone</a:t>
                </a:r>
              </a:p>
            </c:rich>
          </c:tx>
          <c:layout>
            <c:manualLayout>
              <c:xMode val="edge"/>
              <c:yMode val="edge"/>
              <c:x val="0.3513523817344153"/>
              <c:y val="0.894897519289365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92408"/>
        <c:crossesAt val="0"/>
        <c:crossBetween val="midCat"/>
        <c:majorUnit val="0.2"/>
      </c:valAx>
      <c:valAx>
        <c:axId val="291392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</a:t>
                </a:r>
                <a:r>
                  <a:rPr lang="en-GB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/x</a:t>
                </a:r>
                <a:r>
                  <a:rPr lang="en-GB" sz="8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1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x</a:t>
                </a:r>
                <a:r>
                  <a:rPr lang="en-GB" sz="8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GB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2042165335741996E-2"/>
              <c:y val="0.4084096061186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392016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6</xdr:row>
      <xdr:rowOff>152400</xdr:rowOff>
    </xdr:from>
    <xdr:to>
      <xdr:col>9</xdr:col>
      <xdr:colOff>0</xdr:colOff>
      <xdr:row>27</xdr:row>
      <xdr:rowOff>95250</xdr:rowOff>
    </xdr:to>
    <xdr:graphicFrame macro="">
      <xdr:nvGraphicFramePr>
        <xdr:cNvPr id="92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28</xdr:col>
      <xdr:colOff>561975</xdr:colOff>
      <xdr:row>18</xdr:row>
      <xdr:rowOff>114300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542925</xdr:colOff>
      <xdr:row>18</xdr:row>
      <xdr:rowOff>114300</xdr:rowOff>
    </xdr:to>
    <xdr:graphicFrame macro="">
      <xdr:nvGraphicFramePr>
        <xdr:cNvPr id="256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33</xdr:col>
      <xdr:colOff>542925</xdr:colOff>
      <xdr:row>38</xdr:row>
      <xdr:rowOff>95250</xdr:rowOff>
    </xdr:to>
    <xdr:graphicFrame macro="">
      <xdr:nvGraphicFramePr>
        <xdr:cNvPr id="256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28</xdr:col>
      <xdr:colOff>561975</xdr:colOff>
      <xdr:row>38</xdr:row>
      <xdr:rowOff>95250</xdr:rowOff>
    </xdr:to>
    <xdr:graphicFrame macro="">
      <xdr:nvGraphicFramePr>
        <xdr:cNvPr id="256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2560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28</xdr:col>
      <xdr:colOff>561975</xdr:colOff>
      <xdr:row>18</xdr:row>
      <xdr:rowOff>114300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542925</xdr:colOff>
      <xdr:row>18</xdr:row>
      <xdr:rowOff>114300</xdr:rowOff>
    </xdr:to>
    <xdr:graphicFrame macro="">
      <xdr:nvGraphicFramePr>
        <xdr:cNvPr id="26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33</xdr:col>
      <xdr:colOff>542925</xdr:colOff>
      <xdr:row>38</xdr:row>
      <xdr:rowOff>95250</xdr:rowOff>
    </xdr:to>
    <xdr:graphicFrame macro="">
      <xdr:nvGraphicFramePr>
        <xdr:cNvPr id="266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28</xdr:col>
      <xdr:colOff>561975</xdr:colOff>
      <xdr:row>38</xdr:row>
      <xdr:rowOff>95250</xdr:rowOff>
    </xdr:to>
    <xdr:graphicFrame macro="">
      <xdr:nvGraphicFramePr>
        <xdr:cNvPr id="266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266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29</xdr:col>
      <xdr:colOff>123825</xdr:colOff>
      <xdr:row>18</xdr:row>
      <xdr:rowOff>114300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34</xdr:col>
      <xdr:colOff>123825</xdr:colOff>
      <xdr:row>18</xdr:row>
      <xdr:rowOff>114300</xdr:rowOff>
    </xdr:to>
    <xdr:graphicFrame macro="">
      <xdr:nvGraphicFramePr>
        <xdr:cNvPr id="296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34</xdr:col>
      <xdr:colOff>123825</xdr:colOff>
      <xdr:row>38</xdr:row>
      <xdr:rowOff>95250</xdr:rowOff>
    </xdr:to>
    <xdr:graphicFrame macro="">
      <xdr:nvGraphicFramePr>
        <xdr:cNvPr id="296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29</xdr:col>
      <xdr:colOff>123825</xdr:colOff>
      <xdr:row>38</xdr:row>
      <xdr:rowOff>95250</xdr:rowOff>
    </xdr:to>
    <xdr:graphicFrame macro="">
      <xdr:nvGraphicFramePr>
        <xdr:cNvPr id="297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297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29</xdr:col>
      <xdr:colOff>123825</xdr:colOff>
      <xdr:row>18</xdr:row>
      <xdr:rowOff>114300</xdr:rowOff>
    </xdr:to>
    <xdr:graphicFrame macro="">
      <xdr:nvGraphicFramePr>
        <xdr:cNvPr id="307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34</xdr:col>
      <xdr:colOff>123825</xdr:colOff>
      <xdr:row>18</xdr:row>
      <xdr:rowOff>114300</xdr:rowOff>
    </xdr:to>
    <xdr:graphicFrame macro="">
      <xdr:nvGraphicFramePr>
        <xdr:cNvPr id="30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34</xdr:col>
      <xdr:colOff>123825</xdr:colOff>
      <xdr:row>38</xdr:row>
      <xdr:rowOff>95250</xdr:rowOff>
    </xdr:to>
    <xdr:graphicFrame macro="">
      <xdr:nvGraphicFramePr>
        <xdr:cNvPr id="307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29</xdr:col>
      <xdr:colOff>123825</xdr:colOff>
      <xdr:row>38</xdr:row>
      <xdr:rowOff>95250</xdr:rowOff>
    </xdr:to>
    <xdr:graphicFrame macro="">
      <xdr:nvGraphicFramePr>
        <xdr:cNvPr id="307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307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29</xdr:col>
      <xdr:colOff>123825</xdr:colOff>
      <xdr:row>18</xdr:row>
      <xdr:rowOff>114300</xdr:rowOff>
    </xdr:to>
    <xdr:graphicFrame macro="">
      <xdr:nvGraphicFramePr>
        <xdr:cNvPr id="317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34</xdr:col>
      <xdr:colOff>123825</xdr:colOff>
      <xdr:row>18</xdr:row>
      <xdr:rowOff>114300</xdr:rowOff>
    </xdr:to>
    <xdr:graphicFrame macro="">
      <xdr:nvGraphicFramePr>
        <xdr:cNvPr id="317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34</xdr:col>
      <xdr:colOff>123825</xdr:colOff>
      <xdr:row>38</xdr:row>
      <xdr:rowOff>95250</xdr:rowOff>
    </xdr:to>
    <xdr:graphicFrame macro="">
      <xdr:nvGraphicFramePr>
        <xdr:cNvPr id="317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29</xdr:col>
      <xdr:colOff>123825</xdr:colOff>
      <xdr:row>38</xdr:row>
      <xdr:rowOff>95250</xdr:rowOff>
    </xdr:to>
    <xdr:graphicFrame macro="">
      <xdr:nvGraphicFramePr>
        <xdr:cNvPr id="317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317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0.32479</cdr:x>
      <cdr:y>0.46964</cdr:y>
    </cdr:from>
    <cdr:to>
      <cdr:x>0.44731</cdr:x>
      <cdr:y>0.55538</cdr:y>
    </cdr:to>
    <cdr:sp macro="" textlink="">
      <cdr:nvSpPr>
        <cdr:cNvPr id="276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5454" y="1577777"/>
          <a:ext cx="589359" cy="2874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Symbol"/>
            </a:rPr>
            <a:t>l</a:t>
          </a:r>
          <a:r>
            <a:rPr lang="en-GB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21</a:t>
          </a: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  <a:r>
            <a:rPr lang="en-GB" sz="1000" b="0" i="0" u="none" strike="noStrike" baseline="0">
              <a:solidFill>
                <a:srgbClr val="000000"/>
              </a:solidFill>
              <a:latin typeface="Symbol"/>
              <a:cs typeface="Arial"/>
            </a:rPr>
            <a:t>l</a:t>
          </a:r>
          <a:r>
            <a:rPr lang="en-GB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11</a:t>
          </a:r>
          <a:endParaRPr lang="en-GB"/>
        </a:p>
      </cdr:txBody>
    </cdr:sp>
  </cdr:relSizeAnchor>
  <cdr:relSizeAnchor xmlns:cdr="http://schemas.openxmlformats.org/drawingml/2006/chartDrawing">
    <cdr:from>
      <cdr:x>0.29465</cdr:x>
      <cdr:y>0.23233</cdr:y>
    </cdr:from>
    <cdr:to>
      <cdr:x>0.43776</cdr:x>
      <cdr:y>0.31321</cdr:y>
    </cdr:to>
    <cdr:sp macro="" textlink="">
      <cdr:nvSpPr>
        <cdr:cNvPr id="276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0471" y="782120"/>
          <a:ext cx="688372" cy="271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Symbol"/>
            </a:rPr>
            <a:t>l</a:t>
          </a:r>
          <a:r>
            <a:rPr lang="en-GB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12</a:t>
          </a: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</a:t>
          </a:r>
          <a:r>
            <a:rPr lang="en-GB" sz="1000" b="0" i="0" u="none" strike="noStrike" baseline="0">
              <a:solidFill>
                <a:srgbClr val="000000"/>
              </a:solidFill>
              <a:latin typeface="Symbol"/>
              <a:cs typeface="Arial"/>
            </a:rPr>
            <a:t>l</a:t>
          </a:r>
          <a:r>
            <a:rPr lang="en-GB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22</a:t>
          </a:r>
          <a:endParaRPr lang="en-GB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6</xdr:row>
      <xdr:rowOff>133349</xdr:rowOff>
    </xdr:from>
    <xdr:to>
      <xdr:col>14</xdr:col>
      <xdr:colOff>9525</xdr:colOff>
      <xdr:row>35</xdr:row>
      <xdr:rowOff>38099</xdr:rowOff>
    </xdr:to>
    <xdr:graphicFrame macro="">
      <xdr:nvGraphicFramePr>
        <xdr:cNvPr id="33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28</xdr:col>
      <xdr:colOff>561975</xdr:colOff>
      <xdr:row>18</xdr:row>
      <xdr:rowOff>114300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542925</xdr:colOff>
      <xdr:row>18</xdr:row>
      <xdr:rowOff>114300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33</xdr:col>
      <xdr:colOff>542925</xdr:colOff>
      <xdr:row>38</xdr:row>
      <xdr:rowOff>95250</xdr:rowOff>
    </xdr:to>
    <xdr:graphicFrame macro="">
      <xdr:nvGraphicFramePr>
        <xdr:cNvPr id="122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28</xdr:col>
      <xdr:colOff>561975</xdr:colOff>
      <xdr:row>38</xdr:row>
      <xdr:rowOff>95250</xdr:rowOff>
    </xdr:to>
    <xdr:graphicFrame macro="">
      <xdr:nvGraphicFramePr>
        <xdr:cNvPr id="122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1230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28</xdr:col>
      <xdr:colOff>561975</xdr:colOff>
      <xdr:row>18</xdr:row>
      <xdr:rowOff>114300</xdr:rowOff>
    </xdr:to>
    <xdr:graphicFrame macro="">
      <xdr:nvGraphicFramePr>
        <xdr:cNvPr id="204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542925</xdr:colOff>
      <xdr:row>18</xdr:row>
      <xdr:rowOff>114300</xdr:rowOff>
    </xdr:to>
    <xdr:graphicFrame macro="">
      <xdr:nvGraphicFramePr>
        <xdr:cNvPr id="204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33</xdr:col>
      <xdr:colOff>542925</xdr:colOff>
      <xdr:row>38</xdr:row>
      <xdr:rowOff>95250</xdr:rowOff>
    </xdr:to>
    <xdr:graphicFrame macro="">
      <xdr:nvGraphicFramePr>
        <xdr:cNvPr id="204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28</xdr:col>
      <xdr:colOff>561975</xdr:colOff>
      <xdr:row>38</xdr:row>
      <xdr:rowOff>95250</xdr:rowOff>
    </xdr:to>
    <xdr:graphicFrame macro="">
      <xdr:nvGraphicFramePr>
        <xdr:cNvPr id="204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2048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28</xdr:col>
      <xdr:colOff>561975</xdr:colOff>
      <xdr:row>18</xdr:row>
      <xdr:rowOff>114300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542925</xdr:colOff>
      <xdr:row>18</xdr:row>
      <xdr:rowOff>114300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33</xdr:col>
      <xdr:colOff>542925</xdr:colOff>
      <xdr:row>38</xdr:row>
      <xdr:rowOff>95250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28</xdr:col>
      <xdr:colOff>561975</xdr:colOff>
      <xdr:row>38</xdr:row>
      <xdr:rowOff>95250</xdr:rowOff>
    </xdr:to>
    <xdr:graphicFrame macro="">
      <xdr:nvGraphicFramePr>
        <xdr:cNvPr id="21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21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28</xdr:col>
      <xdr:colOff>561975</xdr:colOff>
      <xdr:row>18</xdr:row>
      <xdr:rowOff>114300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542925</xdr:colOff>
      <xdr:row>18</xdr:row>
      <xdr:rowOff>114300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33</xdr:col>
      <xdr:colOff>542925</xdr:colOff>
      <xdr:row>38</xdr:row>
      <xdr:rowOff>95250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28</xdr:col>
      <xdr:colOff>561975</xdr:colOff>
      <xdr:row>38</xdr:row>
      <xdr:rowOff>95250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225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28</xdr:col>
      <xdr:colOff>561975</xdr:colOff>
      <xdr:row>18</xdr:row>
      <xdr:rowOff>38100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542925</xdr:colOff>
      <xdr:row>18</xdr:row>
      <xdr:rowOff>38100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33</xdr:col>
      <xdr:colOff>542925</xdr:colOff>
      <xdr:row>38</xdr:row>
      <xdr:rowOff>95250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28</xdr:col>
      <xdr:colOff>561975</xdr:colOff>
      <xdr:row>38</xdr:row>
      <xdr:rowOff>95250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38100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28</xdr:col>
      <xdr:colOff>561975</xdr:colOff>
      <xdr:row>18</xdr:row>
      <xdr:rowOff>114300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542925</xdr:colOff>
      <xdr:row>18</xdr:row>
      <xdr:rowOff>114300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33</xdr:col>
      <xdr:colOff>542925</xdr:colOff>
      <xdr:row>38</xdr:row>
      <xdr:rowOff>95250</xdr:rowOff>
    </xdr:to>
    <xdr:graphicFrame macro="">
      <xdr:nvGraphicFramePr>
        <xdr:cNvPr id="245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19</xdr:row>
      <xdr:rowOff>0</xdr:rowOff>
    </xdr:from>
    <xdr:to>
      <xdr:col>28</xdr:col>
      <xdr:colOff>561975</xdr:colOff>
      <xdr:row>38</xdr:row>
      <xdr:rowOff>95250</xdr:rowOff>
    </xdr:to>
    <xdr:graphicFrame macro="">
      <xdr:nvGraphicFramePr>
        <xdr:cNvPr id="2458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39</xdr:col>
      <xdr:colOff>123825</xdr:colOff>
      <xdr:row>18</xdr:row>
      <xdr:rowOff>114300</xdr:rowOff>
    </xdr:to>
    <xdr:graphicFrame macro="">
      <xdr:nvGraphicFramePr>
        <xdr:cNvPr id="2458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Z151"/>
  <sheetViews>
    <sheetView zoomScale="75" workbookViewId="0">
      <selection activeCell="L20" sqref="L20"/>
    </sheetView>
  </sheetViews>
  <sheetFormatPr defaultRowHeight="12.75" x14ac:dyDescent="0.2"/>
  <cols>
    <col min="1" max="1" width="11.85546875" customWidth="1"/>
    <col min="2" max="3" width="10.42578125" customWidth="1"/>
    <col min="4" max="4" width="10" customWidth="1"/>
    <col min="5" max="5" width="9.42578125" customWidth="1"/>
    <col min="6" max="8" width="9.5703125" customWidth="1"/>
    <col min="9" max="9" width="10" customWidth="1"/>
    <col min="10" max="10" width="7.140625" customWidth="1"/>
    <col min="13" max="14" width="9.42578125" customWidth="1"/>
    <col min="15" max="15" width="9.85546875" customWidth="1"/>
    <col min="16" max="16" width="10.140625" customWidth="1"/>
    <col min="17" max="17" width="10.5703125" customWidth="1"/>
    <col min="18" max="18" width="10.28515625" customWidth="1"/>
    <col min="19" max="19" width="9.85546875" customWidth="1"/>
    <col min="20" max="20" width="10" customWidth="1"/>
    <col min="21" max="21" width="10.140625" customWidth="1"/>
    <col min="22" max="22" width="13.42578125" customWidth="1"/>
  </cols>
  <sheetData>
    <row r="2" spans="1:14" x14ac:dyDescent="0.2">
      <c r="A2" s="3" t="s">
        <v>29</v>
      </c>
      <c r="B2" s="3">
        <v>8</v>
      </c>
      <c r="C2" s="3">
        <v>10</v>
      </c>
      <c r="D2" s="3">
        <v>14</v>
      </c>
      <c r="E2" s="28">
        <v>20</v>
      </c>
      <c r="F2" s="28">
        <v>24.91</v>
      </c>
      <c r="G2" s="28">
        <v>25</v>
      </c>
      <c r="H2" s="28">
        <v>40</v>
      </c>
      <c r="I2" s="28">
        <v>45</v>
      </c>
      <c r="J2" s="28">
        <v>55</v>
      </c>
      <c r="K2" s="28">
        <v>60</v>
      </c>
      <c r="L2" s="28">
        <v>70</v>
      </c>
    </row>
    <row r="3" spans="1:14" x14ac:dyDescent="0.2">
      <c r="A3" s="3" t="str">
        <f>'8'!A11</f>
        <v>T,K</v>
      </c>
      <c r="B3" s="3">
        <f>1000/(B2+273.15)</f>
        <v>3.5568202027387517</v>
      </c>
      <c r="C3" s="3">
        <f t="shared" ref="C3:L3" si="0">1000/(C2+273.15)</f>
        <v>3.5316969803990821</v>
      </c>
      <c r="D3" s="3">
        <f t="shared" si="0"/>
        <v>3.4825004353125548</v>
      </c>
      <c r="E3" s="3">
        <f t="shared" si="0"/>
        <v>3.4112229234180456</v>
      </c>
      <c r="F3" s="3">
        <f t="shared" si="0"/>
        <v>3.3550291887539423</v>
      </c>
      <c r="G3" s="3">
        <f t="shared" si="0"/>
        <v>3.3540164346805303</v>
      </c>
      <c r="H3" s="3">
        <f t="shared" si="0"/>
        <v>3.1933578157432541</v>
      </c>
      <c r="I3" s="3">
        <f t="shared" si="0"/>
        <v>3.1431714600031433</v>
      </c>
      <c r="J3" s="3">
        <f t="shared" si="0"/>
        <v>3.0473868657626086</v>
      </c>
      <c r="K3" s="3">
        <f t="shared" si="0"/>
        <v>3.0016509079993998</v>
      </c>
      <c r="L3" s="3">
        <f t="shared" si="0"/>
        <v>2.9141774734081309</v>
      </c>
      <c r="M3" s="9" t="s">
        <v>35</v>
      </c>
      <c r="N3" s="3" t="s">
        <v>36</v>
      </c>
    </row>
    <row r="4" spans="1:14" x14ac:dyDescent="0.2">
      <c r="A4" s="3" t="str">
        <f>'8'!A13</f>
        <v>A12</v>
      </c>
      <c r="B4" s="3">
        <f>'8'!B13</f>
        <v>0.56414336381379659</v>
      </c>
      <c r="C4" s="3">
        <f>'10'!B13</f>
        <v>0.56884610905325728</v>
      </c>
      <c r="D4" s="3">
        <f>'14'!B13</f>
        <v>0.53307227817508041</v>
      </c>
      <c r="E4" s="3">
        <f>'20'!B13</f>
        <v>0.51034527964301446</v>
      </c>
      <c r="F4" s="3">
        <f>'24.91'!B13</f>
        <v>0.48624338187887139</v>
      </c>
      <c r="G4" s="3">
        <f>'25'!B13</f>
        <v>0.43293541800662166</v>
      </c>
      <c r="H4" s="3">
        <f>'40'!B13</f>
        <v>0.42360427354697805</v>
      </c>
      <c r="I4" s="3">
        <f>'45'!B13</f>
        <v>0.40529780242594565</v>
      </c>
      <c r="J4">
        <f>'55'!B13</f>
        <v>0.3800179981083881</v>
      </c>
      <c r="K4">
        <f>'60'!B13</f>
        <v>0.37192817486754193</v>
      </c>
      <c r="L4">
        <f>'70'!B13</f>
        <v>0.352954596339702</v>
      </c>
      <c r="M4" s="27">
        <f>AVEDEV(B4:L4)</f>
        <v>6.8466300147243545E-2</v>
      </c>
      <c r="N4">
        <f>M4/((ABS(B4)+ABS(C4)+ABS(D4)+ABS(E4)+ABS(F4)+ABS(G4)+ABS(H4)+ABS(I4))/8+ABS(J4)+ABS(K4)+ABS(L4))*100</f>
        <v>4.2913156532685672</v>
      </c>
    </row>
    <row r="5" spans="1:14" x14ac:dyDescent="0.2">
      <c r="A5" s="3" t="str">
        <f>'8'!A14</f>
        <v>A21</v>
      </c>
      <c r="B5" s="3">
        <f>'8'!B14</f>
        <v>0.63971181626041218</v>
      </c>
      <c r="C5" s="3">
        <f>'10'!B14</f>
        <v>0.63780502730561262</v>
      </c>
      <c r="D5" s="3">
        <f>'14'!B14</f>
        <v>0.60948628265638094</v>
      </c>
      <c r="E5" s="3">
        <f>'20'!B14</f>
        <v>0.57561663349359293</v>
      </c>
      <c r="F5" s="3">
        <f>'24.91'!B14</f>
        <v>0.55406714411687852</v>
      </c>
      <c r="G5" s="3">
        <f>'25'!B14</f>
        <v>0.50243155551597241</v>
      </c>
      <c r="H5" s="3">
        <f>'40'!B14</f>
        <v>0.48963842619621184</v>
      </c>
      <c r="I5" s="3">
        <f>'45'!B14</f>
        <v>0.45708966212776869</v>
      </c>
      <c r="J5">
        <f>'55'!B14</f>
        <v>0.42661856855051666</v>
      </c>
      <c r="K5">
        <f>'60'!B14</f>
        <v>0.40974446923360591</v>
      </c>
      <c r="L5">
        <f>'70'!B14</f>
        <v>0.37536544406503686</v>
      </c>
      <c r="M5" s="27">
        <f>AVEDEV(B5:L5)</f>
        <v>7.9267451149614879E-2</v>
      </c>
      <c r="N5">
        <f>M5/((ABS(B5)+ABS(C5)+ABS(D5)+ABS(E5)+ABS(F5)+ABS(G5)+ABS(H5)+ABS(I5))/8+ABS(J5)+ABS(K5)+ABS(L5))*100</f>
        <v>4.4784900497886779</v>
      </c>
    </row>
    <row r="6" spans="1:14" x14ac:dyDescent="0.2">
      <c r="M6" t="s">
        <v>37</v>
      </c>
      <c r="N6" s="12">
        <f>AVERAGE(N4:N5)</f>
        <v>4.3849028515286221</v>
      </c>
    </row>
    <row r="8" spans="1:14" x14ac:dyDescent="0.2">
      <c r="B8" s="3"/>
      <c r="C8" s="3"/>
      <c r="D8" s="3"/>
      <c r="E8" s="3"/>
      <c r="F8" s="3"/>
      <c r="G8" s="3"/>
      <c r="H8" s="3"/>
      <c r="I8" s="3"/>
    </row>
    <row r="9" spans="1:14" x14ac:dyDescent="0.2">
      <c r="B9" s="3"/>
      <c r="C9" s="3"/>
      <c r="D9" s="3"/>
      <c r="E9" s="3"/>
      <c r="F9" s="3"/>
      <c r="G9" s="3"/>
      <c r="H9" s="3"/>
      <c r="I9" s="3"/>
    </row>
    <row r="10" spans="1:14" x14ac:dyDescent="0.2">
      <c r="B10" s="3"/>
      <c r="C10" s="3"/>
      <c r="D10" s="3"/>
      <c r="E10" s="3"/>
      <c r="F10" s="3"/>
      <c r="G10" s="3"/>
      <c r="H10" s="3"/>
      <c r="I10" s="3"/>
    </row>
    <row r="11" spans="1:14" x14ac:dyDescent="0.2">
      <c r="A11" s="3"/>
    </row>
    <row r="13" spans="1:14" x14ac:dyDescent="0.2">
      <c r="B13" s="3"/>
      <c r="C13" s="3"/>
      <c r="D13" s="3"/>
      <c r="E13" s="3"/>
      <c r="F13" s="3"/>
      <c r="G13" s="3"/>
      <c r="H13" s="3"/>
      <c r="I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</row>
    <row r="15" spans="1:14" x14ac:dyDescent="0.2">
      <c r="B15" s="3"/>
      <c r="C15" s="3"/>
      <c r="D15" s="3"/>
      <c r="E15" s="3"/>
      <c r="I15" s="3"/>
    </row>
    <row r="16" spans="1:14" x14ac:dyDescent="0.2">
      <c r="B16" s="3"/>
      <c r="C16" s="3"/>
      <c r="D16" s="3"/>
      <c r="E16" s="3"/>
      <c r="F16" s="3"/>
      <c r="G16" s="3"/>
      <c r="H16" s="3"/>
      <c r="I16" s="3"/>
    </row>
    <row r="17" spans="1:9" x14ac:dyDescent="0.2">
      <c r="B17" s="3"/>
      <c r="C17" s="3"/>
      <c r="D17" s="3"/>
      <c r="E17" s="3"/>
      <c r="F17" s="3"/>
      <c r="G17" s="3"/>
      <c r="H17" s="3"/>
      <c r="I17" s="3"/>
    </row>
    <row r="18" spans="1:9" x14ac:dyDescent="0.2">
      <c r="B18" s="3"/>
      <c r="C18" s="3"/>
      <c r="D18" s="3"/>
      <c r="E18" s="3"/>
      <c r="F18" s="3"/>
      <c r="G18" s="3"/>
      <c r="H18" s="3"/>
      <c r="I18" s="3"/>
    </row>
    <row r="19" spans="1:9" x14ac:dyDescent="0.2">
      <c r="B19" s="3"/>
      <c r="C19" s="3"/>
      <c r="D19" s="3"/>
      <c r="E19" s="3"/>
      <c r="F19" s="3"/>
      <c r="G19" s="3"/>
      <c r="H19" s="3"/>
      <c r="I19" s="3"/>
    </row>
    <row r="31" spans="1:9" x14ac:dyDescent="0.2">
      <c r="A31" s="3" t="s">
        <v>38</v>
      </c>
      <c r="B31" s="3"/>
    </row>
    <row r="32" spans="1:9" x14ac:dyDescent="0.2">
      <c r="A32" s="3"/>
      <c r="B32" s="3"/>
      <c r="C32" s="22"/>
      <c r="D32" s="22"/>
      <c r="E32" s="22"/>
    </row>
    <row r="33" spans="1:5" x14ac:dyDescent="0.2">
      <c r="A33" s="3" t="s">
        <v>39</v>
      </c>
      <c r="C33" t="s">
        <v>40</v>
      </c>
      <c r="D33" s="3"/>
      <c r="E33" s="3" t="s">
        <v>41</v>
      </c>
    </row>
    <row r="34" spans="1:5" x14ac:dyDescent="0.2">
      <c r="A34" s="3"/>
    </row>
    <row r="35" spans="1:5" x14ac:dyDescent="0.2">
      <c r="A35" s="3">
        <v>8</v>
      </c>
      <c r="C35" s="22">
        <f>'8'!Q25</f>
        <v>5.2814903460703277E-2</v>
      </c>
      <c r="D35" s="22"/>
      <c r="E35" s="15">
        <f>'8'!S25</f>
        <v>7.200504821236719E-4</v>
      </c>
    </row>
    <row r="36" spans="1:5" x14ac:dyDescent="0.2">
      <c r="A36" s="3">
        <v>10</v>
      </c>
      <c r="C36" s="22">
        <f>'10'!Q23</f>
        <v>0.10654069482487856</v>
      </c>
      <c r="D36" s="22"/>
      <c r="E36" s="15">
        <f>'10'!S23</f>
        <v>9.8617553481433469E-4</v>
      </c>
    </row>
    <row r="37" spans="1:5" x14ac:dyDescent="0.2">
      <c r="A37" s="3">
        <v>14</v>
      </c>
      <c r="C37" s="22">
        <f>'14'!Q25</f>
        <v>7.5044607769495286E-2</v>
      </c>
      <c r="D37" s="22"/>
      <c r="E37" s="15">
        <f>'14'!S25</f>
        <v>5.5402029982247415E-4</v>
      </c>
    </row>
    <row r="38" spans="1:5" x14ac:dyDescent="0.2">
      <c r="A38" s="28">
        <v>20</v>
      </c>
      <c r="C38" s="22">
        <f>'20'!Q25</f>
        <v>9.5446621519176489E-2</v>
      </c>
      <c r="D38" s="22"/>
      <c r="E38" s="15">
        <f>'20'!S25</f>
        <v>5.0485066764885519E-4</v>
      </c>
    </row>
    <row r="39" spans="1:5" x14ac:dyDescent="0.2">
      <c r="A39" s="28">
        <v>24.91</v>
      </c>
      <c r="C39" s="22">
        <f>'24.91'!Q23</f>
        <v>0.22277550496305878</v>
      </c>
      <c r="D39" s="22"/>
      <c r="E39" s="15">
        <f>'24.91'!S23</f>
        <v>2.0820464461618061E-4</v>
      </c>
    </row>
    <row r="40" spans="1:5" x14ac:dyDescent="0.2">
      <c r="A40" s="28">
        <v>25</v>
      </c>
      <c r="C40" s="22">
        <f>'25'!Q24</f>
        <v>0.37701438087680506</v>
      </c>
      <c r="D40" s="22"/>
      <c r="E40" s="15">
        <f>'25'!S24</f>
        <v>5.3010533010167365E-4</v>
      </c>
    </row>
    <row r="41" spans="1:5" x14ac:dyDescent="0.2">
      <c r="A41" s="28">
        <v>40</v>
      </c>
      <c r="C41" s="22">
        <f>'40'!Q28</f>
        <v>0.19990189391440746</v>
      </c>
      <c r="D41" s="22"/>
      <c r="E41" s="15">
        <f>'40'!S28</f>
        <v>6.8953516521892786E-4</v>
      </c>
    </row>
    <row r="42" spans="1:5" x14ac:dyDescent="0.2">
      <c r="A42" s="28">
        <v>45</v>
      </c>
      <c r="B42" s="3"/>
      <c r="C42" s="22">
        <f>'45'!Q18</f>
        <v>1.8109337953251952</v>
      </c>
      <c r="D42" s="22"/>
      <c r="E42" s="15">
        <f>'45'!S18</f>
        <v>1.3670355502475805E-3</v>
      </c>
    </row>
    <row r="43" spans="1:5" x14ac:dyDescent="0.2">
      <c r="A43" s="28">
        <v>55</v>
      </c>
      <c r="B43" s="3"/>
      <c r="C43" s="18">
        <f>'55'!Q28</f>
        <v>1.4404583882192734</v>
      </c>
      <c r="D43" s="18"/>
      <c r="E43" s="12">
        <f>'55'!S28</f>
        <v>2.3509182266512701E-4</v>
      </c>
    </row>
    <row r="44" spans="1:5" x14ac:dyDescent="0.2">
      <c r="A44" s="28">
        <v>60</v>
      </c>
      <c r="B44" s="3"/>
      <c r="C44" s="22">
        <f>'60'!Q23</f>
        <v>1.5212726175714522</v>
      </c>
      <c r="D44" s="22"/>
      <c r="E44" s="15">
        <f>'60'!S23</f>
        <v>5.9266710660131204E-4</v>
      </c>
    </row>
    <row r="45" spans="1:5" x14ac:dyDescent="0.2">
      <c r="A45" s="28">
        <v>70</v>
      </c>
      <c r="C45" s="22">
        <f>'70'!Q25</f>
        <v>1.1414199619284489</v>
      </c>
      <c r="D45" s="22"/>
      <c r="E45" s="15">
        <f>'70'!S25</f>
        <v>2.3213135867936074E-3</v>
      </c>
    </row>
    <row r="47" spans="1:5" x14ac:dyDescent="0.2">
      <c r="C47" s="12">
        <f>AVERAGE(C35:C45)</f>
        <v>0.64032939730662675</v>
      </c>
      <c r="D47" s="12"/>
      <c r="E47" s="12">
        <f>AVERAGE(E35:E45)</f>
        <v>7.9173183551397685E-4</v>
      </c>
    </row>
    <row r="48" spans="1:5" x14ac:dyDescent="0.2">
      <c r="A48" s="3"/>
      <c r="B48" s="3"/>
      <c r="C48" s="3"/>
    </row>
    <row r="49" spans="1:26" x14ac:dyDescent="0.2">
      <c r="A49" s="5"/>
      <c r="B49" s="3"/>
      <c r="C49" s="3"/>
    </row>
    <row r="50" spans="1:26" x14ac:dyDescent="0.2">
      <c r="A50" s="2"/>
      <c r="B50" s="3"/>
      <c r="C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V51" s="2"/>
      <c r="W51" s="3"/>
      <c r="X51" s="3"/>
    </row>
    <row r="52" spans="1:26" x14ac:dyDescent="0.2">
      <c r="A52" s="3"/>
      <c r="B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W52" s="2"/>
      <c r="X52" s="3"/>
      <c r="Y52" s="3"/>
      <c r="Z52" s="3"/>
    </row>
    <row r="54" spans="1:26" s="22" customFormat="1" x14ac:dyDescent="0.2">
      <c r="A54" s="18"/>
      <c r="B54" s="19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P54"/>
      <c r="Q54" s="15"/>
      <c r="R54" s="18"/>
      <c r="S54" s="20"/>
      <c r="T54" s="20"/>
      <c r="U54" s="21"/>
      <c r="V54" s="18"/>
      <c r="W54" s="18"/>
      <c r="X54" s="18"/>
    </row>
    <row r="55" spans="1:26" s="22" customFormat="1" x14ac:dyDescent="0.2">
      <c r="A55" s="18"/>
      <c r="B55" s="23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25"/>
      <c r="P55"/>
      <c r="Q55" s="15"/>
      <c r="R55" s="18"/>
      <c r="S55" s="18"/>
      <c r="T55" s="18"/>
      <c r="U55" s="18"/>
      <c r="V55" s="21"/>
      <c r="W55" s="18"/>
      <c r="X55" s="18"/>
      <c r="Y55" s="18"/>
    </row>
    <row r="56" spans="1:26" s="15" customFormat="1" x14ac:dyDescent="0.2">
      <c r="A56" s="12"/>
      <c r="B56" s="1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8"/>
      <c r="P56" s="12"/>
      <c r="Q56" s="12"/>
      <c r="R56" s="12"/>
      <c r="S56" s="14"/>
      <c r="T56" s="14"/>
      <c r="U56" s="14"/>
      <c r="V56" s="12"/>
      <c r="W56" s="12"/>
      <c r="X56" s="12"/>
    </row>
    <row r="57" spans="1:26" s="15" customFormat="1" ht="13.5" customHeight="1" x14ac:dyDescent="0.2">
      <c r="B57" s="1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8"/>
      <c r="P57" s="12"/>
      <c r="Q57" s="12"/>
      <c r="R57" s="12"/>
      <c r="S57" s="14"/>
      <c r="T57" s="14"/>
      <c r="U57" s="14"/>
      <c r="V57" s="12"/>
      <c r="W57" s="12"/>
      <c r="X57" s="12"/>
    </row>
    <row r="58" spans="1:26" x14ac:dyDescent="0.2">
      <c r="O58" s="22"/>
      <c r="Q58" s="15"/>
    </row>
    <row r="59" spans="1:26" x14ac:dyDescent="0.2">
      <c r="A59" s="3"/>
      <c r="B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8"/>
      <c r="P59" s="3"/>
      <c r="Q59" s="12"/>
      <c r="R59" s="3"/>
      <c r="S59" s="2"/>
      <c r="T59" s="2"/>
      <c r="U59" s="2"/>
      <c r="V59" s="2"/>
      <c r="W59" s="3"/>
      <c r="X59" s="3"/>
    </row>
    <row r="60" spans="1:26" s="22" customFormat="1" x14ac:dyDescent="0.2">
      <c r="A60" s="24"/>
      <c r="B60" s="19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Q60" s="15"/>
      <c r="R60" s="15"/>
      <c r="S60" s="20"/>
      <c r="T60" s="20"/>
      <c r="U60" s="21"/>
      <c r="V60" s="18"/>
      <c r="W60" s="18"/>
      <c r="X60" s="18"/>
    </row>
    <row r="61" spans="1:26" s="22" customFormat="1" x14ac:dyDescent="0.2">
      <c r="A61" s="18"/>
      <c r="B61" s="23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P61" s="25"/>
      <c r="Q61" s="15"/>
      <c r="R61" s="15"/>
      <c r="S61" s="18"/>
      <c r="T61" s="18"/>
      <c r="U61" s="18"/>
      <c r="V61" s="21"/>
      <c r="W61" s="18"/>
      <c r="X61" s="18"/>
      <c r="Y61" s="18"/>
    </row>
    <row r="62" spans="1:26" s="15" customFormat="1" x14ac:dyDescent="0.2">
      <c r="A62" s="12"/>
      <c r="B62" s="13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8"/>
      <c r="P62" s="12"/>
      <c r="Q62" s="12"/>
      <c r="R62" s="12"/>
      <c r="S62" s="14"/>
      <c r="T62" s="14"/>
      <c r="U62" s="14"/>
      <c r="V62" s="12"/>
      <c r="W62" s="12"/>
      <c r="X62" s="12"/>
    </row>
    <row r="63" spans="1:26" s="15" customFormat="1" ht="13.5" customHeight="1" x14ac:dyDescent="0.2">
      <c r="B63" s="1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8"/>
      <c r="P63" s="12"/>
      <c r="Q63" s="12"/>
      <c r="R63" s="12"/>
      <c r="S63" s="14"/>
      <c r="T63" s="14"/>
      <c r="U63" s="14"/>
      <c r="V63" s="12"/>
      <c r="W63" s="12"/>
      <c r="X63" s="12"/>
    </row>
    <row r="64" spans="1:26" x14ac:dyDescent="0.2">
      <c r="A64" s="11"/>
      <c r="B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8"/>
      <c r="P64" s="3"/>
      <c r="Q64" s="12"/>
      <c r="R64" s="12"/>
      <c r="S64" s="2"/>
      <c r="T64" s="2"/>
      <c r="U64" s="2"/>
      <c r="V64" s="2"/>
      <c r="W64" s="3"/>
      <c r="X64" s="3"/>
    </row>
    <row r="65" spans="1:25" s="22" customFormat="1" ht="14.25" customHeight="1" x14ac:dyDescent="0.2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2"/>
      <c r="R65" s="12"/>
      <c r="S65" s="20"/>
      <c r="T65" s="20"/>
      <c r="U65" s="21"/>
      <c r="V65" s="18"/>
      <c r="W65" s="18"/>
      <c r="X65" s="18"/>
    </row>
    <row r="66" spans="1:25" s="22" customFormat="1" x14ac:dyDescent="0.2">
      <c r="A66" s="18"/>
      <c r="B66" s="23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2"/>
      <c r="R66" s="12"/>
      <c r="S66" s="18"/>
      <c r="T66" s="18"/>
      <c r="U66" s="18"/>
      <c r="V66" s="21"/>
      <c r="W66" s="18"/>
      <c r="X66" s="18"/>
      <c r="Y66" s="18"/>
    </row>
    <row r="67" spans="1:25" s="15" customFormat="1" x14ac:dyDescent="0.2">
      <c r="A67" s="12"/>
      <c r="B67" s="13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8"/>
      <c r="P67" s="12"/>
      <c r="Q67" s="12"/>
      <c r="R67" s="12"/>
      <c r="S67" s="14"/>
      <c r="T67" s="14"/>
      <c r="U67" s="14"/>
      <c r="V67" s="12"/>
      <c r="W67" s="12"/>
      <c r="X67" s="12"/>
    </row>
    <row r="68" spans="1:25" s="15" customFormat="1" ht="13.5" customHeight="1" x14ac:dyDescent="0.2">
      <c r="B68" s="1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8"/>
      <c r="P68" s="12"/>
      <c r="Q68" s="12"/>
      <c r="R68" s="12"/>
      <c r="S68" s="14"/>
      <c r="T68" s="14"/>
      <c r="U68" s="14"/>
      <c r="V68" s="12"/>
      <c r="W68" s="12"/>
      <c r="X68" s="12"/>
    </row>
    <row r="69" spans="1:25" x14ac:dyDescent="0.2">
      <c r="A69" s="1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18"/>
      <c r="P69" s="3"/>
      <c r="Q69" s="12"/>
      <c r="R69" s="12"/>
      <c r="S69" s="2"/>
      <c r="T69" s="2"/>
      <c r="U69" s="3"/>
      <c r="V69" s="3"/>
      <c r="W69" s="3"/>
      <c r="X69" s="3"/>
    </row>
    <row r="70" spans="1:25" s="22" customFormat="1" x14ac:dyDescent="0.2"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2"/>
      <c r="R70" s="12"/>
      <c r="S70" s="21"/>
      <c r="T70" s="21"/>
      <c r="U70" s="21"/>
      <c r="V70" s="21"/>
      <c r="W70" s="18"/>
      <c r="X70" s="18"/>
    </row>
    <row r="71" spans="1:25" s="22" customFormat="1" x14ac:dyDescent="0.2">
      <c r="A71" s="18"/>
      <c r="B71" s="23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2"/>
      <c r="R71" s="12"/>
      <c r="S71" s="18"/>
      <c r="T71" s="18"/>
      <c r="U71" s="18"/>
      <c r="V71" s="18"/>
      <c r="W71" s="18"/>
      <c r="X71" s="18"/>
    </row>
    <row r="72" spans="1:25" s="15" customFormat="1" x14ac:dyDescent="0.2">
      <c r="A72" s="12"/>
      <c r="B72" s="13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8"/>
      <c r="P72" s="12"/>
      <c r="Q72" s="12"/>
      <c r="R72" s="12"/>
      <c r="S72" s="17"/>
      <c r="T72" s="17"/>
      <c r="U72" s="14"/>
      <c r="V72" s="12"/>
      <c r="W72" s="12"/>
      <c r="X72" s="12"/>
    </row>
    <row r="73" spans="1:25" s="15" customFormat="1" x14ac:dyDescent="0.2">
      <c r="A73" s="12"/>
      <c r="B73" s="1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8"/>
      <c r="P73" s="12"/>
      <c r="Q73" s="12"/>
      <c r="R73" s="12"/>
      <c r="S73" s="12"/>
      <c r="T73" s="12"/>
      <c r="U73" s="12"/>
      <c r="V73" s="14"/>
      <c r="W73" s="12"/>
      <c r="X73" s="12"/>
      <c r="Y73" s="12"/>
    </row>
    <row r="74" spans="1:25" x14ac:dyDescent="0.2">
      <c r="A74" s="11"/>
      <c r="B74" s="10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8"/>
      <c r="P74" s="3"/>
      <c r="Q74" s="12"/>
      <c r="R74" s="12"/>
      <c r="S74" s="2"/>
      <c r="T74" s="2"/>
      <c r="U74" s="2"/>
      <c r="V74" s="3"/>
      <c r="W74" s="3"/>
      <c r="X74" s="3"/>
    </row>
    <row r="75" spans="1:25" s="22" customFormat="1" ht="13.5" customHeight="1" x14ac:dyDescent="0.2"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P75"/>
      <c r="Q75" s="15"/>
      <c r="R75" s="12"/>
      <c r="S75" s="21"/>
      <c r="T75" s="21"/>
      <c r="U75" s="21"/>
      <c r="V75" s="18"/>
      <c r="W75" s="18"/>
      <c r="X75" s="18"/>
    </row>
    <row r="76" spans="1:25" s="22" customFormat="1" x14ac:dyDescent="0.2">
      <c r="A76" s="18"/>
      <c r="B76" s="23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25"/>
      <c r="P76"/>
      <c r="Q76" s="15"/>
      <c r="R76" s="12"/>
      <c r="S76" s="21"/>
      <c r="T76" s="18"/>
      <c r="U76" s="21"/>
      <c r="V76" s="21"/>
      <c r="W76" s="18"/>
      <c r="X76" s="18"/>
    </row>
    <row r="77" spans="1:25" s="15" customFormat="1" x14ac:dyDescent="0.2">
      <c r="B77" s="13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8"/>
      <c r="P77" s="12"/>
      <c r="Q77" s="12"/>
      <c r="R77" s="12"/>
      <c r="S77" s="14"/>
      <c r="T77" s="14"/>
      <c r="U77" s="14"/>
      <c r="V77" s="14"/>
      <c r="W77" s="12"/>
      <c r="X77" s="12"/>
    </row>
    <row r="78" spans="1:25" s="15" customFormat="1" x14ac:dyDescent="0.2">
      <c r="A78" s="12"/>
      <c r="B78" s="1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8"/>
      <c r="P78" s="12"/>
      <c r="Q78" s="12"/>
      <c r="R78" s="12"/>
      <c r="S78" s="12"/>
      <c r="T78" s="12"/>
      <c r="U78" s="12"/>
      <c r="V78" s="12"/>
      <c r="W78" s="12"/>
      <c r="X78" s="12"/>
    </row>
    <row r="79" spans="1:25" x14ac:dyDescent="0.2">
      <c r="A79" s="11"/>
      <c r="B79" s="10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18"/>
      <c r="P79" s="3"/>
      <c r="Q79" s="12"/>
      <c r="R79" s="12"/>
      <c r="S79" s="2"/>
      <c r="T79" s="2"/>
      <c r="U79" s="2"/>
      <c r="V79" s="3"/>
      <c r="W79" s="3"/>
      <c r="X79" s="3"/>
    </row>
    <row r="80" spans="1:25" s="22" customFormat="1" ht="13.5" customHeight="1" x14ac:dyDescent="0.2"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2"/>
      <c r="R80" s="12"/>
      <c r="S80" s="21"/>
      <c r="T80" s="21"/>
      <c r="U80" s="21"/>
      <c r="V80" s="18"/>
      <c r="W80" s="18"/>
      <c r="X80" s="18"/>
    </row>
    <row r="81" spans="1:24" s="22" customFormat="1" x14ac:dyDescent="0.2">
      <c r="A81" s="18"/>
      <c r="B81" s="23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2"/>
      <c r="R81" s="12"/>
      <c r="S81" s="21"/>
      <c r="T81" s="18"/>
      <c r="U81" s="21"/>
      <c r="V81" s="21"/>
      <c r="W81" s="18"/>
      <c r="X81" s="18"/>
    </row>
    <row r="82" spans="1:24" s="15" customFormat="1" x14ac:dyDescent="0.2">
      <c r="B82" s="13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8"/>
      <c r="P82" s="12"/>
      <c r="Q82" s="12"/>
      <c r="R82" s="12"/>
      <c r="S82" s="14"/>
      <c r="T82" s="14"/>
      <c r="U82" s="14"/>
      <c r="V82" s="14"/>
      <c r="W82" s="12"/>
      <c r="X82" s="12"/>
    </row>
    <row r="83" spans="1:24" s="15" customFormat="1" x14ac:dyDescent="0.2">
      <c r="A83" s="12"/>
      <c r="B83" s="1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8"/>
      <c r="P83" s="12"/>
      <c r="Q83" s="12"/>
      <c r="R83" s="12"/>
      <c r="S83" s="12"/>
      <c r="T83" s="12"/>
      <c r="U83" s="12"/>
      <c r="V83" s="12"/>
      <c r="W83" s="12"/>
      <c r="X83" s="12"/>
    </row>
    <row r="84" spans="1:24" x14ac:dyDescent="0.2">
      <c r="A84" s="11"/>
      <c r="B84" s="10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18"/>
      <c r="P84" s="3"/>
      <c r="Q84" s="12"/>
      <c r="R84" s="12"/>
      <c r="S84" s="2"/>
      <c r="T84" s="2"/>
      <c r="U84" s="2"/>
      <c r="V84" s="3"/>
      <c r="W84" s="3"/>
      <c r="X84" s="3"/>
    </row>
    <row r="85" spans="1:24" s="22" customFormat="1" ht="13.5" customHeight="1" x14ac:dyDescent="0.2"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2"/>
      <c r="R85" s="12"/>
      <c r="S85" s="21"/>
      <c r="T85" s="21"/>
      <c r="U85" s="21"/>
      <c r="V85" s="18"/>
      <c r="W85" s="18"/>
      <c r="X85" s="18"/>
    </row>
    <row r="86" spans="1:24" s="22" customFormat="1" x14ac:dyDescent="0.2">
      <c r="A86" s="18"/>
      <c r="B86" s="23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2"/>
      <c r="R86" s="12"/>
      <c r="S86" s="21"/>
      <c r="T86" s="18"/>
      <c r="U86" s="21"/>
      <c r="V86" s="21"/>
      <c r="W86" s="18"/>
      <c r="X86" s="18"/>
    </row>
    <row r="87" spans="1:24" s="15" customFormat="1" x14ac:dyDescent="0.2">
      <c r="B87" s="13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8"/>
      <c r="P87" s="12"/>
      <c r="Q87" s="12"/>
      <c r="R87" s="12"/>
      <c r="S87" s="14"/>
      <c r="T87" s="14"/>
      <c r="U87" s="14"/>
      <c r="V87" s="14"/>
      <c r="W87" s="12"/>
      <c r="X87" s="12"/>
    </row>
    <row r="88" spans="1:24" s="15" customFormat="1" x14ac:dyDescent="0.2">
      <c r="A88" s="12"/>
      <c r="B88" s="1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8"/>
      <c r="P88" s="12"/>
      <c r="Q88" s="12"/>
      <c r="R88" s="12"/>
      <c r="S88" s="12"/>
      <c r="T88" s="12"/>
      <c r="U88" s="12"/>
      <c r="V88" s="12"/>
      <c r="W88" s="12"/>
      <c r="X88" s="12"/>
    </row>
    <row r="89" spans="1:24" x14ac:dyDescent="0.2">
      <c r="A89" s="11"/>
      <c r="B89" s="10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18"/>
      <c r="P89" s="3"/>
      <c r="Q89" s="12"/>
      <c r="R89" s="12"/>
      <c r="S89" s="2"/>
      <c r="T89" s="2"/>
      <c r="U89" s="2"/>
      <c r="V89" s="3"/>
      <c r="W89" s="3"/>
      <c r="X89" s="3"/>
    </row>
    <row r="90" spans="1:24" s="22" customFormat="1" ht="13.5" customHeight="1" x14ac:dyDescent="0.2"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2"/>
      <c r="R90" s="12"/>
      <c r="S90" s="21"/>
      <c r="T90" s="21"/>
      <c r="U90" s="21"/>
      <c r="V90" s="18"/>
      <c r="W90" s="18"/>
      <c r="X90" s="18"/>
    </row>
    <row r="91" spans="1:24" s="22" customFormat="1" x14ac:dyDescent="0.2">
      <c r="A91" s="18"/>
      <c r="B91" s="23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2"/>
      <c r="R91" s="12"/>
      <c r="S91" s="21"/>
      <c r="T91" s="18"/>
      <c r="U91" s="21"/>
      <c r="V91" s="21"/>
      <c r="W91" s="18"/>
      <c r="X91" s="18"/>
    </row>
    <row r="92" spans="1:24" s="15" customFormat="1" x14ac:dyDescent="0.2">
      <c r="B92" s="13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4"/>
      <c r="T92" s="14"/>
      <c r="U92" s="14"/>
      <c r="V92" s="14"/>
      <c r="W92" s="12"/>
      <c r="X92" s="12"/>
    </row>
    <row r="93" spans="1:24" s="15" customFormat="1" x14ac:dyDescent="0.2">
      <c r="A93" s="12"/>
      <c r="B93" s="1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2"/>
      <c r="V94" s="3"/>
      <c r="W94" s="3"/>
      <c r="X94" s="3"/>
    </row>
    <row r="95" spans="1:24" x14ac:dyDescent="0.2">
      <c r="A95" s="3"/>
      <c r="B95" s="3"/>
      <c r="C95" s="3"/>
      <c r="D95" s="3"/>
      <c r="E95" s="3"/>
      <c r="F95" s="3"/>
      <c r="G95" s="3"/>
      <c r="H95" s="9"/>
      <c r="I95" s="9"/>
      <c r="J95" s="9"/>
      <c r="K95" s="3"/>
      <c r="L95" s="3"/>
      <c r="M95" s="3"/>
      <c r="N95" s="3"/>
      <c r="O95" s="3"/>
      <c r="P95" s="3"/>
      <c r="Q95" s="3"/>
      <c r="R95" s="3"/>
      <c r="S95" s="2"/>
      <c r="T95" s="2"/>
      <c r="U95" s="2"/>
      <c r="V95" s="3"/>
      <c r="W95" s="3"/>
      <c r="X95" s="3"/>
    </row>
    <row r="96" spans="1:24" x14ac:dyDescent="0.2">
      <c r="A96" s="3"/>
      <c r="B96" s="3"/>
      <c r="C96" s="3"/>
      <c r="D96" s="3"/>
      <c r="E96" s="3"/>
      <c r="F96" s="3"/>
      <c r="G96" s="3"/>
      <c r="H96" s="3"/>
      <c r="I96" s="3"/>
      <c r="K96" s="3"/>
      <c r="L96" s="3"/>
      <c r="M96" s="3"/>
      <c r="N96" s="3"/>
      <c r="O96" s="3"/>
      <c r="P96" s="3"/>
      <c r="Q96" s="3"/>
      <c r="R96" s="3"/>
      <c r="S96" s="5"/>
      <c r="T96" s="5"/>
      <c r="U96" s="2"/>
      <c r="V96" s="3"/>
      <c r="W96" s="3"/>
      <c r="X96" s="3"/>
    </row>
    <row r="97" spans="1:24" x14ac:dyDescent="0.2">
      <c r="A97" s="3"/>
      <c r="B97" s="3"/>
      <c r="C97" s="3"/>
      <c r="D97" s="3"/>
      <c r="E97" s="3"/>
      <c r="F97" s="3"/>
      <c r="G97" s="3"/>
      <c r="H97" s="3"/>
      <c r="I97" s="3"/>
      <c r="K97" s="3"/>
      <c r="L97" s="3"/>
      <c r="M97" s="3"/>
      <c r="N97" s="3"/>
      <c r="O97" s="3"/>
      <c r="P97" s="3"/>
      <c r="Q97" s="3"/>
      <c r="R97" s="3"/>
      <c r="S97" s="2"/>
      <c r="T97" s="2"/>
      <c r="U97" s="2"/>
      <c r="V97" s="3"/>
      <c r="W97" s="3"/>
      <c r="X97" s="3"/>
    </row>
    <row r="98" spans="1:24" x14ac:dyDescent="0.2">
      <c r="A98" s="3"/>
      <c r="B98" s="3"/>
      <c r="C98" s="3"/>
      <c r="D98" s="3"/>
      <c r="E98" s="3"/>
      <c r="F98" s="3"/>
      <c r="G98" s="3"/>
      <c r="H98" s="3"/>
      <c r="I98" s="3"/>
      <c r="K98" s="3"/>
      <c r="L98" s="3"/>
      <c r="M98" s="3"/>
      <c r="N98" s="3"/>
      <c r="O98" s="3"/>
      <c r="P98" s="3"/>
      <c r="Q98" s="3"/>
      <c r="R98" s="3"/>
      <c r="S98" s="2"/>
      <c r="T98" s="2"/>
      <c r="U98" s="2"/>
      <c r="V98" s="3"/>
      <c r="W98" s="3"/>
      <c r="X98" s="3"/>
    </row>
    <row r="99" spans="1:24" x14ac:dyDescent="0.2">
      <c r="A99" s="3"/>
      <c r="B99" s="3"/>
      <c r="C99" s="3"/>
      <c r="D99" s="3"/>
      <c r="E99" s="3"/>
      <c r="F99" s="3"/>
      <c r="G99" s="3"/>
      <c r="H99" s="3"/>
      <c r="I99" s="3"/>
      <c r="K99" s="3"/>
      <c r="L99" s="3"/>
      <c r="M99" s="3"/>
      <c r="N99" s="3"/>
      <c r="O99" s="3"/>
      <c r="P99" s="3"/>
      <c r="Q99" s="3"/>
      <c r="R99" s="3"/>
      <c r="S99" s="2"/>
      <c r="T99" s="2"/>
      <c r="U99" s="2"/>
      <c r="V99" s="3"/>
      <c r="W99" s="3"/>
      <c r="X99" s="3"/>
    </row>
    <row r="100" spans="1:24" x14ac:dyDescent="0.2">
      <c r="B100" s="26"/>
      <c r="C100" s="26"/>
      <c r="D100" s="26"/>
      <c r="E100" s="26"/>
      <c r="F100" s="26"/>
      <c r="G100" s="26"/>
      <c r="H100" s="26"/>
      <c r="I100" s="26"/>
      <c r="J100" s="26"/>
    </row>
    <row r="101" spans="1:24" x14ac:dyDescent="0.2">
      <c r="B101" s="3"/>
      <c r="C101" s="3"/>
      <c r="D101" s="3"/>
      <c r="E101" s="3"/>
      <c r="F101" s="3"/>
      <c r="G101" s="3"/>
      <c r="H101" s="8"/>
      <c r="I101" s="8"/>
      <c r="J101" s="9"/>
      <c r="K101" s="3"/>
      <c r="L101" s="3"/>
      <c r="M101" s="3"/>
      <c r="N101" s="3"/>
      <c r="O101" s="3"/>
      <c r="P101" s="3"/>
      <c r="Q101" s="3"/>
      <c r="R101" s="3"/>
      <c r="S101" s="2"/>
      <c r="T101" s="2"/>
      <c r="U101" s="3"/>
      <c r="V101" s="3"/>
      <c r="W101" s="3"/>
      <c r="X101" s="3"/>
    </row>
    <row r="102" spans="1:24" x14ac:dyDescent="0.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2"/>
      <c r="T102" s="2"/>
      <c r="U102" s="3"/>
      <c r="V102" s="3"/>
      <c r="W102" s="3"/>
      <c r="X102" s="3"/>
    </row>
    <row r="103" spans="1:24" x14ac:dyDescent="0.2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"/>
      <c r="T103" s="2"/>
      <c r="U103" s="3"/>
      <c r="V103" s="3"/>
      <c r="W103" s="3"/>
      <c r="X103" s="3"/>
    </row>
    <row r="104" spans="1:24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"/>
      <c r="T104" s="2"/>
      <c r="U104" s="2"/>
      <c r="V104" s="2"/>
      <c r="W104" s="3"/>
      <c r="X104" s="3"/>
    </row>
    <row r="105" spans="1:24" x14ac:dyDescent="0.2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  <c r="T105" s="2"/>
      <c r="U105" s="2"/>
      <c r="V105" s="2"/>
      <c r="W105" s="3"/>
      <c r="X105" s="3"/>
    </row>
    <row r="106" spans="1:24" x14ac:dyDescent="0.2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5"/>
      <c r="V108" s="5"/>
      <c r="W108" s="3"/>
      <c r="X108" s="3"/>
    </row>
    <row r="109" spans="1:24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2"/>
      <c r="T109" s="3"/>
      <c r="U109" s="2"/>
      <c r="V109" s="2"/>
      <c r="W109" s="3"/>
      <c r="X109" s="3"/>
    </row>
    <row r="110" spans="1:2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2"/>
      <c r="T110" s="3"/>
      <c r="U110" s="2"/>
      <c r="V110" s="2"/>
      <c r="W110" s="3"/>
      <c r="X110" s="3"/>
    </row>
    <row r="111" spans="1:24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2"/>
      <c r="V111" s="3"/>
      <c r="W111" s="3"/>
      <c r="X111" s="3"/>
    </row>
    <row r="112" spans="1:24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2"/>
      <c r="V112" s="3"/>
      <c r="W112" s="3"/>
      <c r="X112" s="3"/>
    </row>
    <row r="113" spans="1:2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5"/>
      <c r="T113" s="5"/>
      <c r="U113" s="2"/>
      <c r="V113" s="3"/>
      <c r="W113" s="3"/>
      <c r="X113" s="3"/>
    </row>
    <row r="114" spans="1:24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2"/>
      <c r="T114" s="2"/>
      <c r="U114" s="2"/>
      <c r="V114" s="3"/>
      <c r="W114" s="3"/>
      <c r="X114" s="3"/>
    </row>
    <row r="115" spans="1:24" x14ac:dyDescent="0.2">
      <c r="A115" s="3"/>
      <c r="B115" s="3"/>
      <c r="C115" s="3"/>
      <c r="D115" s="3"/>
      <c r="E115" s="3"/>
      <c r="F115" s="3"/>
      <c r="G115" s="3"/>
      <c r="H115" s="8"/>
      <c r="I115" s="8"/>
      <c r="J115" s="9"/>
      <c r="K115" s="3"/>
      <c r="L115" s="3"/>
      <c r="M115" s="3"/>
      <c r="N115" s="3"/>
      <c r="O115" s="3"/>
      <c r="P115" s="3"/>
      <c r="Q115" s="3"/>
      <c r="R115" s="3"/>
      <c r="S115" s="2"/>
      <c r="T115" s="2"/>
      <c r="U115" s="2"/>
      <c r="V115" s="3"/>
      <c r="W115" s="3"/>
      <c r="X115" s="3"/>
    </row>
    <row r="116" spans="1:24" x14ac:dyDescent="0.2">
      <c r="A116" s="3"/>
      <c r="B116" s="3"/>
      <c r="C116" s="3"/>
      <c r="D116" s="3"/>
      <c r="E116" s="3"/>
      <c r="F116" s="3"/>
      <c r="G116" s="3"/>
      <c r="H116" s="8"/>
      <c r="I116" s="8"/>
      <c r="J116" s="9"/>
      <c r="K116" s="3"/>
      <c r="L116" s="3"/>
      <c r="M116" s="3"/>
      <c r="N116" s="3"/>
      <c r="O116" s="3"/>
      <c r="P116" s="3"/>
      <c r="Q116" s="3"/>
      <c r="R116" s="3"/>
      <c r="S116" s="2"/>
      <c r="T116" s="2"/>
      <c r="U116" s="3"/>
      <c r="V116" s="3"/>
      <c r="W116" s="3"/>
      <c r="X116" s="3"/>
    </row>
    <row r="117" spans="1:2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2"/>
      <c r="T117" s="2"/>
      <c r="U117" s="3"/>
      <c r="V117" s="3"/>
      <c r="W117" s="3"/>
      <c r="X117" s="3"/>
    </row>
    <row r="118" spans="1:2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2"/>
      <c r="T118" s="2"/>
      <c r="U118" s="3"/>
      <c r="V118" s="3"/>
      <c r="W118" s="3"/>
      <c r="X118" s="3"/>
    </row>
    <row r="119" spans="1:24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2"/>
      <c r="T119" s="2"/>
      <c r="U119" s="2"/>
      <c r="V119" s="2"/>
      <c r="W119" s="3"/>
      <c r="X119" s="3"/>
    </row>
    <row r="120" spans="1:24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2"/>
      <c r="T120" s="2"/>
      <c r="U120" s="2"/>
      <c r="V120" s="2"/>
      <c r="W120" s="3"/>
      <c r="X120" s="3"/>
    </row>
    <row r="121" spans="1:24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5"/>
      <c r="V123" s="5"/>
      <c r="W123" s="3"/>
      <c r="X123" s="3"/>
    </row>
    <row r="124" spans="1:24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2"/>
      <c r="T124" s="3"/>
      <c r="U124" s="2"/>
      <c r="V124" s="2"/>
      <c r="W124" s="3"/>
      <c r="X124" s="3"/>
    </row>
    <row r="125" spans="1:24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2"/>
      <c r="T125" s="3"/>
      <c r="U125" s="2"/>
      <c r="V125" s="2"/>
      <c r="W125" s="3"/>
      <c r="X125" s="3"/>
    </row>
    <row r="126" spans="1:24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2"/>
      <c r="V126" s="3"/>
      <c r="W126" s="3"/>
      <c r="X126" s="3"/>
    </row>
    <row r="127" spans="1:24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2"/>
      <c r="V127" s="3"/>
      <c r="W127" s="3"/>
      <c r="X127" s="3"/>
    </row>
    <row r="128" spans="1:24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5"/>
      <c r="T128" s="5"/>
      <c r="U128" s="2"/>
      <c r="V128" s="3"/>
      <c r="W128" s="3"/>
      <c r="X128" s="3"/>
    </row>
    <row r="129" spans="1:24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2"/>
      <c r="T129" s="2"/>
      <c r="U129" s="2"/>
      <c r="V129" s="3"/>
      <c r="W129" s="3"/>
      <c r="X129" s="3"/>
    </row>
    <row r="130" spans="1:24" x14ac:dyDescent="0.2">
      <c r="A130" s="3"/>
      <c r="B130" s="3"/>
      <c r="C130" s="3"/>
      <c r="D130" s="3"/>
      <c r="E130" s="3"/>
      <c r="F130" s="3"/>
      <c r="G130" s="3"/>
      <c r="H130" s="8"/>
      <c r="I130" s="8"/>
      <c r="J130" s="9"/>
      <c r="K130" s="3"/>
      <c r="L130" s="3"/>
      <c r="M130" s="3"/>
      <c r="N130" s="3"/>
      <c r="O130" s="3"/>
      <c r="P130" s="3"/>
      <c r="Q130" s="3"/>
      <c r="R130" s="3"/>
      <c r="S130" s="2"/>
      <c r="T130" s="2"/>
      <c r="U130" s="2"/>
      <c r="V130" s="3"/>
      <c r="W130" s="3"/>
      <c r="X130" s="3"/>
    </row>
    <row r="131" spans="1:24" x14ac:dyDescent="0.2">
      <c r="A131" s="3"/>
      <c r="B131" s="3"/>
      <c r="C131" s="3"/>
      <c r="D131" s="3"/>
      <c r="E131" s="3"/>
      <c r="F131" s="3"/>
      <c r="G131" s="3"/>
      <c r="H131" s="8"/>
      <c r="I131" s="8"/>
      <c r="J131" s="9"/>
      <c r="K131" s="3"/>
      <c r="L131" s="3"/>
      <c r="M131" s="3"/>
      <c r="N131" s="3"/>
      <c r="O131" s="3"/>
      <c r="P131" s="3"/>
      <c r="Q131" s="3"/>
      <c r="R131" s="3"/>
      <c r="S131" s="2"/>
      <c r="T131" s="2"/>
      <c r="U131" s="3"/>
      <c r="V131" s="3"/>
      <c r="W131" s="3"/>
      <c r="X131" s="3"/>
    </row>
    <row r="132" spans="1:2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2"/>
      <c r="T132" s="2"/>
      <c r="U132" s="3"/>
      <c r="V132" s="3"/>
      <c r="W132" s="3"/>
      <c r="X132" s="3"/>
    </row>
    <row r="133" spans="1:24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2"/>
      <c r="T133" s="2"/>
      <c r="U133" s="3"/>
      <c r="V133" s="3"/>
      <c r="W133" s="3"/>
      <c r="X133" s="3"/>
    </row>
    <row r="134" spans="1:24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2"/>
      <c r="T134" s="2"/>
      <c r="U134" s="2"/>
      <c r="V134" s="2"/>
      <c r="W134" s="3"/>
      <c r="X134" s="3"/>
    </row>
    <row r="135" spans="1:24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2"/>
      <c r="T135" s="2"/>
      <c r="U135" s="2"/>
      <c r="V135" s="2"/>
      <c r="W135" s="3"/>
      <c r="X135" s="3"/>
    </row>
    <row r="136" spans="1:24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5"/>
      <c r="V138" s="5"/>
      <c r="W138" s="3"/>
      <c r="X138" s="3"/>
    </row>
    <row r="139" spans="1:24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2"/>
      <c r="T139" s="3"/>
      <c r="U139" s="2"/>
      <c r="V139" s="2"/>
      <c r="W139" s="3"/>
      <c r="X139" s="3"/>
    </row>
    <row r="140" spans="1:2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2"/>
      <c r="T140" s="3"/>
      <c r="U140" s="2"/>
      <c r="V140" s="2"/>
      <c r="W140" s="3"/>
      <c r="X140" s="3"/>
    </row>
    <row r="141" spans="1:24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2"/>
      <c r="V141" s="3"/>
      <c r="W141" s="3"/>
      <c r="X141" s="3"/>
    </row>
    <row r="142" spans="1:24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2"/>
      <c r="V142" s="3"/>
      <c r="W142" s="3"/>
      <c r="X142" s="3"/>
    </row>
    <row r="143" spans="1:24" x14ac:dyDescent="0.2">
      <c r="A143" s="3"/>
      <c r="B143" s="3"/>
      <c r="P143" s="3"/>
      <c r="Q143" s="3"/>
      <c r="R143" s="3"/>
      <c r="S143" s="5"/>
      <c r="T143" s="5"/>
      <c r="U143" s="2"/>
    </row>
    <row r="144" spans="1:24" x14ac:dyDescent="0.2">
      <c r="A144" s="3"/>
      <c r="B144" s="3"/>
      <c r="P144" s="3"/>
      <c r="Q144" s="3"/>
      <c r="R144" s="3"/>
      <c r="S144" s="2"/>
      <c r="T144" s="2"/>
      <c r="U144" s="2"/>
    </row>
    <row r="145" spans="1:21" x14ac:dyDescent="0.2">
      <c r="A145" s="3"/>
      <c r="P145" s="3"/>
      <c r="Q145" s="3"/>
      <c r="R145" s="3"/>
      <c r="S145" s="2"/>
      <c r="T145" s="2"/>
      <c r="U145" s="2"/>
    </row>
    <row r="146" spans="1:21" x14ac:dyDescent="0.2">
      <c r="A146" s="3"/>
      <c r="S146" s="2"/>
      <c r="T146" s="2"/>
      <c r="U146" s="3"/>
    </row>
    <row r="147" spans="1:21" x14ac:dyDescent="0.2">
      <c r="A147" s="3"/>
      <c r="S147" s="2"/>
      <c r="T147" s="2"/>
    </row>
    <row r="148" spans="1:21" x14ac:dyDescent="0.2">
      <c r="S148" s="2"/>
      <c r="T148" s="2"/>
    </row>
    <row r="149" spans="1:21" x14ac:dyDescent="0.2">
      <c r="S149" s="2"/>
      <c r="T149" s="2"/>
    </row>
    <row r="150" spans="1:21" x14ac:dyDescent="0.2">
      <c r="S150" s="2"/>
      <c r="T150" s="2"/>
    </row>
    <row r="151" spans="1:21" x14ac:dyDescent="0.2">
      <c r="S151" s="3"/>
      <c r="T151" s="3"/>
    </row>
  </sheetData>
  <dataConsolidate/>
  <phoneticPr fontId="0" type="noConversion"/>
  <pageMargins left="0.75" right="0.75" top="1" bottom="1" header="0.5" footer="0.5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1"/>
  <sheetViews>
    <sheetView zoomScale="75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2" max="2" width="15.85546875" customWidth="1"/>
    <col min="3" max="3" width="14.140625" customWidth="1"/>
    <col min="8" max="8" width="10.5703125" customWidth="1"/>
    <col min="9" max="9" width="9.28515625" bestFit="1" customWidth="1"/>
    <col min="11" max="12" width="9.28515625" bestFit="1" customWidth="1"/>
    <col min="13" max="14" width="14.85546875" bestFit="1" customWidth="1"/>
    <col min="15" max="15" width="14.85546875" customWidth="1"/>
    <col min="16" max="16" width="9.28515625" bestFit="1" customWidth="1"/>
    <col min="17" max="17" width="9.7109375" customWidth="1"/>
    <col min="19" max="19" width="10.140625" customWidth="1"/>
    <col min="21" max="21" width="7.5703125" customWidth="1"/>
    <col min="22" max="22" width="9.5703125" customWidth="1"/>
    <col min="23" max="23" width="8.5703125" customWidth="1"/>
    <col min="27" max="28" width="10.42578125" customWidth="1"/>
    <col min="30" max="30" width="10.7109375" customWidth="1"/>
    <col min="32" max="32" width="10.42578125" customWidth="1"/>
  </cols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</row>
    <row r="2" spans="1:24" x14ac:dyDescent="0.2">
      <c r="B2" t="s">
        <v>0</v>
      </c>
      <c r="C2">
        <v>6.8798700000000004</v>
      </c>
      <c r="D2">
        <v>1196.76</v>
      </c>
      <c r="E2">
        <v>219.161</v>
      </c>
      <c r="H2">
        <v>6.8514600000000003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</row>
    <row r="3" spans="1:24" x14ac:dyDescent="0.2">
      <c r="B3" t="s">
        <v>6</v>
      </c>
      <c r="C3">
        <f>(LN(10^(C2-D2/(E2+55)))-LN(10^(C2-D2/(E2+15))))*-8.314/(1/(273.15+55)-1/(273.15+15))</f>
        <v>33744.544239110459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104.99961172047799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>
        <v>0.43681579521006142</v>
      </c>
      <c r="Q5" t="s">
        <v>9</v>
      </c>
    </row>
    <row r="6" spans="1:24" x14ac:dyDescent="0.2">
      <c r="M6" t="s">
        <v>51</v>
      </c>
      <c r="N6">
        <v>0.49332846292733423</v>
      </c>
    </row>
    <row r="7" spans="1:24" x14ac:dyDescent="0.2">
      <c r="N7" t="e">
        <f>1000*#REF!</f>
        <v>#REF!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45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318.14999999999998</v>
      </c>
      <c r="C11">
        <f>10^(H2-I2/(J2+B10))</f>
        <v>224.900065543181</v>
      </c>
      <c r="D11">
        <v>9.9999999999999994E-12</v>
      </c>
      <c r="E11">
        <f t="shared" ref="E11:E17" si="0">1-D11</f>
        <v>0.99999999999</v>
      </c>
      <c r="F11">
        <v>9.9999999999999998E-13</v>
      </c>
      <c r="G11">
        <f t="shared" ref="G11:G17" si="1">1-F11</f>
        <v>0.99999999999900002</v>
      </c>
      <c r="I11" s="1">
        <v>1</v>
      </c>
      <c r="J11">
        <f>H11/I11</f>
        <v>0</v>
      </c>
      <c r="K11">
        <f>EXP(M11)</f>
        <v>1.4997490624581153</v>
      </c>
      <c r="L11">
        <f>EXP(N11)</f>
        <v>1</v>
      </c>
      <c r="M11">
        <f>$B$13*($B$14*E11/($B$13*D11+$B$14*E11))^2</f>
        <v>0.40529780241875818</v>
      </c>
      <c r="N11">
        <f>$B$14*($B$13*D11/($B$13*D11+$B$14*E11))^2</f>
        <v>3.5937436844886755E-23</v>
      </c>
      <c r="O11">
        <f>K11/L11</f>
        <v>1.4997490624581153</v>
      </c>
      <c r="P11">
        <f t="shared" ref="P11:P17" si="2">K11*D11*$C$17+L11*E11*$C$11</f>
        <v>224.90006554428527</v>
      </c>
      <c r="Q11">
        <f t="shared" ref="Q11:Q17" si="3">ABS(C11-P11)</f>
        <v>1.1042686764994869E-9</v>
      </c>
      <c r="R11">
        <f t="shared" ref="R11:R17" si="4">K11*D11*$C$17/P11</f>
        <v>1.4910083240825664E-11</v>
      </c>
      <c r="S11">
        <f t="shared" ref="S11:S17" si="5">ABS(F11-R11)</f>
        <v>1.3910083240825664E-11</v>
      </c>
      <c r="T11">
        <f t="shared" ref="T11:T17" si="6">D11*M11+E11*N11</f>
        <v>4.052978024223519E-12</v>
      </c>
      <c r="U11" t="e">
        <f t="shared" ref="U11:U17" si="7">D11*LN(H11)+E11*LN(I11)</f>
        <v>#NUM!</v>
      </c>
      <c r="V11">
        <f t="shared" ref="V11:V17" si="8">T11/(D11*E11)</f>
        <v>0.4052978024264049</v>
      </c>
      <c r="X11">
        <f t="shared" ref="X11:X17" si="9">ABS(ABS(V11)-ABS(W11))</f>
        <v>0.4052978024264049</v>
      </c>
    </row>
    <row r="12" spans="1:24" x14ac:dyDescent="0.2">
      <c r="C12">
        <v>236</v>
      </c>
      <c r="D12">
        <v>0.1008</v>
      </c>
      <c r="E12">
        <f t="shared" si="0"/>
        <v>0.8992</v>
      </c>
      <c r="F12">
        <v>0.13370000000000001</v>
      </c>
      <c r="G12">
        <f t="shared" si="1"/>
        <v>0.86629999999999996</v>
      </c>
      <c r="H12">
        <f>F12*C12/(D12*$C$17)</f>
        <v>1.4000122223870928</v>
      </c>
      <c r="I12">
        <f>G12*C12/(E12*$C$11)</f>
        <v>1.0109610816430703</v>
      </c>
      <c r="J12">
        <f t="shared" ref="J12:J17" si="10">H12/I12</f>
        <v>1.3848329553020131</v>
      </c>
      <c r="K12">
        <f t="shared" ref="K12:K17" si="11">EXP(M12)</f>
        <v>1.3983932048870382</v>
      </c>
      <c r="L12">
        <f t="shared" ref="L12:L17" si="12">EXP(N12)</f>
        <v>1.0037433235846696</v>
      </c>
      <c r="M12">
        <f t="shared" ref="M12:M17" si="13">$B$13*($B$14*E12/($B$13*D12+$B$14*E12))^2</f>
        <v>0.33532386670183478</v>
      </c>
      <c r="N12">
        <f t="shared" ref="N12:N17" si="14">$B$14*($B$13*D12/($B$13*D12+$B$14*E12))^2</f>
        <v>3.7363347844039524E-3</v>
      </c>
      <c r="O12">
        <f t="shared" ref="O12:O17" si="15">K12/L12</f>
        <v>1.3931780884907459</v>
      </c>
      <c r="P12">
        <f t="shared" si="2"/>
        <v>234.50386268718378</v>
      </c>
      <c r="Q12">
        <f t="shared" si="3"/>
        <v>1.4961373128162165</v>
      </c>
      <c r="R12">
        <f t="shared" si="4"/>
        <v>0.13439740625588492</v>
      </c>
      <c r="S12">
        <f t="shared" si="5"/>
        <v>6.9740625588490812E-4</v>
      </c>
      <c r="T12">
        <f t="shared" si="6"/>
        <v>3.7160358001680979E-2</v>
      </c>
      <c r="U12">
        <f t="shared" si="7"/>
        <v>4.3719860249988425E-2</v>
      </c>
      <c r="V12">
        <f t="shared" si="8"/>
        <v>0.40998036616411432</v>
      </c>
      <c r="W12">
        <f>U12/(D12*E12)</f>
        <v>0.48234961334665671</v>
      </c>
      <c r="X12">
        <f t="shared" si="9"/>
        <v>7.2369247182542396E-2</v>
      </c>
    </row>
    <row r="13" spans="1:24" x14ac:dyDescent="0.2">
      <c r="A13" t="s">
        <v>33</v>
      </c>
      <c r="B13">
        <v>0.40529780242594565</v>
      </c>
      <c r="C13">
        <v>249</v>
      </c>
      <c r="D13">
        <v>0.2989</v>
      </c>
      <c r="E13">
        <f t="shared" si="0"/>
        <v>0.70110000000000006</v>
      </c>
      <c r="F13">
        <v>0.33379999999999999</v>
      </c>
      <c r="G13">
        <f t="shared" si="1"/>
        <v>0.66620000000000001</v>
      </c>
      <c r="H13">
        <f>F13*C13/(D13*$C$17)</f>
        <v>1.2436801806646027</v>
      </c>
      <c r="I13">
        <f>G13*C13/(E13*$C$11)</f>
        <v>1.0520452656913897</v>
      </c>
      <c r="J13">
        <f t="shared" si="10"/>
        <v>1.1821546289144442</v>
      </c>
      <c r="K13">
        <f t="shared" si="11"/>
        <v>1.2379202098549349</v>
      </c>
      <c r="L13">
        <f t="shared" si="12"/>
        <v>1.0349958430779866</v>
      </c>
      <c r="M13">
        <f t="shared" si="13"/>
        <v>0.21343272134120347</v>
      </c>
      <c r="N13">
        <f t="shared" si="14"/>
        <v>3.4397410359495416E-2</v>
      </c>
      <c r="O13">
        <f t="shared" si="15"/>
        <v>1.1960629775801506</v>
      </c>
      <c r="P13">
        <f t="shared" si="2"/>
        <v>245.92674702934789</v>
      </c>
      <c r="Q13">
        <f t="shared" si="3"/>
        <v>3.0732529706521063</v>
      </c>
      <c r="R13">
        <f t="shared" si="4"/>
        <v>0.33640609356583739</v>
      </c>
      <c r="S13">
        <f t="shared" si="5"/>
        <v>2.6060935658374085E-3</v>
      </c>
      <c r="T13">
        <f t="shared" si="6"/>
        <v>8.7911064811927953E-2</v>
      </c>
      <c r="U13">
        <f t="shared" si="7"/>
        <v>0.10075368805611494</v>
      </c>
      <c r="V13">
        <f t="shared" si="8"/>
        <v>0.41950549920586938</v>
      </c>
      <c r="W13">
        <f>U13/(D13*E13)</f>
        <v>0.48078960589586783</v>
      </c>
      <c r="X13">
        <f t="shared" si="9"/>
        <v>6.1284106689998452E-2</v>
      </c>
    </row>
    <row r="14" spans="1:24" x14ac:dyDescent="0.2">
      <c r="A14" t="s">
        <v>34</v>
      </c>
      <c r="B14">
        <v>0.45708966212776869</v>
      </c>
      <c r="C14">
        <v>251</v>
      </c>
      <c r="D14" s="15">
        <v>0.50170000000000003</v>
      </c>
      <c r="E14">
        <f t="shared" si="0"/>
        <v>0.49829999999999997</v>
      </c>
      <c r="F14">
        <v>0.50309999999999999</v>
      </c>
      <c r="G14">
        <f t="shared" si="1"/>
        <v>0.49690000000000001</v>
      </c>
      <c r="H14">
        <f>F14*C14/(D14*$C$17)</f>
        <v>1.1257264926746624</v>
      </c>
      <c r="I14">
        <f>G14*C14/(E14*$C$11)</f>
        <v>1.1129156486611078</v>
      </c>
      <c r="J14">
        <f t="shared" si="10"/>
        <v>1.0115110646785914</v>
      </c>
      <c r="K14">
        <f t="shared" si="11"/>
        <v>1.1197814418693546</v>
      </c>
      <c r="L14">
        <f t="shared" si="12"/>
        <v>1.1070382529819409</v>
      </c>
      <c r="M14">
        <f t="shared" si="13"/>
        <v>0.11313352507640795</v>
      </c>
      <c r="N14">
        <f t="shared" si="14"/>
        <v>0.10168820866871295</v>
      </c>
      <c r="O14">
        <f t="shared" si="15"/>
        <v>1.0115110646385419</v>
      </c>
      <c r="P14">
        <f t="shared" si="2"/>
        <v>249.67444911680354</v>
      </c>
      <c r="Q14">
        <f t="shared" si="3"/>
        <v>1.3255508831964562</v>
      </c>
      <c r="R14">
        <f t="shared" si="4"/>
        <v>0.50309999999010191</v>
      </c>
      <c r="S14">
        <f t="shared" si="5"/>
        <v>9.8980823537431206E-12</v>
      </c>
      <c r="T14">
        <f t="shared" si="6"/>
        <v>0.10743032391045353</v>
      </c>
      <c r="U14">
        <f t="shared" si="7"/>
        <v>0.11272539731652501</v>
      </c>
      <c r="V14">
        <f t="shared" si="8"/>
        <v>0.42972626327741759</v>
      </c>
      <c r="W14">
        <f>U14/(D14*E14)</f>
        <v>0.45090680174872827</v>
      </c>
      <c r="X14">
        <f t="shared" si="9"/>
        <v>2.1180538471310684E-2</v>
      </c>
    </row>
    <row r="15" spans="1:24" x14ac:dyDescent="0.2">
      <c r="A15" s="4"/>
      <c r="C15">
        <v>248</v>
      </c>
      <c r="D15">
        <v>0.69440000000000002</v>
      </c>
      <c r="E15">
        <f t="shared" si="0"/>
        <v>0.30559999999999998</v>
      </c>
      <c r="F15">
        <v>0.65759999999999996</v>
      </c>
      <c r="G15">
        <f t="shared" si="1"/>
        <v>0.34240000000000004</v>
      </c>
      <c r="H15">
        <f>F15*C15/(D15*$C$17)</f>
        <v>1.0503951848910118</v>
      </c>
      <c r="I15">
        <f>G15*C15/(E15*$C$11)</f>
        <v>1.2354993035437765</v>
      </c>
      <c r="J15">
        <f t="shared" si="10"/>
        <v>0.85017869445832028</v>
      </c>
      <c r="K15">
        <f t="shared" si="11"/>
        <v>1.0456015898790703</v>
      </c>
      <c r="L15">
        <f t="shared" si="12"/>
        <v>1.2264804255521431</v>
      </c>
      <c r="M15">
        <f t="shared" si="13"/>
        <v>4.4592403869058744E-2</v>
      </c>
      <c r="N15">
        <f t="shared" si="14"/>
        <v>0.20414862499030934</v>
      </c>
      <c r="O15">
        <f t="shared" si="15"/>
        <v>0.85252203630429413</v>
      </c>
      <c r="P15">
        <f t="shared" si="2"/>
        <v>246.63588179961496</v>
      </c>
      <c r="Q15">
        <f t="shared" si="3"/>
        <v>1.3641182003850361</v>
      </c>
      <c r="R15">
        <f t="shared" si="4"/>
        <v>0.65821949032523042</v>
      </c>
      <c r="S15">
        <f t="shared" si="5"/>
        <v>6.19490325230454E-4</v>
      </c>
      <c r="T15">
        <f t="shared" si="6"/>
        <v>9.3352785043712916E-2</v>
      </c>
      <c r="U15">
        <f t="shared" si="7"/>
        <v>9.8768005617429572E-2</v>
      </c>
      <c r="V15">
        <f t="shared" si="8"/>
        <v>0.43991038745506739</v>
      </c>
      <c r="W15">
        <f>U15/(D15*E15)</f>
        <v>0.46542876679021916</v>
      </c>
      <c r="X15">
        <f t="shared" si="9"/>
        <v>2.5518379335151775E-2</v>
      </c>
    </row>
    <row r="16" spans="1:24" x14ac:dyDescent="0.2">
      <c r="A16" s="4"/>
      <c r="C16">
        <v>237</v>
      </c>
      <c r="D16">
        <v>0.8921</v>
      </c>
      <c r="E16">
        <f t="shared" si="0"/>
        <v>0.1079</v>
      </c>
      <c r="F16">
        <v>0.85009999999999997</v>
      </c>
      <c r="G16">
        <f t="shared" si="1"/>
        <v>0.14990000000000003</v>
      </c>
      <c r="H16">
        <f>F16*C16/(D16*$C$17)</f>
        <v>1.0100753481528135</v>
      </c>
      <c r="I16">
        <f>G16*C16/(E16*$C$11)</f>
        <v>1.4639928381920229</v>
      </c>
      <c r="J16">
        <f t="shared" si="10"/>
        <v>0.68994555287594117</v>
      </c>
      <c r="K16">
        <f t="shared" si="11"/>
        <v>1.0058566004449436</v>
      </c>
      <c r="L16">
        <f t="shared" si="12"/>
        <v>1.4246747390243177</v>
      </c>
      <c r="M16">
        <f t="shared" si="13"/>
        <v>5.8395172278242462E-3</v>
      </c>
      <c r="N16">
        <f t="shared" si="14"/>
        <v>0.35394353435059273</v>
      </c>
      <c r="O16">
        <f t="shared" si="15"/>
        <v>0.70602543366059833</v>
      </c>
      <c r="P16">
        <f t="shared" si="2"/>
        <v>235.20439039042384</v>
      </c>
      <c r="Q16">
        <f t="shared" si="3"/>
        <v>1.7956096095761609</v>
      </c>
      <c r="R16">
        <f t="shared" si="4"/>
        <v>0.85301218759438702</v>
      </c>
      <c r="S16">
        <f t="shared" si="5"/>
        <v>2.9121875943870501E-3</v>
      </c>
      <c r="T16">
        <f t="shared" si="6"/>
        <v>4.3399940675370965E-2</v>
      </c>
      <c r="U16">
        <f t="shared" si="7"/>
        <v>5.0071216027740881E-2</v>
      </c>
      <c r="V16">
        <f t="shared" si="8"/>
        <v>0.450872919999046</v>
      </c>
      <c r="W16">
        <f>U16/(D16*E16)</f>
        <v>0.5201794064004811</v>
      </c>
      <c r="X16">
        <f t="shared" si="9"/>
        <v>6.9306486401435108E-2</v>
      </c>
    </row>
    <row r="17" spans="1:24" x14ac:dyDescent="0.2">
      <c r="A17" s="4"/>
      <c r="C17">
        <f>10^(C2-D2/(E2+B10))</f>
        <v>223.5893178447038</v>
      </c>
      <c r="D17">
        <v>0.99999990000000005</v>
      </c>
      <c r="E17">
        <f t="shared" si="0"/>
        <v>9.9999999947364415E-8</v>
      </c>
      <c r="F17">
        <v>0.99999999999900002</v>
      </c>
      <c r="G17">
        <f t="shared" si="1"/>
        <v>9.999778782798785E-13</v>
      </c>
      <c r="H17">
        <v>1</v>
      </c>
      <c r="J17" t="e">
        <f t="shared" si="10"/>
        <v>#DIV/0!</v>
      </c>
      <c r="K17">
        <f t="shared" si="11"/>
        <v>1.0000000000000051</v>
      </c>
      <c r="L17">
        <f t="shared" si="12"/>
        <v>1.5794703337428428</v>
      </c>
      <c r="M17">
        <f t="shared" si="13"/>
        <v>5.1549984335917916E-15</v>
      </c>
      <c r="N17">
        <f t="shared" si="14"/>
        <v>0.45708955902780452</v>
      </c>
      <c r="O17">
        <f t="shared" si="15"/>
        <v>0.6331236355863189</v>
      </c>
      <c r="P17">
        <f t="shared" si="2"/>
        <v>223.5893310080713</v>
      </c>
      <c r="Q17">
        <f t="shared" si="3"/>
        <v>1.3163367498236767E-5</v>
      </c>
      <c r="R17">
        <f t="shared" si="4"/>
        <v>0.99999984112704321</v>
      </c>
      <c r="S17">
        <f t="shared" si="5"/>
        <v>1.5887195681241195E-7</v>
      </c>
      <c r="T17">
        <f t="shared" si="6"/>
        <v>4.5708961033719191E-8</v>
      </c>
      <c r="U17" t="e">
        <f t="shared" si="7"/>
        <v>#NUM!</v>
      </c>
      <c r="V17">
        <f t="shared" si="8"/>
        <v>0.45708965628674925</v>
      </c>
      <c r="X17">
        <f t="shared" si="9"/>
        <v>0.45708965628674925</v>
      </c>
    </row>
    <row r="18" spans="1:24" x14ac:dyDescent="0.2">
      <c r="A18" s="1"/>
      <c r="P18" t="s">
        <v>10</v>
      </c>
      <c r="Q18">
        <f>AVERAGE(Q12:Q16)</f>
        <v>1.8109337953251952</v>
      </c>
      <c r="S18">
        <f>AVERAGE(S12:S16)</f>
        <v>1.3670355502475805E-3</v>
      </c>
    </row>
    <row r="19" spans="1:24" x14ac:dyDescent="0.2">
      <c r="A19" s="1"/>
      <c r="P19" t="s">
        <v>11</v>
      </c>
      <c r="Q19" s="7">
        <f>MAX(Q12:Q16)</f>
        <v>3.0732529706521063</v>
      </c>
      <c r="S19">
        <f>MAX(S12:S16)</f>
        <v>2.9121875943870501E-3</v>
      </c>
    </row>
    <row r="20" spans="1:24" x14ac:dyDescent="0.2">
      <c r="A20" s="1"/>
    </row>
    <row r="21" spans="1:24" x14ac:dyDescent="0.2">
      <c r="A21" s="4"/>
      <c r="R21">
        <f>10000*S18</f>
        <v>13.670355502475806</v>
      </c>
    </row>
  </sheetData>
  <phoneticPr fontId="0" type="noConversion"/>
  <pageMargins left="0.75" right="0.75" top="1" bottom="1" header="0.5" footer="0.5"/>
  <pageSetup paperSize="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30"/>
  <sheetViews>
    <sheetView zoomScale="75" workbookViewId="0">
      <pane xSplit="2" topLeftCell="C1" activePane="topRight" state="frozen"/>
      <selection pane="topRight" activeCell="C1" sqref="C1"/>
    </sheetView>
  </sheetViews>
  <sheetFormatPr defaultRowHeight="12.75" x14ac:dyDescent="0.2"/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</row>
    <row r="2" spans="1:24" x14ac:dyDescent="0.2">
      <c r="B2" t="s">
        <v>0</v>
      </c>
      <c r="C2">
        <v>6.8806207626807581</v>
      </c>
      <c r="D2">
        <v>1196.76</v>
      </c>
      <c r="E2">
        <v>219.161</v>
      </c>
      <c r="H2">
        <v>6.852023668791178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</row>
    <row r="3" spans="1:24" x14ac:dyDescent="0.2">
      <c r="B3" t="s">
        <v>6</v>
      </c>
      <c r="C3">
        <f>(LN(10^(C2-D2/(E2+55)))-LN(10^(C2-D2/(E2+15))))*-8.314/(1/(273.15+55)-1/(273.15+15))</f>
        <v>33744.544239110459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99.728232632665552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>
        <v>0.42813402904958048</v>
      </c>
      <c r="Q5" t="s">
        <v>9</v>
      </c>
    </row>
    <row r="6" spans="1:24" x14ac:dyDescent="0.2">
      <c r="M6" t="s">
        <v>51</v>
      </c>
      <c r="N6">
        <v>0.49130453670260144</v>
      </c>
    </row>
    <row r="7" spans="1:24" x14ac:dyDescent="0.2">
      <c r="N7">
        <f>10000*S34</f>
        <v>0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55.05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328.2</v>
      </c>
      <c r="C11">
        <f>10^(H2-I2/(J2+B10))</f>
        <v>327.42</v>
      </c>
      <c r="D11">
        <v>9.9999999999999994E-12</v>
      </c>
      <c r="E11">
        <f t="shared" ref="E11:E27" si="0">1-D11</f>
        <v>0.99999999999</v>
      </c>
      <c r="F11">
        <v>9.9999999999999998E-13</v>
      </c>
      <c r="G11">
        <f t="shared" ref="G11:G27" si="1">1-F11</f>
        <v>0.99999999999900002</v>
      </c>
      <c r="I11" s="1">
        <v>1</v>
      </c>
      <c r="J11">
        <f>H11/I11</f>
        <v>0</v>
      </c>
      <c r="K11">
        <f>EXP(M11)</f>
        <v>1.462310908017701</v>
      </c>
      <c r="L11">
        <f>EXP(N11)</f>
        <v>1</v>
      </c>
      <c r="M11">
        <f>$B$13*($B$14*E11/($B$13*D11+$B$14*E11))^2</f>
        <v>0.38001799810161796</v>
      </c>
      <c r="N11">
        <f>$B$14*($B$13*D11/($B$13*D11+$B$14*E11))^2</f>
        <v>3.385077198521472E-23</v>
      </c>
      <c r="O11">
        <f>K11/L11</f>
        <v>1.462310908017701</v>
      </c>
      <c r="P11">
        <f>K11*D11*$C$27+L11*E11*$C$11</f>
        <v>327.42000000152632</v>
      </c>
      <c r="Q11" s="31">
        <f t="shared" ref="Q11:Q27" si="2">ABS(C11-P11)</f>
        <v>1.526302639831556E-9</v>
      </c>
      <c r="R11" s="33">
        <f>K11*D11*$C$27/P11</f>
        <v>1.4661518077142885E-11</v>
      </c>
      <c r="S11" s="33">
        <f t="shared" ref="S11:S27" si="3">ABS(F11-R11)</f>
        <v>1.3661518077142885E-11</v>
      </c>
      <c r="T11">
        <f t="shared" ref="T11:T27" si="4">D11*M11+E11*N11</f>
        <v>3.8001799810500302E-12</v>
      </c>
      <c r="U11" t="e">
        <f t="shared" ref="U11:U27" si="5">D11*LN(H11)+E11*LN(I11)</f>
        <v>#NUM!</v>
      </c>
      <c r="V11">
        <f t="shared" ref="V11:V27" si="6">T11/(D11*E11)</f>
        <v>0.38001799810880321</v>
      </c>
      <c r="X11">
        <f t="shared" ref="X11:X27" si="7">ABS(ABS(V11)-ABS(W11))</f>
        <v>0.38001799810880321</v>
      </c>
    </row>
    <row r="12" spans="1:24" x14ac:dyDescent="0.2">
      <c r="C12">
        <v>344.69</v>
      </c>
      <c r="D12">
        <v>0.13</v>
      </c>
      <c r="E12">
        <f t="shared" si="0"/>
        <v>0.87</v>
      </c>
      <c r="F12">
        <v>0.16769999999999999</v>
      </c>
      <c r="G12">
        <f t="shared" si="1"/>
        <v>0.83230000000000004</v>
      </c>
      <c r="H12">
        <f>F12*C12/(D12*$C$27)</f>
        <v>1.3544842817107365</v>
      </c>
      <c r="I12">
        <f t="shared" ref="I12:I26" si="8">G12*C12/(E12*$C$11)</f>
        <v>1.0071267281575143</v>
      </c>
      <c r="J12">
        <f t="shared" ref="J12:J27" si="9">H12/I12</f>
        <v>1.3448995482313282</v>
      </c>
      <c r="K12">
        <f t="shared" ref="K12:K27" si="10">EXP(M12)</f>
        <v>1.3444458922950429</v>
      </c>
      <c r="L12">
        <f t="shared" ref="L12:L27" si="11">EXP(N12)</f>
        <v>1.0059041416250223</v>
      </c>
      <c r="M12">
        <f t="shared" ref="M12:M27" si="12">$B$13*($B$14*E12/($B$13*D12+$B$14*E12))^2</f>
        <v>0.29598195217956436</v>
      </c>
      <c r="N12">
        <f t="shared" ref="N12:N27" si="13">$B$14*($B$13*D12/($B$13*D12+$B$14*E12))^2</f>
        <v>5.8867804824384194E-3</v>
      </c>
      <c r="O12">
        <f t="shared" ref="O12:O27" si="14">K12/L12</f>
        <v>1.3365546841502329</v>
      </c>
      <c r="P12">
        <f>K12*D12*$C$27+L12*E12*$C$11</f>
        <v>343.91333730219247</v>
      </c>
      <c r="Q12" s="31">
        <f t="shared" si="2"/>
        <v>0.77666269780752373</v>
      </c>
      <c r="R12" s="33">
        <f>K12*D12*$C$27/P12</f>
        <v>0.16683304906993005</v>
      </c>
      <c r="S12" s="33">
        <f t="shared" si="3"/>
        <v>8.6695093006994295E-4</v>
      </c>
      <c r="T12">
        <f t="shared" si="4"/>
        <v>4.3599152803064797E-2</v>
      </c>
      <c r="U12">
        <f t="shared" si="5"/>
        <v>4.5622965286783133E-2</v>
      </c>
      <c r="V12">
        <f t="shared" si="6"/>
        <v>0.38549206722426876</v>
      </c>
      <c r="W12">
        <f t="shared" ref="W12:W26" si="15">U12/(D12*E12)</f>
        <v>0.40338607680621691</v>
      </c>
      <c r="X12">
        <f t="shared" si="7"/>
        <v>1.7894009581948145E-2</v>
      </c>
    </row>
    <row r="13" spans="1:24" x14ac:dyDescent="0.2">
      <c r="A13" t="s">
        <v>33</v>
      </c>
      <c r="B13">
        <v>0.3800179981083881</v>
      </c>
      <c r="C13">
        <v>354.03</v>
      </c>
      <c r="D13">
        <v>0.23669999999999999</v>
      </c>
      <c r="E13">
        <f t="shared" si="0"/>
        <v>0.76329999999999998</v>
      </c>
      <c r="F13">
        <v>0.27789999999999998</v>
      </c>
      <c r="G13">
        <f t="shared" si="1"/>
        <v>0.72209999999999996</v>
      </c>
      <c r="H13">
        <f>F13*C13/(D13*$C$27)</f>
        <v>1.2661522444517457</v>
      </c>
      <c r="I13">
        <f t="shared" si="8"/>
        <v>1.0229088676111731</v>
      </c>
      <c r="J13">
        <f t="shared" si="9"/>
        <v>1.2377957455864328</v>
      </c>
      <c r="K13">
        <f t="shared" si="10"/>
        <v>1.2627826479090145</v>
      </c>
      <c r="L13">
        <f t="shared" si="11"/>
        <v>1.0201866946089035</v>
      </c>
      <c r="M13">
        <f t="shared" si="12"/>
        <v>0.23331773664198793</v>
      </c>
      <c r="N13">
        <f t="shared" si="13"/>
        <v>1.9985644477811104E-2</v>
      </c>
      <c r="O13">
        <f t="shared" si="14"/>
        <v>1.2377956452305154</v>
      </c>
      <c r="P13">
        <f>K13*D13*$C$27+L13*E13*$C$11</f>
        <v>353.08784466610865</v>
      </c>
      <c r="Q13" s="31">
        <f t="shared" si="2"/>
        <v>0.94215533389132133</v>
      </c>
      <c r="R13" s="33">
        <f>K13*D13*$C$27/P13</f>
        <v>0.27789998373028663</v>
      </c>
      <c r="S13" s="33">
        <f t="shared" si="3"/>
        <v>1.6269713354333248E-8</v>
      </c>
      <c r="T13">
        <f t="shared" si="4"/>
        <v>7.0481350693071765E-2</v>
      </c>
      <c r="U13">
        <f t="shared" si="5"/>
        <v>7.3146124938307605E-2</v>
      </c>
      <c r="V13">
        <f t="shared" si="6"/>
        <v>0.39010426450882352</v>
      </c>
      <c r="W13">
        <f t="shared" si="15"/>
        <v>0.40485341143630948</v>
      </c>
      <c r="X13">
        <f t="shared" si="7"/>
        <v>1.4749146927485968E-2</v>
      </c>
    </row>
    <row r="14" spans="1:24" x14ac:dyDescent="0.2">
      <c r="A14" t="s">
        <v>34</v>
      </c>
      <c r="B14">
        <v>0.42661856855051666</v>
      </c>
      <c r="C14">
        <v>359.46</v>
      </c>
      <c r="D14">
        <v>0.32650000000000001</v>
      </c>
      <c r="E14">
        <f t="shared" si="0"/>
        <v>0.67349999999999999</v>
      </c>
      <c r="F14">
        <v>0.3599</v>
      </c>
      <c r="G14">
        <f t="shared" si="1"/>
        <v>0.6401</v>
      </c>
      <c r="H14">
        <f t="shared" ref="H14:H21" si="16">F14*C14/(D14*$C$27)</f>
        <v>1.2069931524857127</v>
      </c>
      <c r="I14">
        <f t="shared" si="8"/>
        <v>1.0434114373847283</v>
      </c>
      <c r="J14">
        <f t="shared" si="9"/>
        <v>1.156775850100892</v>
      </c>
      <c r="K14">
        <f t="shared" si="10"/>
        <v>1.2036552351684606</v>
      </c>
      <c r="L14">
        <f t="shared" si="11"/>
        <v>1.0395668975555374</v>
      </c>
      <c r="M14">
        <f t="shared" si="12"/>
        <v>0.18536295635291844</v>
      </c>
      <c r="N14">
        <f t="shared" si="13"/>
        <v>3.8804181757985917E-2</v>
      </c>
      <c r="O14">
        <f t="shared" si="14"/>
        <v>1.157842980570817</v>
      </c>
      <c r="P14">
        <f t="shared" ref="P14:P27" si="17">K14*D14*$C$27+L14*E14*$C$11</f>
        <v>358.25444279426625</v>
      </c>
      <c r="Q14" s="31">
        <f t="shared" si="2"/>
        <v>1.2055572057337258</v>
      </c>
      <c r="R14" s="33">
        <f t="shared" ref="R14:R27" si="18">K14*D14*$C$27/P14</f>
        <v>0.36011244857149466</v>
      </c>
      <c r="S14" s="33">
        <f t="shared" si="3"/>
        <v>2.1244857149466112E-4</v>
      </c>
      <c r="T14">
        <f t="shared" si="4"/>
        <v>8.6655621663231389E-2</v>
      </c>
      <c r="U14">
        <f t="shared" si="5"/>
        <v>9.0045954352920426E-2</v>
      </c>
      <c r="V14">
        <f t="shared" si="6"/>
        <v>0.39407234345613534</v>
      </c>
      <c r="W14">
        <f t="shared" si="15"/>
        <v>0.4094901123495826</v>
      </c>
      <c r="X14">
        <f t="shared" si="7"/>
        <v>1.5417768893447259E-2</v>
      </c>
    </row>
    <row r="15" spans="1:24" x14ac:dyDescent="0.2">
      <c r="A15" s="4"/>
      <c r="C15">
        <v>361.99</v>
      </c>
      <c r="D15">
        <v>0.40089999999999998</v>
      </c>
      <c r="E15">
        <f t="shared" si="0"/>
        <v>0.59909999999999997</v>
      </c>
      <c r="F15">
        <v>0.42309999999999998</v>
      </c>
      <c r="G15">
        <f t="shared" si="1"/>
        <v>0.57689999999999997</v>
      </c>
      <c r="H15">
        <f t="shared" si="16"/>
        <v>1.1637484555205904</v>
      </c>
      <c r="I15">
        <f t="shared" si="8"/>
        <v>1.064615018551283</v>
      </c>
      <c r="J15">
        <f t="shared" si="9"/>
        <v>1.0931166996913184</v>
      </c>
      <c r="K15">
        <f t="shared" si="10"/>
        <v>1.16087666273778</v>
      </c>
      <c r="L15">
        <f t="shared" si="11"/>
        <v>1.0613084240833706</v>
      </c>
      <c r="M15">
        <f t="shared" si="12"/>
        <v>0.14917546342723803</v>
      </c>
      <c r="N15">
        <f t="shared" si="13"/>
        <v>5.9502509267914033E-2</v>
      </c>
      <c r="O15">
        <f t="shared" si="14"/>
        <v>1.0938164970662552</v>
      </c>
      <c r="P15">
        <f t="shared" si="17"/>
        <v>360.96343795341659</v>
      </c>
      <c r="Q15" s="31">
        <f t="shared" si="2"/>
        <v>1.0265620465834218</v>
      </c>
      <c r="R15" s="33">
        <f t="shared" si="18"/>
        <v>0.42325621823476495</v>
      </c>
      <c r="S15" s="33">
        <f t="shared" si="3"/>
        <v>1.5621823476497099E-4</v>
      </c>
      <c r="T15">
        <f t="shared" si="4"/>
        <v>9.5452396590387012E-2</v>
      </c>
      <c r="U15">
        <f t="shared" si="5"/>
        <v>9.8306567985514709E-2</v>
      </c>
      <c r="V15">
        <f t="shared" si="6"/>
        <v>0.39742159422882145</v>
      </c>
      <c r="W15">
        <f t="shared" si="15"/>
        <v>0.40930510251747754</v>
      </c>
      <c r="X15">
        <f t="shared" si="7"/>
        <v>1.1883508288656086E-2</v>
      </c>
    </row>
    <row r="16" spans="1:24" x14ac:dyDescent="0.2">
      <c r="A16" s="4"/>
      <c r="C16">
        <v>363.06</v>
      </c>
      <c r="D16">
        <v>0.43659999999999999</v>
      </c>
      <c r="E16">
        <f t="shared" si="0"/>
        <v>0.56340000000000001</v>
      </c>
      <c r="F16">
        <v>0.45240000000000002</v>
      </c>
      <c r="G16">
        <f t="shared" si="1"/>
        <v>0.54759999999999998</v>
      </c>
      <c r="H16">
        <f t="shared" si="16"/>
        <v>1.1459689311399217</v>
      </c>
      <c r="I16">
        <f t="shared" si="8"/>
        <v>1.0777543786517223</v>
      </c>
      <c r="J16">
        <f t="shared" si="9"/>
        <v>1.0632932269535627</v>
      </c>
      <c r="K16">
        <f t="shared" si="10"/>
        <v>1.1422606016057637</v>
      </c>
      <c r="L16">
        <f t="shared" si="11"/>
        <v>1.0737431962409179</v>
      </c>
      <c r="M16">
        <f t="shared" si="12"/>
        <v>0.13300928275392535</v>
      </c>
      <c r="N16">
        <f t="shared" si="13"/>
        <v>7.1150857850076105E-2</v>
      </c>
      <c r="O16">
        <f t="shared" si="14"/>
        <v>1.0638117248190437</v>
      </c>
      <c r="P16">
        <f t="shared" si="17"/>
        <v>361.78855956111556</v>
      </c>
      <c r="Q16" s="31">
        <f t="shared" si="2"/>
        <v>1.27144043888444</v>
      </c>
      <c r="R16" s="33">
        <f t="shared" si="18"/>
        <v>0.45252077697941101</v>
      </c>
      <c r="S16" s="33">
        <f t="shared" si="3"/>
        <v>1.2077697941098586E-4</v>
      </c>
      <c r="T16">
        <f t="shared" si="4"/>
        <v>9.815824616309668E-2</v>
      </c>
      <c r="U16">
        <f t="shared" si="5"/>
        <v>0.10167413663499322</v>
      </c>
      <c r="V16">
        <f t="shared" si="6"/>
        <v>0.39904899008675926</v>
      </c>
      <c r="W16">
        <f t="shared" si="15"/>
        <v>0.41334236427495302</v>
      </c>
      <c r="X16">
        <f t="shared" si="7"/>
        <v>1.4293374188193764E-2</v>
      </c>
    </row>
    <row r="17" spans="1:24" x14ac:dyDescent="0.2">
      <c r="A17" s="4"/>
      <c r="C17">
        <v>363.5</v>
      </c>
      <c r="D17">
        <v>0.47010000000000002</v>
      </c>
      <c r="E17">
        <f t="shared" si="0"/>
        <v>0.52990000000000004</v>
      </c>
      <c r="F17">
        <v>0.47949999999999998</v>
      </c>
      <c r="G17">
        <f t="shared" si="1"/>
        <v>0.52049999999999996</v>
      </c>
      <c r="H17">
        <f t="shared" si="16"/>
        <v>1.1294274811762155</v>
      </c>
      <c r="I17">
        <f t="shared" si="8"/>
        <v>1.0905008925136985</v>
      </c>
      <c r="J17">
        <f t="shared" si="9"/>
        <v>1.0356960630933441</v>
      </c>
      <c r="K17">
        <f t="shared" si="10"/>
        <v>1.1258873130127296</v>
      </c>
      <c r="L17">
        <f t="shared" si="11"/>
        <v>1.0866787866785272</v>
      </c>
      <c r="M17">
        <f t="shared" si="12"/>
        <v>0.11857144745608779</v>
      </c>
      <c r="N17">
        <f t="shared" si="13"/>
        <v>8.3126060033455768E-2</v>
      </c>
      <c r="O17">
        <f t="shared" si="14"/>
        <v>1.0360810635257218</v>
      </c>
      <c r="P17">
        <f t="shared" si="17"/>
        <v>362.29053075348298</v>
      </c>
      <c r="Q17" s="31">
        <f t="shared" si="2"/>
        <v>1.2094692465170169</v>
      </c>
      <c r="R17" s="33">
        <f t="shared" si="18"/>
        <v>0.47959276001992435</v>
      </c>
      <c r="S17" s="33">
        <f t="shared" si="3"/>
        <v>9.2760019924365E-5</v>
      </c>
      <c r="T17">
        <f t="shared" si="4"/>
        <v>9.978893666083509E-2</v>
      </c>
      <c r="U17">
        <f t="shared" si="5"/>
        <v>0.10312528341506555</v>
      </c>
      <c r="V17">
        <f t="shared" si="6"/>
        <v>0.40058826630718547</v>
      </c>
      <c r="W17">
        <f t="shared" si="15"/>
        <v>0.41398154823601607</v>
      </c>
      <c r="X17">
        <f t="shared" si="7"/>
        <v>1.3393281928830603E-2</v>
      </c>
    </row>
    <row r="18" spans="1:24" x14ac:dyDescent="0.2">
      <c r="A18" s="1"/>
      <c r="C18">
        <v>363.5</v>
      </c>
      <c r="D18">
        <v>0.47870000000000001</v>
      </c>
      <c r="E18">
        <f t="shared" si="0"/>
        <v>0.52129999999999999</v>
      </c>
      <c r="F18">
        <v>0.48649999999999999</v>
      </c>
      <c r="G18">
        <f t="shared" si="1"/>
        <v>0.51350000000000007</v>
      </c>
      <c r="H18">
        <f t="shared" si="16"/>
        <v>1.1253287322756815</v>
      </c>
      <c r="I18">
        <f t="shared" si="8"/>
        <v>1.0935834623934333</v>
      </c>
      <c r="J18">
        <f t="shared" si="9"/>
        <v>1.0290286667400492</v>
      </c>
      <c r="K18">
        <f t="shared" si="10"/>
        <v>1.1218527743031721</v>
      </c>
      <c r="L18">
        <f t="shared" si="11"/>
        <v>1.0902055496335956</v>
      </c>
      <c r="M18">
        <f t="shared" si="12"/>
        <v>0.11498158129217598</v>
      </c>
      <c r="N18">
        <f t="shared" si="13"/>
        <v>8.6366256108023717E-2</v>
      </c>
      <c r="O18">
        <f t="shared" si="14"/>
        <v>1.0290286769134616</v>
      </c>
      <c r="P18">
        <f t="shared" si="17"/>
        <v>362.37720560490072</v>
      </c>
      <c r="Q18" s="31">
        <f t="shared" si="2"/>
        <v>1.1227943950992767</v>
      </c>
      <c r="R18" s="33">
        <f t="shared" si="18"/>
        <v>0.48650000246980379</v>
      </c>
      <c r="S18" s="33">
        <f t="shared" si="3"/>
        <v>2.4698038059156602E-9</v>
      </c>
      <c r="T18">
        <f t="shared" si="4"/>
        <v>0.10006441227367741</v>
      </c>
      <c r="U18">
        <f t="shared" si="5"/>
        <v>0.10315803557495454</v>
      </c>
      <c r="V18">
        <f t="shared" si="6"/>
        <v>0.40098534125260121</v>
      </c>
      <c r="W18">
        <f t="shared" si="15"/>
        <v>0.41338233202067598</v>
      </c>
      <c r="X18">
        <f t="shared" si="7"/>
        <v>1.2396990768074767E-2</v>
      </c>
    </row>
    <row r="19" spans="1:24" x14ac:dyDescent="0.2">
      <c r="A19" s="1"/>
      <c r="C19">
        <v>363.8</v>
      </c>
      <c r="D19">
        <v>0.52090000000000003</v>
      </c>
      <c r="E19">
        <f t="shared" si="0"/>
        <v>0.47909999999999997</v>
      </c>
      <c r="F19">
        <v>0.52029999999999998</v>
      </c>
      <c r="G19">
        <f t="shared" si="1"/>
        <v>0.47970000000000002</v>
      </c>
      <c r="H19">
        <f t="shared" si="16"/>
        <v>1.1069238334276463</v>
      </c>
      <c r="I19">
        <f t="shared" si="8"/>
        <v>1.1125026090586516</v>
      </c>
      <c r="J19">
        <f t="shared" si="9"/>
        <v>0.99498538197970987</v>
      </c>
      <c r="K19">
        <f t="shared" si="10"/>
        <v>1.1030410081358952</v>
      </c>
      <c r="L19">
        <f t="shared" si="11"/>
        <v>1.1087872750515777</v>
      </c>
      <c r="M19">
        <f t="shared" si="12"/>
        <v>9.8070918307266608E-2</v>
      </c>
      <c r="N19">
        <f t="shared" si="13"/>
        <v>0.1032668730633135</v>
      </c>
      <c r="O19">
        <f t="shared" si="14"/>
        <v>0.99481752086718778</v>
      </c>
      <c r="P19">
        <f t="shared" si="17"/>
        <v>362.55321978048676</v>
      </c>
      <c r="Q19" s="31">
        <f t="shared" si="2"/>
        <v>1.2467802195132549</v>
      </c>
      <c r="R19" s="33">
        <f t="shared" si="18"/>
        <v>0.52025788904752202</v>
      </c>
      <c r="S19" s="33">
        <f t="shared" si="3"/>
        <v>4.2110952477969477E-5</v>
      </c>
      <c r="T19">
        <f t="shared" si="4"/>
        <v>0.10056030023088867</v>
      </c>
      <c r="U19">
        <f t="shared" si="5"/>
        <v>0.10399339439394517</v>
      </c>
      <c r="V19">
        <f t="shared" si="6"/>
        <v>0.40294524296988143</v>
      </c>
      <c r="W19">
        <f t="shared" si="15"/>
        <v>0.41670165537612008</v>
      </c>
      <c r="X19">
        <f t="shared" si="7"/>
        <v>1.3756412406238649E-2</v>
      </c>
    </row>
    <row r="20" spans="1:24" x14ac:dyDescent="0.2">
      <c r="A20" s="1"/>
      <c r="C20">
        <v>363.71</v>
      </c>
      <c r="D20">
        <v>0.53380000000000005</v>
      </c>
      <c r="E20">
        <f t="shared" si="0"/>
        <v>0.46619999999999995</v>
      </c>
      <c r="F20">
        <v>0.53059999999999996</v>
      </c>
      <c r="G20">
        <f t="shared" si="1"/>
        <v>0.46940000000000004</v>
      </c>
      <c r="H20">
        <f t="shared" si="16"/>
        <v>1.1012844151583048</v>
      </c>
      <c r="I20">
        <f t="shared" si="8"/>
        <v>1.1184610223459408</v>
      </c>
      <c r="J20">
        <f t="shared" si="9"/>
        <v>0.9846426412324959</v>
      </c>
      <c r="K20">
        <f t="shared" si="10"/>
        <v>1.0976142005875869</v>
      </c>
      <c r="L20">
        <f t="shared" si="11"/>
        <v>1.1149056304640459</v>
      </c>
      <c r="M20">
        <f t="shared" si="12"/>
        <v>9.313891575891256E-2</v>
      </c>
      <c r="N20">
        <f t="shared" si="13"/>
        <v>0.10876976497510779</v>
      </c>
      <c r="O20">
        <f t="shared" si="14"/>
        <v>0.98449067848974625</v>
      </c>
      <c r="P20">
        <f t="shared" si="17"/>
        <v>362.52414037030678</v>
      </c>
      <c r="Q20" s="31">
        <f t="shared" si="2"/>
        <v>1.1858596296931978</v>
      </c>
      <c r="R20" s="33">
        <f t="shared" si="18"/>
        <v>0.5305615581411055</v>
      </c>
      <c r="S20" s="33">
        <f t="shared" si="3"/>
        <v>3.8441858894455727E-5</v>
      </c>
      <c r="T20">
        <f t="shared" si="4"/>
        <v>0.10042601766350279</v>
      </c>
      <c r="U20">
        <f t="shared" si="5"/>
        <v>0.103692295134381</v>
      </c>
      <c r="V20">
        <f t="shared" si="6"/>
        <v>0.40354818902629597</v>
      </c>
      <c r="W20">
        <f t="shared" si="15"/>
        <v>0.41667327741371807</v>
      </c>
      <c r="X20">
        <f t="shared" si="7"/>
        <v>1.3125088387422101E-2</v>
      </c>
    </row>
    <row r="21" spans="1:24" x14ac:dyDescent="0.2">
      <c r="A21" s="4"/>
      <c r="C21">
        <v>363.26</v>
      </c>
      <c r="D21">
        <v>0.57310000000000005</v>
      </c>
      <c r="E21">
        <f t="shared" si="0"/>
        <v>0.42689999999999995</v>
      </c>
      <c r="F21">
        <v>0.56220000000000003</v>
      </c>
      <c r="G21">
        <f t="shared" si="1"/>
        <v>0.43779999999999997</v>
      </c>
      <c r="H21">
        <f t="shared" si="16"/>
        <v>1.0855093951933026</v>
      </c>
      <c r="I21">
        <f t="shared" si="8"/>
        <v>1.1377896447990872</v>
      </c>
      <c r="J21">
        <f t="shared" si="9"/>
        <v>0.95405104111752015</v>
      </c>
      <c r="K21">
        <f t="shared" si="10"/>
        <v>1.0820038787175099</v>
      </c>
      <c r="L21">
        <f t="shared" si="11"/>
        <v>1.1348791978460968</v>
      </c>
      <c r="M21">
        <f t="shared" si="12"/>
        <v>7.8814765184509625E-2</v>
      </c>
      <c r="N21">
        <f t="shared" si="13"/>
        <v>0.12652621165313313</v>
      </c>
      <c r="O21">
        <f t="shared" si="14"/>
        <v>0.95340885688191335</v>
      </c>
      <c r="P21">
        <f t="shared" si="17"/>
        <v>362.1936722440139</v>
      </c>
      <c r="Q21" s="31">
        <f t="shared" si="2"/>
        <v>1.0663277559860944</v>
      </c>
      <c r="R21" s="33">
        <f t="shared" si="18"/>
        <v>0.56203426317777094</v>
      </c>
      <c r="S21" s="33">
        <f t="shared" si="3"/>
        <v>1.6573682222909003E-4</v>
      </c>
      <c r="T21">
        <f t="shared" si="4"/>
        <v>9.9182781681964996E-2</v>
      </c>
      <c r="U21">
        <f t="shared" si="5"/>
        <v>0.10212993324414754</v>
      </c>
      <c r="V21">
        <f t="shared" si="6"/>
        <v>0.40539624443066863</v>
      </c>
      <c r="W21">
        <f t="shared" si="15"/>
        <v>0.41744232899107003</v>
      </c>
      <c r="X21">
        <f t="shared" si="7"/>
        <v>1.2046084560401404E-2</v>
      </c>
    </row>
    <row r="22" spans="1:24" x14ac:dyDescent="0.2">
      <c r="C22">
        <v>363.07</v>
      </c>
      <c r="D22">
        <v>0.59060000000000001</v>
      </c>
      <c r="E22">
        <f t="shared" si="0"/>
        <v>0.40939999999999999</v>
      </c>
      <c r="F22">
        <v>0.57640000000000002</v>
      </c>
      <c r="G22">
        <f t="shared" si="1"/>
        <v>0.42359999999999998</v>
      </c>
      <c r="H22">
        <f>F22*C22/(D22*$C$27)</f>
        <v>1.0793852274232889</v>
      </c>
      <c r="I22">
        <f t="shared" si="8"/>
        <v>1.1473430100893613</v>
      </c>
      <c r="J22">
        <f t="shared" si="9"/>
        <v>0.94076942808865893</v>
      </c>
      <c r="K22">
        <f t="shared" si="10"/>
        <v>1.0754960575452912</v>
      </c>
      <c r="L22">
        <f t="shared" si="11"/>
        <v>1.1444463973853698</v>
      </c>
      <c r="M22">
        <f t="shared" si="12"/>
        <v>7.2782004024174188E-2</v>
      </c>
      <c r="N22">
        <f t="shared" si="13"/>
        <v>0.13492102435115041</v>
      </c>
      <c r="O22">
        <f t="shared" si="14"/>
        <v>0.93975223304682143</v>
      </c>
      <c r="P22">
        <f t="shared" si="17"/>
        <v>361.92768069576061</v>
      </c>
      <c r="Q22" s="31">
        <f t="shared" si="2"/>
        <v>1.1423193042393791</v>
      </c>
      <c r="R22" s="33">
        <f t="shared" si="18"/>
        <v>0.57613583716912975</v>
      </c>
      <c r="S22" s="33">
        <f t="shared" si="3"/>
        <v>2.641628308702737E-4</v>
      </c>
      <c r="T22">
        <f t="shared" si="4"/>
        <v>9.8221718946038261E-2</v>
      </c>
      <c r="U22">
        <f t="shared" si="5"/>
        <v>0.10138846206301563</v>
      </c>
      <c r="V22">
        <f t="shared" si="6"/>
        <v>0.406224627725087</v>
      </c>
      <c r="W22">
        <f t="shared" si="15"/>
        <v>0.41932161948616431</v>
      </c>
      <c r="X22">
        <f t="shared" si="7"/>
        <v>1.3096991761077315E-2</v>
      </c>
    </row>
    <row r="23" spans="1:24" x14ac:dyDescent="0.2">
      <c r="C23">
        <v>360.95</v>
      </c>
      <c r="D23">
        <v>0.66830000000000001</v>
      </c>
      <c r="E23">
        <f t="shared" si="0"/>
        <v>0.33169999999999999</v>
      </c>
      <c r="F23">
        <v>0.6401</v>
      </c>
      <c r="G23">
        <f t="shared" si="1"/>
        <v>0.3599</v>
      </c>
      <c r="H23">
        <f>F23*C23/(D23*$C$27)</f>
        <v>1.0531227325147956</v>
      </c>
      <c r="I23">
        <f t="shared" si="8"/>
        <v>1.1961295430991001</v>
      </c>
      <c r="J23">
        <f t="shared" si="9"/>
        <v>0.8804420378968465</v>
      </c>
      <c r="K23">
        <f t="shared" si="10"/>
        <v>1.0498590488951334</v>
      </c>
      <c r="L23">
        <f t="shared" si="11"/>
        <v>1.1923604554327465</v>
      </c>
      <c r="M23">
        <f t="shared" si="12"/>
        <v>4.8655916011059105E-2</v>
      </c>
      <c r="N23">
        <f t="shared" si="13"/>
        <v>0.17593491842812542</v>
      </c>
      <c r="O23">
        <f t="shared" si="14"/>
        <v>0.88048798004971185</v>
      </c>
      <c r="P23">
        <f t="shared" si="17"/>
        <v>359.82463943160661</v>
      </c>
      <c r="Q23" s="31">
        <f t="shared" si="2"/>
        <v>1.1253605683933756</v>
      </c>
      <c r="R23" s="33">
        <f t="shared" si="18"/>
        <v>0.64011202058878225</v>
      </c>
      <c r="S23" s="33">
        <f t="shared" si="3"/>
        <v>1.2020588782246655E-5</v>
      </c>
      <c r="T23">
        <f t="shared" si="4"/>
        <v>9.0874361112800006E-2</v>
      </c>
      <c r="U23">
        <f t="shared" si="5"/>
        <v>9.3995534469714037E-2</v>
      </c>
      <c r="V23">
        <f t="shared" si="6"/>
        <v>0.40994390896118199</v>
      </c>
      <c r="W23">
        <f t="shared" si="15"/>
        <v>0.42402385396228759</v>
      </c>
      <c r="X23">
        <f t="shared" si="7"/>
        <v>1.4079945001105598E-2</v>
      </c>
    </row>
    <row r="24" spans="1:24" x14ac:dyDescent="0.2">
      <c r="C24">
        <v>357.31</v>
      </c>
      <c r="D24">
        <v>0.74519999999999997</v>
      </c>
      <c r="E24">
        <f t="shared" si="0"/>
        <v>0.25480000000000003</v>
      </c>
      <c r="F24">
        <v>0.70730000000000004</v>
      </c>
      <c r="G24">
        <f t="shared" si="1"/>
        <v>0.29269999999999996</v>
      </c>
      <c r="H24">
        <f>F24*C24/(D24*$C$27)</f>
        <v>1.0330743009270149</v>
      </c>
      <c r="I24">
        <f t="shared" si="8"/>
        <v>1.2536123603527198</v>
      </c>
      <c r="J24">
        <f t="shared" si="9"/>
        <v>0.82407794753742403</v>
      </c>
      <c r="K24">
        <f t="shared" si="10"/>
        <v>1.0296697968722195</v>
      </c>
      <c r="L24">
        <f t="shared" si="11"/>
        <v>1.2495361404756173</v>
      </c>
      <c r="M24">
        <f t="shared" si="12"/>
        <v>2.9238165282056083E-2</v>
      </c>
      <c r="N24">
        <f t="shared" si="13"/>
        <v>0.22277239482465458</v>
      </c>
      <c r="O24">
        <f t="shared" si="14"/>
        <v>0.82404162914430867</v>
      </c>
      <c r="P24">
        <f t="shared" si="17"/>
        <v>356.13707645308756</v>
      </c>
      <c r="Q24" s="31">
        <f t="shared" si="2"/>
        <v>1.1729235469124433</v>
      </c>
      <c r="R24" s="33">
        <f t="shared" si="18"/>
        <v>0.70729087572741645</v>
      </c>
      <c r="S24" s="33">
        <f t="shared" si="3"/>
        <v>9.1242725835938288E-6</v>
      </c>
      <c r="T24">
        <f t="shared" si="4"/>
        <v>7.8550686969510189E-2</v>
      </c>
      <c r="U24">
        <f t="shared" si="5"/>
        <v>8.1840406884993819E-2</v>
      </c>
      <c r="V24">
        <f t="shared" si="6"/>
        <v>0.41369256685755967</v>
      </c>
      <c r="W24">
        <f t="shared" si="15"/>
        <v>0.43101810185392592</v>
      </c>
      <c r="X24">
        <f t="shared" si="7"/>
        <v>1.7325534996366243E-2</v>
      </c>
    </row>
    <row r="25" spans="1:24" x14ac:dyDescent="0.2">
      <c r="C25">
        <v>342.44</v>
      </c>
      <c r="D25" s="15">
        <v>0.84009999999999996</v>
      </c>
      <c r="E25">
        <f t="shared" si="0"/>
        <v>0.15990000000000004</v>
      </c>
      <c r="F25">
        <v>0.79869999999999997</v>
      </c>
      <c r="G25">
        <f t="shared" si="1"/>
        <v>0.20130000000000003</v>
      </c>
      <c r="H25">
        <f>F25*C25/(D25*$C$27)</f>
        <v>0.99172842992300003</v>
      </c>
      <c r="I25">
        <f t="shared" si="8"/>
        <v>1.3166628904839393</v>
      </c>
      <c r="J25">
        <f t="shared" si="9"/>
        <v>0.75321362597110209</v>
      </c>
      <c r="K25">
        <f t="shared" si="10"/>
        <v>1.0118485713325309</v>
      </c>
      <c r="L25">
        <f t="shared" si="11"/>
        <v>1.3359256396446058</v>
      </c>
      <c r="M25">
        <f t="shared" si="12"/>
        <v>1.1778926598507473E-2</v>
      </c>
      <c r="N25">
        <f t="shared" si="13"/>
        <v>0.28962441461678878</v>
      </c>
      <c r="O25">
        <f t="shared" si="14"/>
        <v>0.75741384198727668</v>
      </c>
      <c r="P25">
        <f t="shared" si="17"/>
        <v>348.99738491431225</v>
      </c>
      <c r="Q25" s="31">
        <f t="shared" si="2"/>
        <v>6.5573849143122516</v>
      </c>
      <c r="R25" s="33">
        <f t="shared" si="18"/>
        <v>0.79959258775228614</v>
      </c>
      <c r="S25" s="33">
        <f t="shared" si="3"/>
        <v>8.9258775228617804E-4</v>
      </c>
      <c r="T25">
        <f t="shared" si="4"/>
        <v>5.6206420132630663E-2</v>
      </c>
      <c r="U25">
        <f t="shared" si="5"/>
        <v>3.7010712680335817E-2</v>
      </c>
      <c r="V25">
        <f t="shared" si="6"/>
        <v>0.41841425957160799</v>
      </c>
      <c r="W25">
        <f t="shared" si="15"/>
        <v>0.2755167453436505</v>
      </c>
      <c r="X25">
        <f t="shared" si="7"/>
        <v>0.14289751422795749</v>
      </c>
    </row>
    <row r="26" spans="1:24" x14ac:dyDescent="0.2">
      <c r="C26">
        <v>340.78</v>
      </c>
      <c r="D26">
        <v>0.92020000000000002</v>
      </c>
      <c r="E26">
        <f t="shared" si="0"/>
        <v>7.9799999999999982E-2</v>
      </c>
      <c r="F26">
        <v>0.88990000000000002</v>
      </c>
      <c r="G26">
        <f t="shared" si="1"/>
        <v>0.11009999999999998</v>
      </c>
      <c r="H26">
        <f>F26*C26/(D26*$C$27)</f>
        <v>1.0038958332731969</v>
      </c>
      <c r="I26">
        <f t="shared" si="8"/>
        <v>1.4359963037518664</v>
      </c>
      <c r="J26">
        <f t="shared" si="9"/>
        <v>0.69909360535977083</v>
      </c>
      <c r="K26">
        <f t="shared" si="10"/>
        <v>1.00299552114241</v>
      </c>
      <c r="L26">
        <f t="shared" si="11"/>
        <v>1.4251532219223932</v>
      </c>
      <c r="M26">
        <f t="shared" si="12"/>
        <v>2.9910435086218864E-3</v>
      </c>
      <c r="N26">
        <f t="shared" si="13"/>
        <v>0.35427933209637152</v>
      </c>
      <c r="O26">
        <f t="shared" si="14"/>
        <v>0.7037808326247661</v>
      </c>
      <c r="P26">
        <f t="shared" si="17"/>
        <v>340.22472148027759</v>
      </c>
      <c r="Q26" s="31">
        <f t="shared" si="2"/>
        <v>0.55527851972237841</v>
      </c>
      <c r="R26" s="33">
        <f t="shared" si="18"/>
        <v>0.89055301878667104</v>
      </c>
      <c r="S26" s="33">
        <f t="shared" si="3"/>
        <v>6.5301878667101132E-4</v>
      </c>
      <c r="T26">
        <f t="shared" si="4"/>
        <v>3.10238489379243E-2</v>
      </c>
      <c r="U26">
        <f t="shared" si="5"/>
        <v>3.2454320637877607E-2</v>
      </c>
      <c r="V26">
        <f t="shared" si="6"/>
        <v>0.42248428256476206</v>
      </c>
      <c r="W26">
        <f t="shared" si="15"/>
        <v>0.44196451569422374</v>
      </c>
      <c r="X26">
        <f t="shared" si="7"/>
        <v>1.9480233129461677E-2</v>
      </c>
    </row>
    <row r="27" spans="1:24" x14ac:dyDescent="0.2">
      <c r="C27">
        <f>10^(C2-D2/(E2+B10))</f>
        <v>328.27999999999952</v>
      </c>
      <c r="D27">
        <v>0.99999990000000005</v>
      </c>
      <c r="E27">
        <f t="shared" si="0"/>
        <v>9.9999999947364415E-8</v>
      </c>
      <c r="F27">
        <v>0.99999999999900002</v>
      </c>
      <c r="G27">
        <f t="shared" si="1"/>
        <v>9.999778782798785E-13</v>
      </c>
      <c r="H27">
        <v>1</v>
      </c>
      <c r="J27" t="e">
        <f t="shared" si="9"/>
        <v>#DIV/0!</v>
      </c>
      <c r="K27">
        <f t="shared" si="10"/>
        <v>1.0000000000000049</v>
      </c>
      <c r="L27">
        <f t="shared" si="11"/>
        <v>1.5320680245245288</v>
      </c>
      <c r="M27">
        <f t="shared" si="12"/>
        <v>4.7893362757220788E-15</v>
      </c>
      <c r="N27">
        <f t="shared" si="13"/>
        <v>0.42661847276379533</v>
      </c>
      <c r="O27">
        <f t="shared" si="14"/>
        <v>0.65271253233703563</v>
      </c>
      <c r="P27">
        <f t="shared" si="17"/>
        <v>328.28001733497234</v>
      </c>
      <c r="Q27" s="31">
        <f t="shared" si="2"/>
        <v>1.7334972824301076E-5</v>
      </c>
      <c r="R27" s="33">
        <f t="shared" si="18"/>
        <v>0.99999984719456392</v>
      </c>
      <c r="S27" s="33">
        <f t="shared" si="3"/>
        <v>1.528044361043257E-7</v>
      </c>
      <c r="T27">
        <f t="shared" si="4"/>
        <v>4.2661852043260018E-8</v>
      </c>
      <c r="U27" t="e">
        <f t="shared" si="5"/>
        <v>#NUM!</v>
      </c>
      <c r="V27">
        <f t="shared" si="6"/>
        <v>0.4266185633190096</v>
      </c>
      <c r="X27">
        <f t="shared" si="7"/>
        <v>0.4266185633190096</v>
      </c>
    </row>
    <row r="28" spans="1:24" x14ac:dyDescent="0.2">
      <c r="P28" t="s">
        <v>10</v>
      </c>
      <c r="Q28" s="31">
        <f>AVERAGE(Q12:Q26)</f>
        <v>1.4404583882192734</v>
      </c>
      <c r="R28" s="33"/>
      <c r="S28" s="33">
        <f>AVERAGE(S12:S26)</f>
        <v>2.3509182266512701E-4</v>
      </c>
    </row>
    <row r="29" spans="1:24" x14ac:dyDescent="0.2">
      <c r="P29" t="s">
        <v>11</v>
      </c>
      <c r="Q29" s="34">
        <f>MAX(Q12:Q26)</f>
        <v>6.5573849143122516</v>
      </c>
      <c r="R29" s="33"/>
      <c r="S29" s="33">
        <f>MAX(S12:S26)</f>
        <v>8.9258775228617804E-4</v>
      </c>
    </row>
    <row r="30" spans="1:24" x14ac:dyDescent="0.2">
      <c r="R30">
        <f>10000*S28</f>
        <v>2.3509182266512703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6"/>
  <sheetViews>
    <sheetView zoomScale="75" workbookViewId="0">
      <pane xSplit="2" topLeftCell="C1" activePane="topRight" state="frozen"/>
      <selection pane="topRight" activeCell="C1" sqref="C1"/>
    </sheetView>
  </sheetViews>
  <sheetFormatPr defaultRowHeight="12.75" x14ac:dyDescent="0.2"/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</row>
    <row r="2" spans="1:24" x14ac:dyDescent="0.2">
      <c r="B2" t="s">
        <v>0</v>
      </c>
      <c r="C2">
        <v>6.87956494727778</v>
      </c>
      <c r="D2">
        <v>1196.76</v>
      </c>
      <c r="E2">
        <v>219.161</v>
      </c>
      <c r="H2">
        <v>6.8508904118956107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</row>
    <row r="3" spans="1:24" x14ac:dyDescent="0.2">
      <c r="B3" t="s">
        <v>6</v>
      </c>
      <c r="C3">
        <f>(LN(10^(C2-D2/(E2+55)))-LN(10^(C2-D2/(E2+15))))*-8.314/(1/(273.15+55)-1/(273.15+15))</f>
        <v>33744.544239110459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98.230509719386205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>
        <v>0.37163137228344334</v>
      </c>
      <c r="Q5" t="s">
        <v>9</v>
      </c>
    </row>
    <row r="6" spans="1:24" x14ac:dyDescent="0.2">
      <c r="M6" t="s">
        <v>51</v>
      </c>
      <c r="N6">
        <v>0.40939785102434983</v>
      </c>
    </row>
    <row r="7" spans="1:24" x14ac:dyDescent="0.2">
      <c r="N7">
        <f>10000*S23</f>
        <v>5.9266710660131201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60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333.15</v>
      </c>
      <c r="C11">
        <f>10^(H2-I2/(J2+B10))</f>
        <v>388.85999951834737</v>
      </c>
      <c r="D11">
        <v>9.9999999999999994E-12</v>
      </c>
      <c r="E11">
        <f t="shared" ref="E11:E22" si="0">1-D11</f>
        <v>0.99999999999</v>
      </c>
      <c r="F11">
        <v>9.9999999999999998E-13</v>
      </c>
      <c r="G11">
        <f t="shared" ref="G11:G22" si="1">1-F11</f>
        <v>0.99999999999900002</v>
      </c>
      <c r="I11" s="1">
        <v>1</v>
      </c>
      <c r="J11">
        <f>H11/I11</f>
        <v>0</v>
      </c>
      <c r="K11">
        <f>EXP(M11)</f>
        <v>1.4505287931190445</v>
      </c>
      <c r="L11">
        <f>EXP(N11)</f>
        <v>1</v>
      </c>
      <c r="M11">
        <f>$B$13*($B$14*E11/($B$13*D11+$B$14*E11))^2</f>
        <v>0.37192817486078988</v>
      </c>
      <c r="N11">
        <f>$B$14*($B$13*D11/($B$13*D11+$B$14*E11))^2</f>
        <v>3.3760203650653869E-23</v>
      </c>
      <c r="O11">
        <f>K11/L11</f>
        <v>1.4505287931190445</v>
      </c>
      <c r="P11">
        <f t="shared" ref="P11:P22" si="2">K11*D11*$C$22+L11*E11*$C$11</f>
        <v>388.85999952013555</v>
      </c>
      <c r="Q11">
        <f t="shared" ref="Q11:Q22" si="3">ABS(C11-P11)</f>
        <v>1.7881802705232985E-9</v>
      </c>
      <c r="R11">
        <f t="shared" ref="R11:R22" si="4">K11*D11*$C$22/P11</f>
        <v>1.4598543153468249E-11</v>
      </c>
      <c r="S11">
        <f t="shared" ref="S11:S22" si="5">ABS(F11-R11)</f>
        <v>1.359854315346825E-11</v>
      </c>
      <c r="T11">
        <f t="shared" ref="T11:T22" si="6">D11*M11+E11*N11</f>
        <v>3.7192817486416588E-12</v>
      </c>
      <c r="U11" t="e">
        <f t="shared" ref="U11:U22" si="7">D11*LN(H11)+E11*LN(I11)</f>
        <v>#NUM!</v>
      </c>
      <c r="V11">
        <f t="shared" ref="V11:V22" si="8">T11/(D11*E11)</f>
        <v>0.37192817486788521</v>
      </c>
      <c r="X11">
        <f t="shared" ref="X11:X22" si="9">ABS(ABS(V11)-ABS(W11))</f>
        <v>0.37192817486788521</v>
      </c>
    </row>
    <row r="12" spans="1:24" x14ac:dyDescent="0.2">
      <c r="C12">
        <v>400.67</v>
      </c>
      <c r="D12">
        <v>6.7199999999999996E-2</v>
      </c>
      <c r="E12">
        <f t="shared" si="0"/>
        <v>0.93279999999999996</v>
      </c>
      <c r="F12">
        <v>9.1200000000000003E-2</v>
      </c>
      <c r="G12">
        <f t="shared" si="1"/>
        <v>0.90880000000000005</v>
      </c>
      <c r="H12">
        <f>F12*C12/(D12*$C$22)</f>
        <v>1.3894277102326171</v>
      </c>
      <c r="I12">
        <f t="shared" ref="I12:I21" si="10">G12*C12/(E12*$C$11)</f>
        <v>1.0038604301401561</v>
      </c>
      <c r="J12">
        <f t="shared" ref="J12:J22" si="11">H12/I12</f>
        <v>1.3840845485249669</v>
      </c>
      <c r="K12">
        <f t="shared" ref="K12:K22" si="12">EXP(M12)</f>
        <v>1.3877343777032869</v>
      </c>
      <c r="L12">
        <f t="shared" ref="L12:L22" si="13">EXP(N12)</f>
        <v>1.001544836957418</v>
      </c>
      <c r="M12">
        <f t="shared" ref="M12:M22" si="14">$B$13*($B$14*E12/($B$13*D12+$B$14*E12))^2</f>
        <v>0.32767247324016302</v>
      </c>
      <c r="N12">
        <f t="shared" ref="N12:N22" si="15">$B$14*($B$13*D12/($B$13*D12+$B$14*E12))^2</f>
        <v>1.5436449243121111E-3</v>
      </c>
      <c r="O12">
        <f t="shared" ref="O12:O22" si="16">K12/L12</f>
        <v>1.3855938610986902</v>
      </c>
      <c r="P12">
        <f t="shared" si="2"/>
        <v>399.78553449320498</v>
      </c>
      <c r="Q12">
        <f t="shared" si="3"/>
        <v>0.88446550679503844</v>
      </c>
      <c r="R12">
        <f t="shared" si="4"/>
        <v>9.1290372550119722E-2</v>
      </c>
      <c r="S12">
        <f t="shared" si="5"/>
        <v>9.0372550119718897E-5</v>
      </c>
      <c r="T12">
        <f t="shared" si="6"/>
        <v>2.3459502187137292E-2</v>
      </c>
      <c r="U12">
        <f t="shared" si="7"/>
        <v>2.5695614926043078E-2</v>
      </c>
      <c r="V12">
        <f t="shared" si="8"/>
        <v>0.37424928701504967</v>
      </c>
      <c r="W12">
        <f t="shared" ref="W12:W21" si="17">U12/(D12*E12)</f>
        <v>0.40992197910992317</v>
      </c>
      <c r="X12">
        <f t="shared" si="9"/>
        <v>3.5672692094873504E-2</v>
      </c>
    </row>
    <row r="13" spans="1:24" x14ac:dyDescent="0.2">
      <c r="A13" t="s">
        <v>33</v>
      </c>
      <c r="B13">
        <v>0.37192817486754193</v>
      </c>
      <c r="C13">
        <v>419.47</v>
      </c>
      <c r="D13">
        <v>0.2261</v>
      </c>
      <c r="E13">
        <f t="shared" si="0"/>
        <v>0.77390000000000003</v>
      </c>
      <c r="F13">
        <v>0.26700000000000002</v>
      </c>
      <c r="G13">
        <f t="shared" si="1"/>
        <v>0.73299999999999998</v>
      </c>
      <c r="H13">
        <f>F13*C13/(D13*$C$22)</f>
        <v>1.2657127933020376</v>
      </c>
      <c r="I13">
        <f t="shared" si="10"/>
        <v>1.0217079265930724</v>
      </c>
      <c r="J13">
        <f t="shared" si="11"/>
        <v>1.2388205673637176</v>
      </c>
      <c r="K13">
        <f t="shared" si="12"/>
        <v>1.2615632180903595</v>
      </c>
      <c r="L13">
        <f t="shared" si="13"/>
        <v>1.0181651107418541</v>
      </c>
      <c r="M13">
        <f t="shared" si="14"/>
        <v>0.23235160127208263</v>
      </c>
      <c r="N13">
        <f t="shared" si="15"/>
        <v>1.8002096275225796E-2</v>
      </c>
      <c r="O13">
        <f t="shared" si="16"/>
        <v>1.2390556352605335</v>
      </c>
      <c r="P13">
        <f t="shared" si="2"/>
        <v>418.03664804310478</v>
      </c>
      <c r="Q13">
        <f t="shared" si="3"/>
        <v>1.4333519568952511</v>
      </c>
      <c r="R13">
        <f t="shared" si="4"/>
        <v>0.26703713454852557</v>
      </c>
      <c r="S13">
        <f t="shared" si="5"/>
        <v>3.7134548525552535E-5</v>
      </c>
      <c r="T13">
        <f t="shared" si="6"/>
        <v>6.646651935501513E-2</v>
      </c>
      <c r="U13">
        <f t="shared" si="7"/>
        <v>6.9897189189926656E-2</v>
      </c>
      <c r="V13">
        <f t="shared" si="8"/>
        <v>0.3798547204207729</v>
      </c>
      <c r="W13">
        <f t="shared" si="17"/>
        <v>0.39946092432075142</v>
      </c>
      <c r="X13">
        <f t="shared" si="9"/>
        <v>1.9606203899978525E-2</v>
      </c>
    </row>
    <row r="14" spans="1:24" x14ac:dyDescent="0.2">
      <c r="A14" t="s">
        <v>34</v>
      </c>
      <c r="B14">
        <v>0.40974446923360591</v>
      </c>
      <c r="C14">
        <v>425.49</v>
      </c>
      <c r="D14" s="15">
        <v>0.3201</v>
      </c>
      <c r="E14">
        <f t="shared" si="0"/>
        <v>0.67989999999999995</v>
      </c>
      <c r="F14">
        <v>0.35260000000000002</v>
      </c>
      <c r="G14">
        <f t="shared" si="1"/>
        <v>0.64739999999999998</v>
      </c>
      <c r="H14">
        <f t="shared" ref="H14:H21" si="18">F14*C14/(D14*$C$22)</f>
        <v>1.1975938473864873</v>
      </c>
      <c r="I14">
        <f t="shared" si="10"/>
        <v>1.04189448739389</v>
      </c>
      <c r="J14">
        <f t="shared" si="11"/>
        <v>1.1494387021684422</v>
      </c>
      <c r="K14">
        <f t="shared" si="12"/>
        <v>1.2002815011880774</v>
      </c>
      <c r="L14">
        <f t="shared" si="13"/>
        <v>1.0374131182593431</v>
      </c>
      <c r="M14">
        <f t="shared" si="14"/>
        <v>0.18255611360675233</v>
      </c>
      <c r="N14">
        <f t="shared" si="15"/>
        <v>3.6730228179428656E-2</v>
      </c>
      <c r="O14">
        <f t="shared" si="16"/>
        <v>1.1569947208707061</v>
      </c>
      <c r="P14">
        <f t="shared" si="2"/>
        <v>424.64188317218589</v>
      </c>
      <c r="Q14">
        <f t="shared" si="3"/>
        <v>0.84811682781412401</v>
      </c>
      <c r="R14">
        <f t="shared" si="4"/>
        <v>0.35409712043019653</v>
      </c>
      <c r="S14">
        <f t="shared" si="5"/>
        <v>1.497120430196508E-3</v>
      </c>
      <c r="T14">
        <f t="shared" si="6"/>
        <v>8.3409094104714962E-2</v>
      </c>
      <c r="U14">
        <f t="shared" si="7"/>
        <v>8.5622202087742363E-2</v>
      </c>
      <c r="V14">
        <f t="shared" si="8"/>
        <v>0.3832504637891691</v>
      </c>
      <c r="W14">
        <f t="shared" si="17"/>
        <v>0.39341931492002941</v>
      </c>
      <c r="X14">
        <f t="shared" si="9"/>
        <v>1.0168851130860301E-2</v>
      </c>
    </row>
    <row r="15" spans="1:24" x14ac:dyDescent="0.2">
      <c r="A15" s="4"/>
      <c r="C15">
        <v>431.38</v>
      </c>
      <c r="D15">
        <v>0.432</v>
      </c>
      <c r="E15">
        <f t="shared" si="0"/>
        <v>0.56800000000000006</v>
      </c>
      <c r="F15">
        <v>0.44800000000000001</v>
      </c>
      <c r="G15">
        <f t="shared" si="1"/>
        <v>0.55200000000000005</v>
      </c>
      <c r="H15">
        <f t="shared" si="18"/>
        <v>1.1430831897066436</v>
      </c>
      <c r="I15">
        <f t="shared" si="10"/>
        <v>1.0780961045710364</v>
      </c>
      <c r="J15">
        <f t="shared" si="11"/>
        <v>1.060279491652059</v>
      </c>
      <c r="K15">
        <f t="shared" si="12"/>
        <v>1.1390168957283977</v>
      </c>
      <c r="L15">
        <f t="shared" si="13"/>
        <v>1.0707356600405959</v>
      </c>
      <c r="M15">
        <f t="shared" si="14"/>
        <v>0.13016551818153743</v>
      </c>
      <c r="N15">
        <f t="shared" si="15"/>
        <v>6.8345944979672155E-2</v>
      </c>
      <c r="O15">
        <f t="shared" si="16"/>
        <v>1.0637703947258215</v>
      </c>
      <c r="P15">
        <f t="shared" si="2"/>
        <v>429.06680212631295</v>
      </c>
      <c r="Q15">
        <f t="shared" si="3"/>
        <v>2.3131978736870451</v>
      </c>
      <c r="R15">
        <f t="shared" si="4"/>
        <v>0.44881300722247247</v>
      </c>
      <c r="S15">
        <f t="shared" si="5"/>
        <v>8.130072224724616E-4</v>
      </c>
      <c r="T15">
        <f t="shared" si="6"/>
        <v>9.5052000602877967E-2</v>
      </c>
      <c r="U15">
        <f t="shared" si="7"/>
        <v>0.10048267864821936</v>
      </c>
      <c r="V15">
        <f t="shared" si="8"/>
        <v>0.38737285065726867</v>
      </c>
      <c r="W15">
        <f t="shared" si="17"/>
        <v>0.4095049175478423</v>
      </c>
      <c r="X15">
        <f t="shared" si="9"/>
        <v>2.2132066890573621E-2</v>
      </c>
    </row>
    <row r="16" spans="1:24" x14ac:dyDescent="0.2">
      <c r="A16" s="4"/>
      <c r="C16">
        <v>432.18</v>
      </c>
      <c r="D16">
        <v>0.52029999999999998</v>
      </c>
      <c r="E16">
        <f t="shared" si="0"/>
        <v>0.47970000000000002</v>
      </c>
      <c r="F16">
        <v>0.52029999999999998</v>
      </c>
      <c r="G16">
        <f t="shared" si="1"/>
        <v>0.47970000000000002</v>
      </c>
      <c r="H16">
        <f t="shared" si="18"/>
        <v>1.1043029437950187</v>
      </c>
      <c r="I16">
        <f t="shared" si="10"/>
        <v>1.1114025627097412</v>
      </c>
      <c r="J16">
        <f t="shared" si="11"/>
        <v>0.99361201858540549</v>
      </c>
      <c r="K16">
        <f t="shared" si="12"/>
        <v>1.0990400257489346</v>
      </c>
      <c r="L16">
        <f t="shared" si="13"/>
        <v>1.1061058094172553</v>
      </c>
      <c r="M16">
        <f t="shared" si="14"/>
        <v>9.4437094912003194E-2</v>
      </c>
      <c r="N16">
        <f t="shared" si="15"/>
        <v>0.10084556707506297</v>
      </c>
      <c r="O16">
        <f t="shared" si="16"/>
        <v>0.99361201830045232</v>
      </c>
      <c r="P16">
        <f t="shared" si="2"/>
        <v>430.12030445305504</v>
      </c>
      <c r="Q16">
        <f t="shared" si="3"/>
        <v>2.0596955469449654</v>
      </c>
      <c r="R16">
        <f t="shared" si="4"/>
        <v>0.5202999999284218</v>
      </c>
      <c r="S16">
        <f t="shared" si="5"/>
        <v>7.157818782133063E-11</v>
      </c>
      <c r="T16">
        <f t="shared" si="6"/>
        <v>9.7511239008622963E-2</v>
      </c>
      <c r="U16">
        <f t="shared" si="7"/>
        <v>0.10228845978304868</v>
      </c>
      <c r="V16">
        <f t="shared" si="8"/>
        <v>0.39068895207553511</v>
      </c>
      <c r="W16">
        <f t="shared" si="17"/>
        <v>0.40982938549807435</v>
      </c>
      <c r="X16">
        <f t="shared" si="9"/>
        <v>1.9140433422539238E-2</v>
      </c>
    </row>
    <row r="17" spans="1:24" x14ac:dyDescent="0.2">
      <c r="A17" s="4"/>
      <c r="C17">
        <v>430.67</v>
      </c>
      <c r="D17">
        <v>0.60289999999999999</v>
      </c>
      <c r="E17">
        <f t="shared" si="0"/>
        <v>0.39710000000000001</v>
      </c>
      <c r="F17">
        <v>0.58950000000000002</v>
      </c>
      <c r="G17">
        <f t="shared" si="1"/>
        <v>0.41049999999999998</v>
      </c>
      <c r="H17">
        <f t="shared" si="18"/>
        <v>1.0759862230054096</v>
      </c>
      <c r="I17">
        <f t="shared" si="10"/>
        <v>1.1448922707617224</v>
      </c>
      <c r="J17">
        <f t="shared" si="11"/>
        <v>0.9398143829633262</v>
      </c>
      <c r="K17">
        <f t="shared" si="12"/>
        <v>1.0679743700550379</v>
      </c>
      <c r="L17">
        <f t="shared" si="13"/>
        <v>1.1475182176007834</v>
      </c>
      <c r="M17">
        <f t="shared" si="14"/>
        <v>6.5763742174237527E-2</v>
      </c>
      <c r="N17">
        <f t="shared" si="15"/>
        <v>0.13760153873136449</v>
      </c>
      <c r="O17">
        <f t="shared" si="16"/>
        <v>0.93068184336798176</v>
      </c>
      <c r="P17">
        <f t="shared" si="2"/>
        <v>429.18508474367434</v>
      </c>
      <c r="Q17">
        <f t="shared" si="3"/>
        <v>1.484915256325678</v>
      </c>
      <c r="R17">
        <f t="shared" si="4"/>
        <v>0.58713494408603251</v>
      </c>
      <c r="S17">
        <f t="shared" si="5"/>
        <v>2.3650559139675176E-3</v>
      </c>
      <c r="T17">
        <f t="shared" si="6"/>
        <v>9.4290531187072646E-2</v>
      </c>
      <c r="U17">
        <f t="shared" si="7"/>
        <v>9.7886801643464666E-2</v>
      </c>
      <c r="V17">
        <f t="shared" si="8"/>
        <v>0.39384280095659796</v>
      </c>
      <c r="W17">
        <f t="shared" si="17"/>
        <v>0.40886408900865939</v>
      </c>
      <c r="X17">
        <f t="shared" si="9"/>
        <v>1.5021288052061432E-2</v>
      </c>
    </row>
    <row r="18" spans="1:24" x14ac:dyDescent="0.2">
      <c r="A18" s="1"/>
      <c r="C18">
        <v>427.35</v>
      </c>
      <c r="D18">
        <v>0.70950000000000002</v>
      </c>
      <c r="E18">
        <f t="shared" si="0"/>
        <v>0.29049999999999998</v>
      </c>
      <c r="F18">
        <v>0.67700000000000005</v>
      </c>
      <c r="G18">
        <f t="shared" si="1"/>
        <v>0.32299999999999995</v>
      </c>
      <c r="H18">
        <f t="shared" si="18"/>
        <v>1.0419419937743963</v>
      </c>
      <c r="I18">
        <f t="shared" si="10"/>
        <v>1.2219313931810982</v>
      </c>
      <c r="J18">
        <f t="shared" si="11"/>
        <v>0.85270089596591103</v>
      </c>
      <c r="K18">
        <f t="shared" si="12"/>
        <v>1.0365934280430904</v>
      </c>
      <c r="L18">
        <f t="shared" si="13"/>
        <v>1.2148201506108478</v>
      </c>
      <c r="M18">
        <f t="shared" si="14"/>
        <v>3.593978683738723E-2</v>
      </c>
      <c r="N18">
        <f t="shared" si="15"/>
        <v>0.19459604164724778</v>
      </c>
      <c r="O18">
        <f t="shared" si="16"/>
        <v>0.85328962276585574</v>
      </c>
      <c r="P18">
        <f t="shared" si="2"/>
        <v>425.06155098576136</v>
      </c>
      <c r="Q18">
        <f t="shared" si="3"/>
        <v>2.2884490142386653</v>
      </c>
      <c r="R18">
        <f t="shared" si="4"/>
        <v>0.67715090559014746</v>
      </c>
      <c r="S18">
        <f t="shared" si="5"/>
        <v>1.509055901474099E-4</v>
      </c>
      <c r="T18">
        <f t="shared" si="6"/>
        <v>8.2029428859651712E-2</v>
      </c>
      <c r="U18">
        <f t="shared" si="7"/>
        <v>8.7376415163613746E-2</v>
      </c>
      <c r="V18">
        <f t="shared" si="8"/>
        <v>0.39798907552724566</v>
      </c>
      <c r="W18">
        <f t="shared" si="17"/>
        <v>0.42393149845465222</v>
      </c>
      <c r="X18">
        <f t="shared" si="9"/>
        <v>2.5942422927406561E-2</v>
      </c>
    </row>
    <row r="19" spans="1:24" x14ac:dyDescent="0.2">
      <c r="A19" s="1"/>
      <c r="C19">
        <v>420.64</v>
      </c>
      <c r="D19">
        <v>0.79520000000000002</v>
      </c>
      <c r="E19">
        <f t="shared" si="0"/>
        <v>0.20479999999999998</v>
      </c>
      <c r="F19">
        <v>0.75629999999999997</v>
      </c>
      <c r="G19">
        <f t="shared" si="1"/>
        <v>0.24370000000000003</v>
      </c>
      <c r="H19">
        <f t="shared" si="18"/>
        <v>1.0222376266926476</v>
      </c>
      <c r="I19">
        <f t="shared" si="10"/>
        <v>1.2871906437920559</v>
      </c>
      <c r="J19">
        <f t="shared" si="11"/>
        <v>0.79416179073609616</v>
      </c>
      <c r="K19">
        <f t="shared" si="12"/>
        <v>1.0183348406886792</v>
      </c>
      <c r="L19">
        <f t="shared" si="13"/>
        <v>1.2822756936842059</v>
      </c>
      <c r="M19">
        <f t="shared" si="14"/>
        <v>1.8168784172368908E-2</v>
      </c>
      <c r="N19">
        <f t="shared" si="15"/>
        <v>0.24863638505427901</v>
      </c>
      <c r="O19">
        <f t="shared" si="16"/>
        <v>0.79416216473917733</v>
      </c>
      <c r="P19">
        <f t="shared" si="2"/>
        <v>419.03399663731312</v>
      </c>
      <c r="Q19">
        <f t="shared" si="3"/>
        <v>1.6060033626868631</v>
      </c>
      <c r="R19">
        <f t="shared" si="4"/>
        <v>0.75630008679918881</v>
      </c>
      <c r="S19">
        <f t="shared" si="5"/>
        <v>8.6799188836472752E-8</v>
      </c>
      <c r="T19">
        <f t="shared" si="6"/>
        <v>6.5368548832984097E-2</v>
      </c>
      <c r="U19">
        <f t="shared" si="7"/>
        <v>6.9193837305104089E-2</v>
      </c>
      <c r="V19">
        <f t="shared" si="8"/>
        <v>0.40138627684677464</v>
      </c>
      <c r="W19">
        <f t="shared" si="17"/>
        <v>0.42487491664528243</v>
      </c>
      <c r="X19">
        <f t="shared" si="9"/>
        <v>2.3488639798507793E-2</v>
      </c>
    </row>
    <row r="20" spans="1:24" x14ac:dyDescent="0.2">
      <c r="A20" s="1"/>
      <c r="C20">
        <v>411.94</v>
      </c>
      <c r="D20">
        <v>0.87519999999999998</v>
      </c>
      <c r="E20">
        <f t="shared" si="0"/>
        <v>0.12480000000000002</v>
      </c>
      <c r="F20">
        <v>0.83860000000000001</v>
      </c>
      <c r="G20">
        <f t="shared" si="1"/>
        <v>0.16139999999999999</v>
      </c>
      <c r="H20">
        <f t="shared" si="18"/>
        <v>1.0085677533338673</v>
      </c>
      <c r="I20">
        <f t="shared" si="10"/>
        <v>1.370028615910494</v>
      </c>
      <c r="J20">
        <f t="shared" si="11"/>
        <v>0.73616546517431181</v>
      </c>
      <c r="K20">
        <f t="shared" si="12"/>
        <v>1.0068791289305923</v>
      </c>
      <c r="L20">
        <f t="shared" si="13"/>
        <v>1.3580339111814403</v>
      </c>
      <c r="M20">
        <f t="shared" si="14"/>
        <v>6.8555756787120952E-3</v>
      </c>
      <c r="N20">
        <f t="shared" si="15"/>
        <v>0.30603800023962835</v>
      </c>
      <c r="O20">
        <f t="shared" si="16"/>
        <v>0.74142414312367488</v>
      </c>
      <c r="P20">
        <f t="shared" si="2"/>
        <v>410.77951553022478</v>
      </c>
      <c r="Q20">
        <f t="shared" si="3"/>
        <v>1.1604844697752128</v>
      </c>
      <c r="R20">
        <f t="shared" si="4"/>
        <v>0.8395610936010014</v>
      </c>
      <c r="S20">
        <f t="shared" si="5"/>
        <v>9.6109360100138375E-4</v>
      </c>
      <c r="T20">
        <f t="shared" si="6"/>
        <v>4.4193542263914448E-2</v>
      </c>
      <c r="U20">
        <f t="shared" si="7"/>
        <v>4.6757544454689944E-2</v>
      </c>
      <c r="V20">
        <f t="shared" si="8"/>
        <v>0.40461028563356255</v>
      </c>
      <c r="W20">
        <f t="shared" si="17"/>
        <v>0.42808479357364781</v>
      </c>
      <c r="X20">
        <f t="shared" si="9"/>
        <v>2.3474507940085265E-2</v>
      </c>
    </row>
    <row r="21" spans="1:24" x14ac:dyDescent="0.2">
      <c r="A21" s="4"/>
      <c r="C21">
        <v>409.65</v>
      </c>
      <c r="D21">
        <v>0.89319999999999999</v>
      </c>
      <c r="E21">
        <f t="shared" si="0"/>
        <v>0.10680000000000001</v>
      </c>
      <c r="F21">
        <v>0.86</v>
      </c>
      <c r="G21">
        <f t="shared" si="1"/>
        <v>0.14000000000000001</v>
      </c>
      <c r="H21">
        <f t="shared" si="18"/>
        <v>1.007827630525586</v>
      </c>
      <c r="I21">
        <f t="shared" si="10"/>
        <v>1.3809452828462887</v>
      </c>
      <c r="J21">
        <f t="shared" si="11"/>
        <v>0.72980996643714668</v>
      </c>
      <c r="K21">
        <f t="shared" si="12"/>
        <v>1.0050515314202155</v>
      </c>
      <c r="L21">
        <f t="shared" si="13"/>
        <v>1.3770053709573906</v>
      </c>
      <c r="M21">
        <f t="shared" si="14"/>
        <v>5.0388152415095661E-3</v>
      </c>
      <c r="N21">
        <f t="shared" si="15"/>
        <v>0.31991112021631879</v>
      </c>
      <c r="O21">
        <f t="shared" si="16"/>
        <v>0.7298820706279695</v>
      </c>
      <c r="P21">
        <f t="shared" si="2"/>
        <v>408.5159536394483</v>
      </c>
      <c r="Q21">
        <f t="shared" si="3"/>
        <v>1.1340463605516788</v>
      </c>
      <c r="R21">
        <f t="shared" si="4"/>
        <v>0.86001189433881553</v>
      </c>
      <c r="S21">
        <f t="shared" si="5"/>
        <v>1.189433881554347E-5</v>
      </c>
      <c r="T21">
        <f t="shared" si="6"/>
        <v>3.8667177412819193E-2</v>
      </c>
      <c r="U21">
        <f t="shared" si="7"/>
        <v>4.1436066902850781E-2</v>
      </c>
      <c r="V21">
        <f t="shared" si="8"/>
        <v>0.40534283807262855</v>
      </c>
      <c r="W21">
        <f t="shared" si="17"/>
        <v>0.43436873546918348</v>
      </c>
      <c r="X21">
        <f t="shared" si="9"/>
        <v>2.9025897396554923E-2</v>
      </c>
    </row>
    <row r="22" spans="1:24" x14ac:dyDescent="0.2">
      <c r="C22">
        <f>10^(C2-D2/(E2+B10))</f>
        <v>391.35999992427935</v>
      </c>
      <c r="D22">
        <v>0.99999990000000005</v>
      </c>
      <c r="E22">
        <f t="shared" si="0"/>
        <v>9.9999999947364415E-8</v>
      </c>
      <c r="F22">
        <v>0.99999999999900002</v>
      </c>
      <c r="G22">
        <f t="shared" si="1"/>
        <v>9.999778782798785E-13</v>
      </c>
      <c r="H22">
        <v>1</v>
      </c>
      <c r="J22" t="e">
        <f t="shared" si="11"/>
        <v>#DIV/0!</v>
      </c>
      <c r="K22">
        <f t="shared" si="12"/>
        <v>1.0000000000000044</v>
      </c>
      <c r="L22">
        <f t="shared" si="13"/>
        <v>1.506432659997303</v>
      </c>
      <c r="M22">
        <f t="shared" si="14"/>
        <v>4.5140577622677481E-15</v>
      </c>
      <c r="N22">
        <f t="shared" si="15"/>
        <v>0.40974437895245469</v>
      </c>
      <c r="O22">
        <f t="shared" si="16"/>
        <v>0.66381991479247049</v>
      </c>
      <c r="P22">
        <f t="shared" si="2"/>
        <v>391.36001936742144</v>
      </c>
      <c r="Q22">
        <f t="shared" si="3"/>
        <v>1.9443142093678034E-5</v>
      </c>
      <c r="R22">
        <f t="shared" si="4"/>
        <v>0.99999985031904781</v>
      </c>
      <c r="S22">
        <f t="shared" si="5"/>
        <v>1.496799522104908E-7</v>
      </c>
      <c r="T22">
        <f t="shared" si="6"/>
        <v>4.097444238773564E-8</v>
      </c>
      <c r="U22" t="e">
        <f t="shared" si="7"/>
        <v>#NUM!</v>
      </c>
      <c r="V22">
        <f t="shared" si="8"/>
        <v>0.40974446506747425</v>
      </c>
      <c r="X22">
        <f t="shared" si="9"/>
        <v>0.40974446506747425</v>
      </c>
    </row>
    <row r="23" spans="1:24" x14ac:dyDescent="0.2">
      <c r="P23" t="s">
        <v>10</v>
      </c>
      <c r="Q23">
        <f>AVERAGE(Q12:Q21)</f>
        <v>1.5212726175714522</v>
      </c>
      <c r="S23">
        <f>AVERAGE(S12:S21)</f>
        <v>5.9266710660131204E-4</v>
      </c>
    </row>
    <row r="24" spans="1:24" x14ac:dyDescent="0.2">
      <c r="P24" t="s">
        <v>11</v>
      </c>
      <c r="Q24" s="7">
        <f>MAX(Q12:Q21)</f>
        <v>2.3131978736870451</v>
      </c>
      <c r="S24">
        <f>MAX(S12:S21)</f>
        <v>2.3650559139675176E-3</v>
      </c>
    </row>
    <row r="26" spans="1:24" x14ac:dyDescent="0.2">
      <c r="R26">
        <f>10000*S23</f>
        <v>5.9266710660131201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28"/>
  <sheetViews>
    <sheetView zoomScale="75" workbookViewId="0">
      <pane xSplit="2" topLeftCell="C1" activePane="topRight" state="frozen"/>
      <selection pane="topRight" activeCell="C1" sqref="C1"/>
    </sheetView>
  </sheetViews>
  <sheetFormatPr defaultRowHeight="12.75" x14ac:dyDescent="0.2"/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</row>
    <row r="2" spans="1:24" x14ac:dyDescent="0.2">
      <c r="B2" t="s">
        <v>0</v>
      </c>
      <c r="C2">
        <v>6.8799943335604636</v>
      </c>
      <c r="D2">
        <v>1196.76</v>
      </c>
      <c r="E2">
        <v>219.161</v>
      </c>
      <c r="H2">
        <v>6.8514134019603725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</row>
    <row r="3" spans="1:24" x14ac:dyDescent="0.2">
      <c r="B3" t="s">
        <v>6</v>
      </c>
      <c r="C3">
        <f>(LN(10^(C2-D2/(E2+55)))-LN(10^(C2-D2/(E2+15))))*-8.314/(1/(273.15+55)-1/(273.15+15))</f>
        <v>33744.544239110459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104.01166447320099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>
        <v>0.35158368529275796</v>
      </c>
      <c r="Q5" t="s">
        <v>9</v>
      </c>
    </row>
    <row r="6" spans="1:24" x14ac:dyDescent="0.2">
      <c r="M6" t="s">
        <v>51</v>
      </c>
      <c r="N6">
        <v>0.39019060864550659</v>
      </c>
    </row>
    <row r="7" spans="1:24" x14ac:dyDescent="0.2">
      <c r="N7">
        <f>10000*S25</f>
        <v>23.213135867936074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70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343.15</v>
      </c>
      <c r="C11">
        <f>10^(H2-I2/(J2+B10))</f>
        <v>544.09999999958302</v>
      </c>
      <c r="D11">
        <v>9.9999999999999994E-12</v>
      </c>
      <c r="E11">
        <f t="shared" ref="E11:E24" si="0">1-D11</f>
        <v>0.99999999999</v>
      </c>
      <c r="F11">
        <v>9.9999999999999998E-13</v>
      </c>
      <c r="G11">
        <f t="shared" ref="G11:G24" si="1">1-F11</f>
        <v>0.99999999999900002</v>
      </c>
      <c r="I11" s="1">
        <v>1</v>
      </c>
      <c r="J11">
        <f>H11/I11</f>
        <v>0</v>
      </c>
      <c r="K11">
        <f>EXP(M11)</f>
        <v>1.4232665204474977</v>
      </c>
      <c r="L11">
        <f>EXP(N11)</f>
        <v>1</v>
      </c>
      <c r="M11">
        <f>$B$13*($B$14*E11/($B$13*D11+$B$14*E11))^2</f>
        <v>0.35295459633306431</v>
      </c>
      <c r="N11">
        <f>$B$14*($B$13*D11/($B$13*D11+$B$14*E11))^2</f>
        <v>3.3188176761387275E-23</v>
      </c>
      <c r="O11">
        <f>K11/L11</f>
        <v>1.4232665204474977</v>
      </c>
      <c r="P11">
        <f t="shared" ref="P11:P24" si="2">K11*D11*$C$24+L11*E11*$C$11</f>
        <v>544.10000000198613</v>
      </c>
      <c r="Q11">
        <f t="shared" ref="Q11:Q24" si="3">ABS(C11-P11)</f>
        <v>2.4031123757595196E-9</v>
      </c>
      <c r="R11">
        <f t="shared" ref="R11:R24" si="4">K11*D11*$C$24/P11</f>
        <v>1.4416818784628542E-11</v>
      </c>
      <c r="S11">
        <f t="shared" ref="S11:S24" si="5">ABS(F11-R11)</f>
        <v>1.3416818784628543E-11</v>
      </c>
      <c r="T11">
        <f t="shared" ref="T11:T24" si="6">D11*M11+E11*N11</f>
        <v>3.5295459633638311E-12</v>
      </c>
      <c r="U11" t="e">
        <f t="shared" ref="U11:U24" si="7">D11*LN(H11)+E11*LN(I11)</f>
        <v>#NUM!</v>
      </c>
      <c r="V11">
        <f t="shared" ref="V11:V24" si="8">T11/(D11*E11)</f>
        <v>0.35295459633991266</v>
      </c>
      <c r="X11">
        <f t="shared" ref="X11:X24" si="9">ABS(ABS(V11)-ABS(W11))</f>
        <v>0.35295459633991266</v>
      </c>
    </row>
    <row r="12" spans="1:24" x14ac:dyDescent="0.2">
      <c r="C12">
        <v>571.95000000000005</v>
      </c>
      <c r="D12">
        <v>0.13980000000000001</v>
      </c>
      <c r="E12">
        <f t="shared" si="0"/>
        <v>0.86019999999999996</v>
      </c>
      <c r="F12">
        <v>0.17699999999999999</v>
      </c>
      <c r="G12">
        <f t="shared" si="1"/>
        <v>0.82299999999999995</v>
      </c>
      <c r="H12">
        <f>F12*C12/(D12*$C$24)</f>
        <v>1.3138997421112846</v>
      </c>
      <c r="I12">
        <f t="shared" ref="I12:I23" si="10">G12*C12/(E12*$C$11)</f>
        <v>1.005726133795688</v>
      </c>
      <c r="J12">
        <f t="shared" ref="J12:J24" si="11">H12/I12</f>
        <v>1.306419012055027</v>
      </c>
      <c r="K12">
        <f t="shared" ref="K12:K24" si="12">EXP(M12)</f>
        <v>1.3041892327769846</v>
      </c>
      <c r="L12">
        <f t="shared" ref="L12:L24" si="13">EXP(N12)</f>
        <v>1.0066177603322761</v>
      </c>
      <c r="M12">
        <f t="shared" ref="M12:M24" si="14">$B$13*($B$14*E12/($B$13*D12+$B$14*E12))^2</f>
        <v>0.26558157013624895</v>
      </c>
      <c r="N12">
        <f t="shared" ref="N12:N24" si="15">$B$14*($B$13*D12/($B$13*D12+$B$14*E12))^2</f>
        <v>6.5959590871216703E-3</v>
      </c>
      <c r="O12">
        <f t="shared" ref="O12:O24" si="16">K12/L12</f>
        <v>1.2956151621510061</v>
      </c>
      <c r="P12">
        <f t="shared" si="2"/>
        <v>571.61912361955569</v>
      </c>
      <c r="Q12">
        <f t="shared" si="3"/>
        <v>0.33087638044435153</v>
      </c>
      <c r="R12">
        <f t="shared" si="4"/>
        <v>0.17579356113508268</v>
      </c>
      <c r="S12">
        <f t="shared" si="5"/>
        <v>1.2064388649173086E-3</v>
      </c>
      <c r="T12">
        <f t="shared" si="6"/>
        <v>4.2802147511789665E-2</v>
      </c>
      <c r="U12">
        <f t="shared" si="7"/>
        <v>4.3076918026134441E-2</v>
      </c>
      <c r="V12">
        <f t="shared" si="8"/>
        <v>0.35592537377598304</v>
      </c>
      <c r="W12">
        <f t="shared" ref="W12:W23" si="17">U12/(D12*E12)</f>
        <v>0.35821025441179333</v>
      </c>
      <c r="X12">
        <f t="shared" si="9"/>
        <v>2.2848806358102824E-3</v>
      </c>
    </row>
    <row r="13" spans="1:24" x14ac:dyDescent="0.2">
      <c r="A13" t="s">
        <v>33</v>
      </c>
      <c r="B13">
        <v>0.352954596339702</v>
      </c>
      <c r="C13">
        <v>584.78</v>
      </c>
      <c r="D13">
        <v>0.23089999999999999</v>
      </c>
      <c r="E13">
        <f t="shared" si="0"/>
        <v>0.76910000000000001</v>
      </c>
      <c r="F13">
        <v>0.2707</v>
      </c>
      <c r="G13">
        <f t="shared" si="1"/>
        <v>0.72930000000000006</v>
      </c>
      <c r="H13">
        <f>F13*C13/(D13*$C$24)</f>
        <v>1.2439270212755846</v>
      </c>
      <c r="I13">
        <f t="shared" si="10"/>
        <v>1.0191478373790461</v>
      </c>
      <c r="J13">
        <f t="shared" si="11"/>
        <v>1.2205560132223856</v>
      </c>
      <c r="K13">
        <f t="shared" si="12"/>
        <v>1.2394347327225865</v>
      </c>
      <c r="L13">
        <f t="shared" si="13"/>
        <v>1.0183588321189192</v>
      </c>
      <c r="M13">
        <f t="shared" si="14"/>
        <v>0.21465541497327359</v>
      </c>
      <c r="N13">
        <f t="shared" si="15"/>
        <v>1.8192343365939945E-2</v>
      </c>
      <c r="O13">
        <f t="shared" si="16"/>
        <v>1.2170903748570339</v>
      </c>
      <c r="P13">
        <f t="shared" si="2"/>
        <v>583.87814641928799</v>
      </c>
      <c r="Q13">
        <f t="shared" si="3"/>
        <v>0.90185358071198607</v>
      </c>
      <c r="R13">
        <f t="shared" si="4"/>
        <v>0.27013901153067454</v>
      </c>
      <c r="S13">
        <f t="shared" si="5"/>
        <v>5.6098846932545188E-4</v>
      </c>
      <c r="T13">
        <f t="shared" si="6"/>
        <v>6.355566660007328E-2</v>
      </c>
      <c r="U13">
        <f t="shared" si="7"/>
        <v>6.4986696210772729E-2</v>
      </c>
      <c r="V13">
        <f t="shared" si="8"/>
        <v>0.35788832728716441</v>
      </c>
      <c r="W13">
        <f t="shared" si="17"/>
        <v>0.36594659842283428</v>
      </c>
      <c r="X13">
        <f t="shared" si="9"/>
        <v>8.05827113566987E-3</v>
      </c>
    </row>
    <row r="14" spans="1:24" x14ac:dyDescent="0.2">
      <c r="A14" t="s">
        <v>34</v>
      </c>
      <c r="B14">
        <v>0.37536544406503686</v>
      </c>
      <c r="C14">
        <v>593.39</v>
      </c>
      <c r="D14" s="15">
        <v>0.315</v>
      </c>
      <c r="E14">
        <f t="shared" si="0"/>
        <v>0.68500000000000005</v>
      </c>
      <c r="F14">
        <v>0.34760000000000002</v>
      </c>
      <c r="G14">
        <f t="shared" si="1"/>
        <v>0.65239999999999998</v>
      </c>
      <c r="H14">
        <f t="shared" ref="H14:H21" si="18">F14*C14/(D14*$C$24)</f>
        <v>1.1880849794238708</v>
      </c>
      <c r="I14">
        <f t="shared" si="10"/>
        <v>1.0386874353557718</v>
      </c>
      <c r="J14">
        <f t="shared" si="11"/>
        <v>1.1438330136504706</v>
      </c>
      <c r="K14">
        <f t="shared" si="12"/>
        <v>1.1877072174628716</v>
      </c>
      <c r="L14">
        <f t="shared" si="13"/>
        <v>1.0347971938033445</v>
      </c>
      <c r="M14">
        <f t="shared" si="14"/>
        <v>0.17202474061959666</v>
      </c>
      <c r="N14">
        <f t="shared" si="15"/>
        <v>3.4205459500919376E-2</v>
      </c>
      <c r="O14">
        <f t="shared" si="16"/>
        <v>1.1477681081618651</v>
      </c>
      <c r="P14">
        <f t="shared" si="2"/>
        <v>591.87449099229536</v>
      </c>
      <c r="Q14">
        <f t="shared" si="3"/>
        <v>1.5155090077046225</v>
      </c>
      <c r="R14">
        <f t="shared" si="4"/>
        <v>0.34837923280025468</v>
      </c>
      <c r="S14">
        <f t="shared" si="5"/>
        <v>7.7923280025465891E-4</v>
      </c>
      <c r="T14">
        <f t="shared" si="6"/>
        <v>7.7618533053302713E-2</v>
      </c>
      <c r="U14">
        <f t="shared" si="7"/>
        <v>8.0289082961754382E-2</v>
      </c>
      <c r="V14">
        <f t="shared" si="8"/>
        <v>0.35971976852416965</v>
      </c>
      <c r="W14">
        <f t="shared" si="17"/>
        <v>0.37209631774651547</v>
      </c>
      <c r="X14">
        <f t="shared" si="9"/>
        <v>1.2376549222345823E-2</v>
      </c>
    </row>
    <row r="15" spans="1:24" x14ac:dyDescent="0.2">
      <c r="A15" s="4"/>
      <c r="C15">
        <v>597.95000000000005</v>
      </c>
      <c r="D15">
        <v>0.39360000000000001</v>
      </c>
      <c r="E15">
        <f t="shared" si="0"/>
        <v>0.60640000000000005</v>
      </c>
      <c r="F15">
        <v>0.41649999999999998</v>
      </c>
      <c r="G15">
        <f t="shared" si="1"/>
        <v>0.58350000000000002</v>
      </c>
      <c r="H15">
        <f t="shared" si="18"/>
        <v>1.1480554228617235</v>
      </c>
      <c r="I15">
        <f t="shared" si="10"/>
        <v>1.0574694073734463</v>
      </c>
      <c r="J15">
        <f t="shared" si="11"/>
        <v>1.0856630129029223</v>
      </c>
      <c r="K15">
        <f t="shared" si="12"/>
        <v>1.1458087426467023</v>
      </c>
      <c r="L15">
        <f t="shared" si="13"/>
        <v>1.0554000059592674</v>
      </c>
      <c r="M15">
        <f t="shared" si="14"/>
        <v>0.13611071313141218</v>
      </c>
      <c r="N15">
        <f t="shared" si="15"/>
        <v>5.3919847635884359E-2</v>
      </c>
      <c r="O15">
        <f t="shared" si="16"/>
        <v>1.0856630056632046</v>
      </c>
      <c r="P15">
        <f t="shared" si="2"/>
        <v>596.77984763460324</v>
      </c>
      <c r="Q15">
        <f t="shared" si="3"/>
        <v>1.1701523653968025</v>
      </c>
      <c r="R15">
        <f t="shared" si="4"/>
        <v>0.41649999837937529</v>
      </c>
      <c r="S15">
        <f t="shared" si="5"/>
        <v>1.6206246900019039E-9</v>
      </c>
      <c r="T15">
        <f t="shared" si="6"/>
        <v>8.6270172294924119E-2</v>
      </c>
      <c r="U15">
        <f t="shared" si="7"/>
        <v>8.8229029605903925E-2</v>
      </c>
      <c r="V15">
        <f t="shared" si="8"/>
        <v>0.36144846357235266</v>
      </c>
      <c r="W15">
        <f t="shared" si="17"/>
        <v>0.36965554078776214</v>
      </c>
      <c r="X15">
        <f t="shared" si="9"/>
        <v>8.2070772154094751E-3</v>
      </c>
    </row>
    <row r="16" spans="1:24" x14ac:dyDescent="0.2">
      <c r="A16" s="4"/>
      <c r="C16">
        <v>598.98</v>
      </c>
      <c r="D16">
        <v>0.44109999999999999</v>
      </c>
      <c r="E16">
        <f t="shared" si="0"/>
        <v>0.55889999999999995</v>
      </c>
      <c r="F16">
        <v>0.45910000000000001</v>
      </c>
      <c r="G16">
        <f t="shared" si="1"/>
        <v>0.54089999999999994</v>
      </c>
      <c r="H16">
        <f t="shared" si="18"/>
        <v>1.1311511062975728</v>
      </c>
      <c r="I16">
        <f t="shared" si="10"/>
        <v>1.0654092606954706</v>
      </c>
      <c r="J16">
        <f t="shared" si="11"/>
        <v>1.061705720071541</v>
      </c>
      <c r="K16">
        <f t="shared" si="12"/>
        <v>1.1233294062489163</v>
      </c>
      <c r="L16">
        <f t="shared" si="13"/>
        <v>1.0704877443095837</v>
      </c>
      <c r="M16">
        <f t="shared" si="14"/>
        <v>0.11629695976920382</v>
      </c>
      <c r="N16">
        <f t="shared" si="15"/>
        <v>6.811438041558561E-2</v>
      </c>
      <c r="O16">
        <f t="shared" si="16"/>
        <v>1.0493622297127867</v>
      </c>
      <c r="P16">
        <f t="shared" si="2"/>
        <v>598.62283740660814</v>
      </c>
      <c r="Q16">
        <f t="shared" si="3"/>
        <v>0.35716259339187673</v>
      </c>
      <c r="R16">
        <f t="shared" si="4"/>
        <v>0.45619743220898507</v>
      </c>
      <c r="S16">
        <f t="shared" si="5"/>
        <v>2.9025677910149428E-3</v>
      </c>
      <c r="T16">
        <f t="shared" si="6"/>
        <v>8.9367716168466602E-2</v>
      </c>
      <c r="U16">
        <f t="shared" si="7"/>
        <v>8.977065740767938E-2</v>
      </c>
      <c r="V16">
        <f t="shared" si="8"/>
        <v>0.36250123633022313</v>
      </c>
      <c r="W16">
        <f t="shared" si="17"/>
        <v>0.36413568223133258</v>
      </c>
      <c r="X16">
        <f t="shared" si="9"/>
        <v>1.6344459011094492E-3</v>
      </c>
    </row>
    <row r="17" spans="1:24" x14ac:dyDescent="0.2">
      <c r="A17" s="4"/>
      <c r="C17">
        <v>600.11</v>
      </c>
      <c r="D17">
        <v>0.50039999999999996</v>
      </c>
      <c r="E17">
        <f t="shared" si="0"/>
        <v>0.49960000000000004</v>
      </c>
      <c r="F17">
        <v>0.50760000000000005</v>
      </c>
      <c r="G17">
        <f t="shared" si="1"/>
        <v>0.49239999999999995</v>
      </c>
      <c r="H17">
        <f t="shared" si="18"/>
        <v>1.1045191353609245</v>
      </c>
      <c r="I17">
        <f t="shared" si="10"/>
        <v>1.0870455747072436</v>
      </c>
      <c r="J17">
        <f t="shared" si="11"/>
        <v>1.0160743588495695</v>
      </c>
      <c r="K17">
        <f t="shared" si="12"/>
        <v>1.0981282874861245</v>
      </c>
      <c r="L17">
        <f t="shared" si="13"/>
        <v>1.0923163726480711</v>
      </c>
      <c r="M17">
        <f t="shared" si="14"/>
        <v>9.3607173681436132E-2</v>
      </c>
      <c r="N17">
        <f t="shared" si="15"/>
        <v>8.8300553904590462E-2</v>
      </c>
      <c r="O17">
        <f t="shared" si="16"/>
        <v>1.0053207248225746</v>
      </c>
      <c r="P17">
        <f t="shared" si="2"/>
        <v>599.78023859373047</v>
      </c>
      <c r="Q17">
        <f t="shared" si="3"/>
        <v>0.3297614062695402</v>
      </c>
      <c r="R17">
        <f t="shared" si="4"/>
        <v>0.50494044595479803</v>
      </c>
      <c r="S17">
        <f t="shared" si="5"/>
        <v>2.6595540452020172E-3</v>
      </c>
      <c r="T17">
        <f t="shared" si="6"/>
        <v>9.0955986440924036E-2</v>
      </c>
      <c r="U17">
        <f t="shared" si="7"/>
        <v>9.1443180088596504E-2</v>
      </c>
      <c r="V17">
        <f t="shared" si="8"/>
        <v>0.36382417861117045</v>
      </c>
      <c r="W17">
        <f t="shared" si="17"/>
        <v>0.36577295444907687</v>
      </c>
      <c r="X17">
        <f t="shared" si="9"/>
        <v>1.9487758379064246E-3</v>
      </c>
    </row>
    <row r="18" spans="1:24" x14ac:dyDescent="0.2">
      <c r="A18" s="1"/>
      <c r="C18">
        <v>600.52</v>
      </c>
      <c r="D18">
        <v>0.54849999999999999</v>
      </c>
      <c r="E18">
        <f t="shared" si="0"/>
        <v>0.45150000000000001</v>
      </c>
      <c r="F18">
        <v>0.53759999999999997</v>
      </c>
      <c r="G18">
        <f t="shared" si="1"/>
        <v>0.46240000000000003</v>
      </c>
      <c r="H18">
        <f t="shared" si="18"/>
        <v>1.0679432428001627</v>
      </c>
      <c r="I18">
        <f t="shared" si="10"/>
        <v>1.1303392823823093</v>
      </c>
      <c r="J18">
        <f t="shared" si="11"/>
        <v>0.94479883999904846</v>
      </c>
      <c r="K18">
        <f t="shared" si="12"/>
        <v>1.0799395194506396</v>
      </c>
      <c r="L18">
        <f t="shared" si="13"/>
        <v>1.1126257626787359</v>
      </c>
      <c r="M18">
        <f t="shared" si="14"/>
        <v>7.690503905937425E-2</v>
      </c>
      <c r="N18">
        <f t="shared" si="15"/>
        <v>0.10672277377362355</v>
      </c>
      <c r="O18">
        <f t="shared" si="16"/>
        <v>0.97062242820137334</v>
      </c>
      <c r="P18">
        <f t="shared" si="2"/>
        <v>599.79495428941243</v>
      </c>
      <c r="Q18">
        <f t="shared" si="3"/>
        <v>0.72504571058755118</v>
      </c>
      <c r="R18">
        <f t="shared" si="4"/>
        <v>0.54429605913758738</v>
      </c>
      <c r="S18">
        <f t="shared" si="5"/>
        <v>6.6960591375874179E-3</v>
      </c>
      <c r="T18">
        <f t="shared" si="6"/>
        <v>9.0367746282857819E-2</v>
      </c>
      <c r="U18">
        <f t="shared" si="7"/>
        <v>9.1372229386328913E-2</v>
      </c>
      <c r="V18">
        <f t="shared" si="8"/>
        <v>0.36490437035207396</v>
      </c>
      <c r="W18">
        <f t="shared" si="17"/>
        <v>0.36896046657532289</v>
      </c>
      <c r="X18">
        <f t="shared" si="9"/>
        <v>4.0560962232489284E-3</v>
      </c>
    </row>
    <row r="19" spans="1:24" x14ac:dyDescent="0.2">
      <c r="A19" s="1"/>
      <c r="C19">
        <v>599.67999999999995</v>
      </c>
      <c r="D19">
        <v>0.59630000000000005</v>
      </c>
      <c r="E19">
        <f t="shared" si="0"/>
        <v>0.40369999999999995</v>
      </c>
      <c r="F19">
        <v>0.57599999999999996</v>
      </c>
      <c r="G19">
        <f t="shared" si="1"/>
        <v>0.42400000000000004</v>
      </c>
      <c r="H19">
        <f t="shared" si="18"/>
        <v>1.0510304709544163</v>
      </c>
      <c r="I19">
        <f t="shared" si="10"/>
        <v>1.1575718210677082</v>
      </c>
      <c r="J19">
        <f t="shared" si="11"/>
        <v>0.90796134790580729</v>
      </c>
      <c r="K19">
        <f t="shared" si="12"/>
        <v>1.063800281076926</v>
      </c>
      <c r="L19">
        <f t="shared" si="13"/>
        <v>1.1352830407106389</v>
      </c>
      <c r="M19">
        <f t="shared" si="14"/>
        <v>6.1847667545753771E-2</v>
      </c>
      <c r="N19">
        <f t="shared" si="15"/>
        <v>0.12688199492002308</v>
      </c>
      <c r="O19">
        <f t="shared" si="16"/>
        <v>0.93703529686397169</v>
      </c>
      <c r="P19">
        <f t="shared" si="2"/>
        <v>598.98093020300701</v>
      </c>
      <c r="Q19">
        <f t="shared" si="3"/>
        <v>0.69906979699294425</v>
      </c>
      <c r="R19">
        <f t="shared" si="4"/>
        <v>0.58367870133257227</v>
      </c>
      <c r="S19">
        <f t="shared" si="5"/>
        <v>7.678701332572313E-3</v>
      </c>
      <c r="T19">
        <f t="shared" si="6"/>
        <v>8.8102025506746284E-2</v>
      </c>
      <c r="U19">
        <f t="shared" si="7"/>
        <v>8.8749719526193843E-2</v>
      </c>
      <c r="V19">
        <f t="shared" si="8"/>
        <v>0.36598419801618809</v>
      </c>
      <c r="W19">
        <f t="shared" si="17"/>
        <v>0.3686747806095389</v>
      </c>
      <c r="X19">
        <f t="shared" si="9"/>
        <v>2.6905825933508098E-3</v>
      </c>
    </row>
    <row r="20" spans="1:24" x14ac:dyDescent="0.2">
      <c r="A20" s="1"/>
      <c r="C20">
        <v>598.34</v>
      </c>
      <c r="D20">
        <v>0.66500000000000004</v>
      </c>
      <c r="E20">
        <f t="shared" si="0"/>
        <v>0.33499999999999996</v>
      </c>
      <c r="F20">
        <v>0.6452</v>
      </c>
      <c r="G20">
        <f t="shared" si="1"/>
        <v>0.3548</v>
      </c>
      <c r="H20">
        <f t="shared" si="18"/>
        <v>1.053316333260921</v>
      </c>
      <c r="I20">
        <f t="shared" si="10"/>
        <v>1.1646840160536924</v>
      </c>
      <c r="J20">
        <f t="shared" si="11"/>
        <v>0.90437948726203066</v>
      </c>
      <c r="K20">
        <f t="shared" si="12"/>
        <v>1.0438892440330965</v>
      </c>
      <c r="L20">
        <f t="shared" si="13"/>
        <v>1.1725177161450995</v>
      </c>
      <c r="M20">
        <f t="shared" si="14"/>
        <v>4.2953395741803728E-2</v>
      </c>
      <c r="N20">
        <f t="shared" si="15"/>
        <v>0.15915333094278175</v>
      </c>
      <c r="O20">
        <f t="shared" si="16"/>
        <v>0.89029720375151655</v>
      </c>
      <c r="P20">
        <f t="shared" si="2"/>
        <v>596.31277137221127</v>
      </c>
      <c r="Q20">
        <f t="shared" si="3"/>
        <v>2.0272286277887588</v>
      </c>
      <c r="R20">
        <f t="shared" si="4"/>
        <v>0.64159931131139702</v>
      </c>
      <c r="S20">
        <f t="shared" si="5"/>
        <v>3.600688688602971E-3</v>
      </c>
      <c r="T20">
        <f t="shared" si="6"/>
        <v>8.188037403413137E-2</v>
      </c>
      <c r="U20">
        <f t="shared" si="7"/>
        <v>8.5613183151522818E-2</v>
      </c>
      <c r="V20">
        <f t="shared" si="8"/>
        <v>0.36754740897376892</v>
      </c>
      <c r="W20">
        <f t="shared" si="17"/>
        <v>0.38430336955009681</v>
      </c>
      <c r="X20">
        <f t="shared" si="9"/>
        <v>1.6755960576327888E-2</v>
      </c>
    </row>
    <row r="21" spans="1:24" x14ac:dyDescent="0.2">
      <c r="A21" s="4"/>
      <c r="C21">
        <v>587.22</v>
      </c>
      <c r="D21">
        <v>0.79490000000000005</v>
      </c>
      <c r="E21">
        <f t="shared" si="0"/>
        <v>0.20509999999999995</v>
      </c>
      <c r="F21">
        <v>0.76090000000000002</v>
      </c>
      <c r="G21">
        <f t="shared" si="1"/>
        <v>0.23909999999999998</v>
      </c>
      <c r="H21">
        <f t="shared" si="18"/>
        <v>1.0198915508135808</v>
      </c>
      <c r="I21">
        <f t="shared" si="10"/>
        <v>1.2581604483583313</v>
      </c>
      <c r="J21">
        <f t="shared" si="11"/>
        <v>0.81062121460291681</v>
      </c>
      <c r="K21">
        <f t="shared" si="12"/>
        <v>1.0164983603486697</v>
      </c>
      <c r="L21">
        <f t="shared" si="13"/>
        <v>1.2600126413066781</v>
      </c>
      <c r="M21">
        <f t="shared" si="14"/>
        <v>1.6363741048730906E-2</v>
      </c>
      <c r="N21">
        <f t="shared" si="15"/>
        <v>0.23112175369613649</v>
      </c>
      <c r="O21">
        <f t="shared" si="16"/>
        <v>0.80673663662177597</v>
      </c>
      <c r="P21">
        <f t="shared" si="2"/>
        <v>585.94013453838124</v>
      </c>
      <c r="Q21">
        <f t="shared" si="3"/>
        <v>1.2798654616187832</v>
      </c>
      <c r="R21">
        <f t="shared" si="4"/>
        <v>0.76002497692678062</v>
      </c>
      <c r="S21">
        <f t="shared" si="5"/>
        <v>8.7502307321940531E-4</v>
      </c>
      <c r="T21">
        <f t="shared" si="6"/>
        <v>6.0410609442713786E-2</v>
      </c>
      <c r="U21">
        <f t="shared" si="7"/>
        <v>6.2757945049119246E-2</v>
      </c>
      <c r="V21">
        <f t="shared" si="8"/>
        <v>0.37053996803190425</v>
      </c>
      <c r="W21">
        <f t="shared" si="17"/>
        <v>0.38493779762808517</v>
      </c>
      <c r="X21">
        <f t="shared" si="9"/>
        <v>1.4397829596180911E-2</v>
      </c>
    </row>
    <row r="22" spans="1:24" x14ac:dyDescent="0.2">
      <c r="C22">
        <v>579.99</v>
      </c>
      <c r="D22" s="15">
        <v>0.86140000000000005</v>
      </c>
      <c r="E22">
        <f t="shared" si="0"/>
        <v>0.13859999999999995</v>
      </c>
      <c r="F22">
        <v>0.82869999999999999</v>
      </c>
      <c r="G22">
        <f t="shared" si="1"/>
        <v>0.17130000000000001</v>
      </c>
      <c r="H22">
        <f>F22*C22/(D22*$C$24)</f>
        <v>1.012397456045707</v>
      </c>
      <c r="I22">
        <f t="shared" si="10"/>
        <v>1.3174553713159662</v>
      </c>
      <c r="J22">
        <f t="shared" si="11"/>
        <v>0.76844914680825493</v>
      </c>
      <c r="K22">
        <f t="shared" si="12"/>
        <v>1.0075638519137502</v>
      </c>
      <c r="L22">
        <f t="shared" si="13"/>
        <v>1.3148026731952001</v>
      </c>
      <c r="M22">
        <f t="shared" si="14"/>
        <v>7.5353894198199323E-3</v>
      </c>
      <c r="N22">
        <f t="shared" si="15"/>
        <v>0.27368659596314676</v>
      </c>
      <c r="O22">
        <f t="shared" si="16"/>
        <v>0.76632324565114707</v>
      </c>
      <c r="P22">
        <f t="shared" si="2"/>
        <v>577.49519083010955</v>
      </c>
      <c r="Q22">
        <f t="shared" si="3"/>
        <v>2.4948091698904591</v>
      </c>
      <c r="R22">
        <f t="shared" si="4"/>
        <v>0.82830637793348383</v>
      </c>
      <c r="S22">
        <f t="shared" si="5"/>
        <v>3.9362206651616383E-4</v>
      </c>
      <c r="T22">
        <f t="shared" si="6"/>
        <v>4.4423946646725013E-2</v>
      </c>
      <c r="U22">
        <f t="shared" si="7"/>
        <v>4.882582827254809E-2</v>
      </c>
      <c r="V22">
        <f t="shared" si="8"/>
        <v>0.37209089340053014</v>
      </c>
      <c r="W22">
        <f t="shared" si="17"/>
        <v>0.40896064925137898</v>
      </c>
      <c r="X22">
        <f t="shared" si="9"/>
        <v>3.686975585084884E-2</v>
      </c>
    </row>
    <row r="23" spans="1:24" x14ac:dyDescent="0.2">
      <c r="C23">
        <v>565.41999999999996</v>
      </c>
      <c r="D23" s="15">
        <v>0.94320000000000004</v>
      </c>
      <c r="E23">
        <f t="shared" si="0"/>
        <v>5.6799999999999962E-2</v>
      </c>
      <c r="F23">
        <v>0.92310000000000003</v>
      </c>
      <c r="G23">
        <f t="shared" si="1"/>
        <v>7.6899999999999968E-2</v>
      </c>
      <c r="H23">
        <f>F23*C23/(D23*$C$24)</f>
        <v>1.0040473477152156</v>
      </c>
      <c r="I23">
        <f t="shared" si="10"/>
        <v>1.4069233726205483</v>
      </c>
      <c r="J23">
        <f t="shared" si="11"/>
        <v>0.71364750010874289</v>
      </c>
      <c r="K23">
        <f t="shared" si="12"/>
        <v>1.0012794907596312</v>
      </c>
      <c r="L23">
        <f t="shared" si="13"/>
        <v>1.3931108020679865</v>
      </c>
      <c r="M23">
        <f t="shared" si="14"/>
        <v>1.2786729088765526E-3</v>
      </c>
      <c r="N23">
        <f t="shared" si="15"/>
        <v>0.33153923367886662</v>
      </c>
      <c r="O23">
        <f t="shared" si="16"/>
        <v>0.71873643451281399</v>
      </c>
      <c r="P23">
        <f t="shared" si="2"/>
        <v>563.55429455765625</v>
      </c>
      <c r="Q23">
        <f t="shared" si="3"/>
        <v>1.8657054423437103</v>
      </c>
      <c r="R23">
        <f t="shared" si="4"/>
        <v>0.92360288515168598</v>
      </c>
      <c r="S23">
        <f t="shared" si="5"/>
        <v>5.0288515168595005E-4</v>
      </c>
      <c r="T23">
        <f t="shared" si="6"/>
        <v>2.0037472760611973E-2</v>
      </c>
      <c r="U23">
        <f t="shared" si="7"/>
        <v>2.3201575754347472E-2</v>
      </c>
      <c r="V23">
        <f t="shared" si="8"/>
        <v>0.37401654766460274</v>
      </c>
      <c r="W23">
        <f t="shared" si="17"/>
        <v>0.43307723322662978</v>
      </c>
      <c r="X23">
        <f t="shared" si="9"/>
        <v>5.9060685562027038E-2</v>
      </c>
    </row>
    <row r="24" spans="1:24" x14ac:dyDescent="0.2">
      <c r="C24">
        <f>10^(C2-D2/(E2+B10))</f>
        <v>551.13999999653515</v>
      </c>
      <c r="D24">
        <v>0.99999990000000005</v>
      </c>
      <c r="E24">
        <f t="shared" si="0"/>
        <v>9.9999999947364415E-8</v>
      </c>
      <c r="F24">
        <v>0.99999999999900002</v>
      </c>
      <c r="G24">
        <f t="shared" si="1"/>
        <v>9.999778782798785E-13</v>
      </c>
      <c r="H24">
        <v>1</v>
      </c>
      <c r="J24" t="e">
        <f t="shared" si="11"/>
        <v>#DIV/0!</v>
      </c>
      <c r="K24">
        <f t="shared" si="12"/>
        <v>1.000000000000004</v>
      </c>
      <c r="L24">
        <f t="shared" si="13"/>
        <v>1.4555231135550288</v>
      </c>
      <c r="M24">
        <f t="shared" si="14"/>
        <v>3.991992627995939E-15</v>
      </c>
      <c r="N24">
        <f t="shared" si="15"/>
        <v>0.37536536422518801</v>
      </c>
      <c r="O24">
        <f t="shared" si="16"/>
        <v>0.68703821374403551</v>
      </c>
      <c r="P24">
        <f t="shared" si="2"/>
        <v>551.14002407754992</v>
      </c>
      <c r="Q24">
        <f t="shared" si="3"/>
        <v>2.4081014771581977E-5</v>
      </c>
      <c r="R24">
        <f t="shared" si="4"/>
        <v>0.99999985630691102</v>
      </c>
      <c r="S24">
        <f t="shared" si="5"/>
        <v>1.4369208900522068E-7</v>
      </c>
      <c r="T24">
        <f t="shared" si="6"/>
        <v>3.7536540394753458E-8</v>
      </c>
      <c r="U24" t="e">
        <f t="shared" si="7"/>
        <v>#NUM!</v>
      </c>
      <c r="V24">
        <f t="shared" si="8"/>
        <v>0.37536544168165448</v>
      </c>
      <c r="X24">
        <f t="shared" si="9"/>
        <v>0.37536544168165448</v>
      </c>
    </row>
    <row r="25" spans="1:24" x14ac:dyDescent="0.2">
      <c r="P25" t="s">
        <v>10</v>
      </c>
      <c r="Q25">
        <f>AVERAGE(Q12:Q23)</f>
        <v>1.1414199619284489</v>
      </c>
      <c r="S25">
        <f>AVERAGE(S12:S23)</f>
        <v>2.3213135867936074E-3</v>
      </c>
    </row>
    <row r="26" spans="1:24" x14ac:dyDescent="0.2">
      <c r="P26" t="s">
        <v>11</v>
      </c>
      <c r="Q26" s="7">
        <f>MAX(Q12:Q23)</f>
        <v>2.4948091698904591</v>
      </c>
      <c r="S26">
        <f>MAX(S12:S23)</f>
        <v>7.678701332572313E-3</v>
      </c>
    </row>
    <row r="28" spans="1:24" x14ac:dyDescent="0.2">
      <c r="R28">
        <f>1000*S25</f>
        <v>2.3213135867936074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25"/>
  <sheetViews>
    <sheetView topLeftCell="A8" zoomScaleNormal="100" workbookViewId="0">
      <selection activeCell="P28" sqref="P28"/>
    </sheetView>
  </sheetViews>
  <sheetFormatPr defaultRowHeight="12.75" x14ac:dyDescent="0.2"/>
  <sheetData>
    <row r="1" spans="1:44" x14ac:dyDescent="0.2">
      <c r="E1" s="35"/>
    </row>
    <row r="5" spans="1:44" ht="15.75" x14ac:dyDescent="0.25">
      <c r="A5" s="36">
        <f>AVERAGE(D5,H5,L5,P5,T5,X5,AB5,AF5,AJ5,AN5,AR5)</f>
        <v>5.3322248286384478E-3</v>
      </c>
      <c r="C5" t="s">
        <v>56</v>
      </c>
      <c r="D5" s="35">
        <f>AVERAGE($D$9:$D$20)</f>
        <v>7.8087976257845138E-3</v>
      </c>
      <c r="G5" t="s">
        <v>56</v>
      </c>
      <c r="H5" s="35">
        <f>AVERAGE($H$9:$H$18)</f>
        <v>7.0672020482219211E-3</v>
      </c>
      <c r="K5" t="s">
        <v>56</v>
      </c>
      <c r="L5" s="35">
        <f>AVERAGE($L$9:$L$20)</f>
        <v>7.2816716893312856E-3</v>
      </c>
      <c r="O5" t="s">
        <v>56</v>
      </c>
      <c r="P5" s="35">
        <f>AVERAGE($P$9:$P$20)</f>
        <v>5.6954922917027044E-3</v>
      </c>
      <c r="S5" t="s">
        <v>56</v>
      </c>
      <c r="T5" s="35">
        <f>AVERAGE($T$9:$T$18)</f>
        <v>1.0075332004095938E-3</v>
      </c>
      <c r="W5" t="s">
        <v>56</v>
      </c>
      <c r="X5" s="35">
        <f>AVERAGE($X$9:$X$19)</f>
        <v>3.5440418554329696E-3</v>
      </c>
      <c r="AA5" t="s">
        <v>56</v>
      </c>
      <c r="AB5" s="35">
        <f>AVERAGE($AB$9:$AB$23)</f>
        <v>3.7506547596112866E-3</v>
      </c>
      <c r="AE5" t="s">
        <v>56</v>
      </c>
      <c r="AF5" s="35">
        <f>AVERAGE($AF$9:$AF$13)</f>
        <v>8.1353409050239252E-3</v>
      </c>
      <c r="AI5" t="s">
        <v>56</v>
      </c>
      <c r="AJ5" s="35">
        <f>AVERAGE($AJ$9:$AJ$23)</f>
        <v>1.4642871808674778E-3</v>
      </c>
      <c r="AM5" t="s">
        <v>56</v>
      </c>
      <c r="AN5" s="35">
        <f>AVERAGE($AN$9:$AN$18)</f>
        <v>2.7843725070074931E-3</v>
      </c>
      <c r="AQ5" t="s">
        <v>56</v>
      </c>
      <c r="AR5" s="35">
        <f>AVERAGE($AR$9:$AR$20)</f>
        <v>1.0115079051629764E-2</v>
      </c>
    </row>
    <row r="6" spans="1:44" x14ac:dyDescent="0.2">
      <c r="A6">
        <v>8</v>
      </c>
      <c r="B6" t="s">
        <v>54</v>
      </c>
      <c r="C6" t="s">
        <v>55</v>
      </c>
      <c r="E6">
        <v>10</v>
      </c>
      <c r="F6" t="s">
        <v>54</v>
      </c>
      <c r="G6" t="s">
        <v>55</v>
      </c>
      <c r="I6">
        <v>14</v>
      </c>
      <c r="J6" t="s">
        <v>54</v>
      </c>
      <c r="K6" t="s">
        <v>55</v>
      </c>
      <c r="M6">
        <v>20</v>
      </c>
      <c r="N6" t="s">
        <v>54</v>
      </c>
      <c r="O6" t="s">
        <v>55</v>
      </c>
      <c r="Q6">
        <v>24.91</v>
      </c>
      <c r="R6" t="s">
        <v>54</v>
      </c>
      <c r="S6" t="s">
        <v>55</v>
      </c>
      <c r="U6">
        <v>25</v>
      </c>
      <c r="V6" t="s">
        <v>54</v>
      </c>
      <c r="W6" t="s">
        <v>55</v>
      </c>
      <c r="Y6">
        <v>40</v>
      </c>
      <c r="Z6" t="s">
        <v>54</v>
      </c>
      <c r="AA6" t="s">
        <v>55</v>
      </c>
      <c r="AC6">
        <v>45</v>
      </c>
      <c r="AD6" t="s">
        <v>54</v>
      </c>
      <c r="AE6" t="s">
        <v>55</v>
      </c>
      <c r="AG6">
        <v>55</v>
      </c>
      <c r="AH6" t="s">
        <v>54</v>
      </c>
      <c r="AI6" t="s">
        <v>55</v>
      </c>
      <c r="AK6">
        <v>60</v>
      </c>
      <c r="AL6" t="s">
        <v>54</v>
      </c>
      <c r="AM6" t="s">
        <v>55</v>
      </c>
      <c r="AO6">
        <v>70</v>
      </c>
      <c r="AP6" t="s">
        <v>54</v>
      </c>
      <c r="AQ6" t="s">
        <v>55</v>
      </c>
    </row>
    <row r="7" spans="1:44" x14ac:dyDescent="0.2">
      <c r="A7" t="s">
        <v>53</v>
      </c>
      <c r="B7" t="str">
        <f>'8'!$J$10</f>
        <v>g1/g2</v>
      </c>
      <c r="C7" t="str">
        <f>'8'!$O$10</f>
        <v>g1/g2</v>
      </c>
      <c r="D7" t="s">
        <v>57</v>
      </c>
      <c r="E7" t="s">
        <v>53</v>
      </c>
      <c r="F7" t="str">
        <f>'10'!$J$10</f>
        <v>g1/g2</v>
      </c>
      <c r="G7" t="str">
        <f>'10'!$O$10</f>
        <v>g1/g2</v>
      </c>
      <c r="H7" t="s">
        <v>57</v>
      </c>
      <c r="I7" t="s">
        <v>53</v>
      </c>
      <c r="J7" t="str">
        <f>'14'!$J$10</f>
        <v>g1/g2</v>
      </c>
      <c r="K7" t="str">
        <f>'14'!$O$10</f>
        <v>g1/g2</v>
      </c>
      <c r="L7" t="s">
        <v>57</v>
      </c>
      <c r="M7" t="s">
        <v>53</v>
      </c>
      <c r="N7" t="str">
        <f>'20'!$J$10</f>
        <v>g1/g2</v>
      </c>
      <c r="O7" t="str">
        <f>'20'!$O$10</f>
        <v>g1/g2</v>
      </c>
      <c r="P7" t="s">
        <v>57</v>
      </c>
      <c r="Q7" t="s">
        <v>53</v>
      </c>
      <c r="R7" t="str">
        <f>'24.91'!$J$10</f>
        <v>g1/g2</v>
      </c>
      <c r="S7" t="str">
        <f>'24.91'!$O$10</f>
        <v>g1/g2</v>
      </c>
      <c r="T7" t="s">
        <v>57</v>
      </c>
      <c r="U7" t="s">
        <v>53</v>
      </c>
      <c r="V7" t="str">
        <f>'25'!$J$10</f>
        <v>g1/g2</v>
      </c>
      <c r="W7" t="str">
        <f>'25'!$O$10</f>
        <v>g1/g2</v>
      </c>
      <c r="X7" t="s">
        <v>57</v>
      </c>
      <c r="Y7" t="s">
        <v>53</v>
      </c>
      <c r="Z7" t="str">
        <f>'40'!$J$10</f>
        <v>g1/g2</v>
      </c>
      <c r="AA7" t="str">
        <f>'40'!$O$10</f>
        <v>g1/g2</v>
      </c>
      <c r="AB7" t="s">
        <v>57</v>
      </c>
      <c r="AC7" t="s">
        <v>53</v>
      </c>
      <c r="AD7" t="str">
        <f>'45'!$J$10</f>
        <v>g1/g2</v>
      </c>
      <c r="AE7" t="str">
        <f>'45'!$O$10</f>
        <v>g1/g2</v>
      </c>
      <c r="AF7" t="s">
        <v>57</v>
      </c>
      <c r="AG7" t="s">
        <v>53</v>
      </c>
      <c r="AH7" t="str">
        <f>'55'!$J$10</f>
        <v>g1/g2</v>
      </c>
      <c r="AI7" t="str">
        <f>'55'!$O$10</f>
        <v>g1/g2</v>
      </c>
      <c r="AJ7" t="s">
        <v>57</v>
      </c>
      <c r="AK7" t="s">
        <v>53</v>
      </c>
      <c r="AL7" t="str">
        <f>'60'!$J$10</f>
        <v>g1/g2</v>
      </c>
      <c r="AM7" t="str">
        <f>'60'!$O$10</f>
        <v>g1/g2</v>
      </c>
      <c r="AN7" t="s">
        <v>57</v>
      </c>
      <c r="AO7" t="s">
        <v>53</v>
      </c>
      <c r="AP7" t="str">
        <f>'70'!$J$10</f>
        <v>g1/g2</v>
      </c>
      <c r="AQ7" t="str">
        <f>'70'!$O$10</f>
        <v>g1/g2</v>
      </c>
      <c r="AR7" t="s">
        <v>57</v>
      </c>
    </row>
    <row r="8" spans="1:44" x14ac:dyDescent="0.2">
      <c r="A8">
        <v>9.9999999999999994E-12</v>
      </c>
      <c r="C8">
        <f>'8'!$O$11</f>
        <v>1.7579412214454835</v>
      </c>
      <c r="E8">
        <v>9.9999999999999994E-12</v>
      </c>
      <c r="G8">
        <f>'10'!$O$11</f>
        <v>1.7662278408133285</v>
      </c>
      <c r="I8">
        <v>9.9999999999999994E-12</v>
      </c>
      <c r="K8">
        <f>'14'!$O$11</f>
        <v>1.7041599274931694</v>
      </c>
      <c r="M8">
        <v>9.9999999999999994E-12</v>
      </c>
      <c r="O8">
        <f>'20'!$O$11</f>
        <v>1.6658662853579123</v>
      </c>
      <c r="Q8">
        <v>9.9999999999999994E-12</v>
      </c>
      <c r="S8">
        <f>'24.91'!$O$11</f>
        <v>1.6261957346110358</v>
      </c>
      <c r="U8">
        <v>9.9999999999999994E-12</v>
      </c>
      <c r="W8">
        <f>'25'!$O$11</f>
        <v>1.5417766464646392</v>
      </c>
      <c r="Y8">
        <v>9.9999999999999994E-12</v>
      </c>
      <c r="AA8">
        <f>'40'!$O$11</f>
        <v>1.5274570190093575</v>
      </c>
      <c r="AC8">
        <v>9.9999999999999994E-12</v>
      </c>
      <c r="AE8">
        <f>'45'!$O$11</f>
        <v>1.4997490624581153</v>
      </c>
      <c r="AG8">
        <v>9.9999999999999994E-12</v>
      </c>
      <c r="AI8">
        <f>'55'!$O$11</f>
        <v>1.462310908017701</v>
      </c>
      <c r="AK8">
        <v>9.9999999999999994E-12</v>
      </c>
      <c r="AM8">
        <f>'60'!$O$11</f>
        <v>1.4505287931190445</v>
      </c>
      <c r="AO8">
        <v>9.9999999999999994E-12</v>
      </c>
      <c r="AQ8">
        <f>'70'!$O$11</f>
        <v>1.4232665204474977</v>
      </c>
    </row>
    <row r="9" spans="1:44" x14ac:dyDescent="0.2">
      <c r="A9">
        <v>2.2100000000000002E-2</v>
      </c>
      <c r="B9">
        <f>'8'!$J$12</f>
        <v>1.7435326830070046</v>
      </c>
      <c r="C9">
        <f>'8'!$O$12</f>
        <v>1.7195581633705415</v>
      </c>
      <c r="D9">
        <f>ABS($B$9-$C$9)</f>
        <v>2.3974519636463132E-2</v>
      </c>
      <c r="E9">
        <v>6.0999999999999999E-2</v>
      </c>
      <c r="F9">
        <f>'10'!$J$12</f>
        <v>1.6938080511481977</v>
      </c>
      <c r="G9">
        <f>'10'!$O$12</f>
        <v>1.6591949389461338</v>
      </c>
      <c r="H9">
        <f>ABS($F$9-$G$9)</f>
        <v>3.4613112202063867E-2</v>
      </c>
      <c r="I9">
        <v>2.2100000000000002E-2</v>
      </c>
      <c r="J9">
        <f>'14'!$J$12</f>
        <v>1.6953873577064666</v>
      </c>
      <c r="K9">
        <f>'14'!$O$12</f>
        <v>1.6692569106834974</v>
      </c>
      <c r="L9">
        <f>ABS($J$9-$K$9)</f>
        <v>2.6130447022969294E-2</v>
      </c>
      <c r="M9">
        <v>2.2100000000000002E-2</v>
      </c>
      <c r="N9">
        <f>'20'!$J$12</f>
        <v>1.649721749858303</v>
      </c>
      <c r="O9">
        <f>'20'!$O$12</f>
        <v>1.632757726325563</v>
      </c>
      <c r="P9">
        <f>ABS($N$9-$O$9)</f>
        <v>1.6964023532739958E-2</v>
      </c>
      <c r="Q9">
        <v>0.1996</v>
      </c>
      <c r="R9">
        <f>'24.91'!$J$12</f>
        <v>1.365397810833868</v>
      </c>
      <c r="S9">
        <f>'24.91'!$O$12</f>
        <v>1.3626658814597061</v>
      </c>
      <c r="T9">
        <f>ABS($R$9-$S$9)</f>
        <v>2.73192937416189E-3</v>
      </c>
      <c r="U9">
        <v>0.10349999999999999</v>
      </c>
      <c r="V9">
        <f>'25'!$J$12</f>
        <v>1.4157392113865157</v>
      </c>
      <c r="W9">
        <f>'25'!$O$12</f>
        <v>1.4247881894252841</v>
      </c>
      <c r="X9">
        <f>ABS($V$9-$W$9)</f>
        <v>9.0489780387683627E-3</v>
      </c>
      <c r="Y9" s="32">
        <v>6.4600000000000005E-2</v>
      </c>
      <c r="Z9">
        <f>'40'!$J$12</f>
        <v>1.4464458582000765</v>
      </c>
      <c r="AA9">
        <f>'40'!$O$12</f>
        <v>1.4559077425620317</v>
      </c>
      <c r="AB9">
        <f>ABS($Z$9-$AA$9)</f>
        <v>9.461884361955164E-3</v>
      </c>
      <c r="AC9">
        <v>0.1008</v>
      </c>
      <c r="AD9">
        <f>'45'!$J$12</f>
        <v>1.3848329553020131</v>
      </c>
      <c r="AE9">
        <f>'45'!$O$12</f>
        <v>1.3931780884907459</v>
      </c>
      <c r="AF9">
        <f>ABS($AD$9-$AE$9)</f>
        <v>8.3451331887327562E-3</v>
      </c>
      <c r="AG9">
        <v>0.13</v>
      </c>
      <c r="AH9">
        <f>'55'!$J$12</f>
        <v>1.3448995482313282</v>
      </c>
      <c r="AI9">
        <f>'55'!$O$12</f>
        <v>1.3365546841502329</v>
      </c>
      <c r="AJ9">
        <f>ABS($AH$9-$AI$9)</f>
        <v>8.344864081095249E-3</v>
      </c>
      <c r="AK9">
        <v>6.7199999999999996E-2</v>
      </c>
      <c r="AL9">
        <f>'60'!$J$12</f>
        <v>1.3840845485249669</v>
      </c>
      <c r="AM9">
        <f>'60'!$O$12</f>
        <v>1.3855938610986902</v>
      </c>
      <c r="AN9">
        <f>ABS($AL$9-$AM$9)</f>
        <v>1.5093125737233315E-3</v>
      </c>
      <c r="AO9">
        <v>0.13980000000000001</v>
      </c>
      <c r="AP9">
        <f>'70'!$J$12</f>
        <v>1.306419012055027</v>
      </c>
      <c r="AQ9">
        <f>'70'!$O$12</f>
        <v>1.2956151621510061</v>
      </c>
      <c r="AR9">
        <f>ABS($AP$9-$AQ$9)</f>
        <v>1.0803849904020835E-2</v>
      </c>
    </row>
    <row r="10" spans="1:44" x14ac:dyDescent="0.2">
      <c r="A10">
        <v>4.1300000000000003E-2</v>
      </c>
      <c r="B10">
        <f>'8'!$J$13</f>
        <v>1.7047741035519512</v>
      </c>
      <c r="C10">
        <f>'8'!$O$13</f>
        <v>1.6866545755537339</v>
      </c>
      <c r="D10">
        <f>ABS($B$10-$C$10)</f>
        <v>1.8119527998217366E-2</v>
      </c>
      <c r="E10">
        <v>0.21490000000000001</v>
      </c>
      <c r="F10">
        <f>'10'!$J$13</f>
        <v>1.4186342791477851</v>
      </c>
      <c r="G10">
        <f>'10'!$O$13</f>
        <v>1.4090953440267655</v>
      </c>
      <c r="H10">
        <f>ABS($F$10-$G$10)</f>
        <v>9.5389351210195539E-3</v>
      </c>
      <c r="I10">
        <v>4.1300000000000003E-2</v>
      </c>
      <c r="J10">
        <f>'14'!$J$13</f>
        <v>1.6612024775610874</v>
      </c>
      <c r="K10">
        <f>'14'!$O$13</f>
        <v>1.6392843471573071</v>
      </c>
      <c r="L10">
        <f>ABS($J$10-$K$10)</f>
        <v>2.1918130403780323E-2</v>
      </c>
      <c r="M10">
        <v>4.1300000000000003E-2</v>
      </c>
      <c r="N10">
        <f>'20'!$J$13</f>
        <v>1.6173025893961703</v>
      </c>
      <c r="O10">
        <f>'20'!$O$13</f>
        <v>1.6043306440574199</v>
      </c>
      <c r="P10">
        <f>ABS($N$10-$O$10)</f>
        <v>1.2971945338750457E-2</v>
      </c>
      <c r="Q10">
        <v>0.3427</v>
      </c>
      <c r="R10">
        <f>'24.91'!$J$13</f>
        <v>1.1890216812905796</v>
      </c>
      <c r="S10">
        <f>'24.91'!$O$13</f>
        <v>1.1903862387799118</v>
      </c>
      <c r="T10">
        <f>ABS($R$10-$S$10)</f>
        <v>1.3645574893321744E-3</v>
      </c>
      <c r="U10">
        <v>0.17499999999999999</v>
      </c>
      <c r="V10">
        <f>'25'!$J$13</f>
        <v>1.3395027017439929</v>
      </c>
      <c r="W10">
        <f>'25'!$O$13</f>
        <v>1.3464461911741181</v>
      </c>
      <c r="X10">
        <f>ABS($V$10-$W$10)</f>
        <v>6.9434894301252381E-3</v>
      </c>
      <c r="Y10" s="32">
        <v>8.3500000000000005E-2</v>
      </c>
      <c r="Z10">
        <f>'40'!$J$13</f>
        <v>1.4380888027779035</v>
      </c>
      <c r="AA10">
        <f>'40'!$O$13</f>
        <v>1.4352704511553389</v>
      </c>
      <c r="AB10">
        <f>ABS($Z$10-$AA$10)</f>
        <v>2.8183516225646077E-3</v>
      </c>
      <c r="AC10">
        <v>0.2989</v>
      </c>
      <c r="AD10">
        <f>'45'!$J$13</f>
        <v>1.1821546289144442</v>
      </c>
      <c r="AE10">
        <f>'45'!$O$13</f>
        <v>1.1960629775801506</v>
      </c>
      <c r="AF10">
        <f>ABS($AD$10-$AE$10)</f>
        <v>1.3908348665706338E-2</v>
      </c>
      <c r="AG10">
        <v>0.23669999999999999</v>
      </c>
      <c r="AH10">
        <f>'55'!$J$13</f>
        <v>1.2377957455864328</v>
      </c>
      <c r="AI10">
        <f>'55'!$O$13</f>
        <v>1.2377956452305154</v>
      </c>
      <c r="AJ10">
        <f>ABS($AH$10-$AI$10)</f>
        <v>1.0035591735402249E-7</v>
      </c>
      <c r="AK10">
        <v>0.2261</v>
      </c>
      <c r="AL10">
        <f>'60'!$J$13</f>
        <v>1.2388205673637176</v>
      </c>
      <c r="AM10">
        <f>'60'!$O$13</f>
        <v>1.2390556352605335</v>
      </c>
      <c r="AN10">
        <f>ABS($AL$10-$AM$10)</f>
        <v>2.3506789681593254E-4</v>
      </c>
      <c r="AO10">
        <v>0.23089999999999999</v>
      </c>
      <c r="AP10">
        <f>'70'!$J$13</f>
        <v>1.2205560132223856</v>
      </c>
      <c r="AQ10">
        <f>'70'!$O$13</f>
        <v>1.2170903748570339</v>
      </c>
      <c r="AR10">
        <f>ABS($AP$10-$AQ$10)</f>
        <v>3.465638365351742E-3</v>
      </c>
    </row>
    <row r="11" spans="1:44" x14ac:dyDescent="0.2">
      <c r="A11">
        <v>8.5900000000000004E-2</v>
      </c>
      <c r="B11">
        <f>'8'!$J$14</f>
        <v>1.6193964266344327</v>
      </c>
      <c r="C11">
        <f>'8'!$O$14</f>
        <v>1.6118035930600068</v>
      </c>
      <c r="D11">
        <f>ABS($B$11-$C$11)</f>
        <v>7.5928335744259723E-3</v>
      </c>
      <c r="E11">
        <v>0.31869999999999998</v>
      </c>
      <c r="F11">
        <f>'10'!$J$14</f>
        <v>1.2560848501153445</v>
      </c>
      <c r="G11">
        <f>'10'!$O$14</f>
        <v>1.2560211847037746</v>
      </c>
      <c r="H11">
        <f>ABS($F$11-$G$11)</f>
        <v>6.3665411569990837E-5</v>
      </c>
      <c r="I11" s="15">
        <v>8.5900000000000004E-2</v>
      </c>
      <c r="J11">
        <f>'14'!$J$14</f>
        <v>1.5822185111188261</v>
      </c>
      <c r="K11">
        <f>'14'!$O$14</f>
        <v>1.570917233751677</v>
      </c>
      <c r="L11">
        <f>ABS($J$11-$K$11)</f>
        <v>1.1301277367149032E-2</v>
      </c>
      <c r="M11" s="15">
        <v>8.5900000000000004E-2</v>
      </c>
      <c r="N11">
        <f>'20'!$J$14</f>
        <v>1.5458629861997548</v>
      </c>
      <c r="O11">
        <f>'20'!$O$14</f>
        <v>1.5395025095515746</v>
      </c>
      <c r="P11">
        <f>ABS($N$11-$O$11)</f>
        <v>6.36047664818018E-3</v>
      </c>
      <c r="Q11">
        <v>0.44159999999999999</v>
      </c>
      <c r="R11">
        <f>'24.91'!$J$14</f>
        <v>1.0784786425222954</v>
      </c>
      <c r="S11">
        <f>'24.91'!$O$14</f>
        <v>1.0794390301041437</v>
      </c>
      <c r="T11">
        <f>ABS($R$11-$S$11)</f>
        <v>9.6038758184824324E-4</v>
      </c>
      <c r="U11" s="15">
        <v>0.27600000000000002</v>
      </c>
      <c r="V11">
        <f>'25'!$J$14</f>
        <v>1.2253123388726299</v>
      </c>
      <c r="W11">
        <f>'25'!$O$14</f>
        <v>1.2393516055950538</v>
      </c>
      <c r="X11">
        <f>ABS($V$11-$W$11)</f>
        <v>1.4039266722423838E-2</v>
      </c>
      <c r="Y11">
        <v>0.12620000000000001</v>
      </c>
      <c r="Z11">
        <f>'40'!$J$14</f>
        <v>1.3906559798249987</v>
      </c>
      <c r="AA11">
        <f>'40'!$O$14</f>
        <v>1.3891466111833759</v>
      </c>
      <c r="AB11">
        <f>ABS($Z$11-$AA$11)</f>
        <v>1.5093686416227658E-3</v>
      </c>
      <c r="AC11" s="15">
        <v>0.50170000000000003</v>
      </c>
      <c r="AD11">
        <f>'45'!$J$14</f>
        <v>1.0115110646785914</v>
      </c>
      <c r="AE11">
        <f>'45'!$O$14</f>
        <v>1.0115110646385419</v>
      </c>
      <c r="AF11">
        <f>ABS($AD$11-$AE$11)</f>
        <v>4.0049519256513122E-11</v>
      </c>
      <c r="AG11">
        <v>0.32650000000000001</v>
      </c>
      <c r="AH11">
        <f>'55'!$J$14</f>
        <v>1.156775850100892</v>
      </c>
      <c r="AI11">
        <f>'55'!$O$14</f>
        <v>1.157842980570817</v>
      </c>
      <c r="AJ11">
        <f>ABS($AH$11-$AI$11)</f>
        <v>1.067130469925015E-3</v>
      </c>
      <c r="AK11" s="15">
        <v>0.3201</v>
      </c>
      <c r="AL11">
        <f>'60'!$J$14</f>
        <v>1.1494387021684422</v>
      </c>
      <c r="AM11">
        <f>'60'!$O$14</f>
        <v>1.1569947208707061</v>
      </c>
      <c r="AN11">
        <f>ABS($AL$11-$AM$11)</f>
        <v>7.5560187022638559E-3</v>
      </c>
      <c r="AO11" s="15">
        <v>0.315</v>
      </c>
      <c r="AP11">
        <f>'70'!$J$14</f>
        <v>1.1438330136504706</v>
      </c>
      <c r="AQ11">
        <f>'70'!$O$14</f>
        <v>1.1477681081618651</v>
      </c>
      <c r="AR11">
        <f>ABS($AP$11-$AQ$11)</f>
        <v>3.9350945113945102E-3</v>
      </c>
    </row>
    <row r="12" spans="1:44" x14ac:dyDescent="0.2">
      <c r="A12">
        <v>0.20269999999999999</v>
      </c>
      <c r="B12">
        <f>'8'!$J$15</f>
        <v>1.4209961639613891</v>
      </c>
      <c r="C12">
        <f>'8'!$O$15</f>
        <v>1.4261432081375196</v>
      </c>
      <c r="D12">
        <f>ABS($B$12-$C$12)</f>
        <v>5.1470441761305441E-3</v>
      </c>
      <c r="E12">
        <v>0.432</v>
      </c>
      <c r="F12">
        <f>'10'!$J$15</f>
        <v>1.1025524113840453</v>
      </c>
      <c r="G12">
        <f>'10'!$O$15</f>
        <v>1.1026981101453981</v>
      </c>
      <c r="H12">
        <f>ABS($F$12-$G$12)</f>
        <v>1.4569876135284154E-4</v>
      </c>
      <c r="I12">
        <v>0.20269999999999999</v>
      </c>
      <c r="J12">
        <f>'14'!$J$15</f>
        <v>1.3981522675511955</v>
      </c>
      <c r="K12">
        <f>'14'!$O$15</f>
        <v>1.4001813871668825</v>
      </c>
      <c r="L12">
        <f>ABS($J$12-$K$12)</f>
        <v>2.0291196156869695E-3</v>
      </c>
      <c r="M12">
        <v>0.20269999999999999</v>
      </c>
      <c r="N12">
        <f>'20'!$J$15</f>
        <v>1.3742100410084719</v>
      </c>
      <c r="O12">
        <f>'20'!$O$15</f>
        <v>1.3776621178188921</v>
      </c>
      <c r="P12">
        <f>ABS($N$12-$O$12)</f>
        <v>3.452076810420257E-3</v>
      </c>
      <c r="Q12">
        <v>0.51690000000000003</v>
      </c>
      <c r="R12">
        <f>'24.91'!$J$15</f>
        <v>0.99937930560614596</v>
      </c>
      <c r="S12">
        <f>'24.91'!$O$15</f>
        <v>0.99939415496765993</v>
      </c>
      <c r="T12">
        <f>ABS($R$12-$S$12)</f>
        <v>1.4849361513968873E-5</v>
      </c>
      <c r="U12">
        <v>0.377</v>
      </c>
      <c r="V12">
        <f>'25'!$J$15</f>
        <v>1.1365742527400708</v>
      </c>
      <c r="W12">
        <f>'25'!$O$15</f>
        <v>1.1365716324735899</v>
      </c>
      <c r="X12">
        <f>ABS($V$12-$W$12)</f>
        <v>2.6202664809016341E-6</v>
      </c>
      <c r="Y12">
        <v>0.1835</v>
      </c>
      <c r="Z12">
        <f>'40'!$J$15</f>
        <v>1.3236568188488913</v>
      </c>
      <c r="AA12">
        <f>'40'!$O$15</f>
        <v>1.3283599305729079</v>
      </c>
      <c r="AB12">
        <f>ABS($Z$12-$AA$12)</f>
        <v>4.7031117240166065E-3</v>
      </c>
      <c r="AC12">
        <v>0.69440000000000002</v>
      </c>
      <c r="AD12">
        <f>'45'!$J$15</f>
        <v>0.85017869445832028</v>
      </c>
      <c r="AE12">
        <f>'45'!$O$15</f>
        <v>0.85252203630429413</v>
      </c>
      <c r="AF12">
        <f>ABS($AD$12-$AE$12)</f>
        <v>2.3433418459738453E-3</v>
      </c>
      <c r="AG12">
        <v>0.40089999999999998</v>
      </c>
      <c r="AH12">
        <f>'55'!$J$15</f>
        <v>1.0931166996913184</v>
      </c>
      <c r="AI12">
        <f>'55'!$O$15</f>
        <v>1.0938164970662552</v>
      </c>
      <c r="AJ12">
        <f>ABS($AH$12-$AI$12)</f>
        <v>6.9979737493675032E-4</v>
      </c>
      <c r="AK12">
        <v>0.432</v>
      </c>
      <c r="AL12">
        <f>'60'!$J$15</f>
        <v>1.060279491652059</v>
      </c>
      <c r="AM12">
        <f>'60'!$O$15</f>
        <v>1.0637703947258215</v>
      </c>
      <c r="AN12">
        <f>ABS($AL$12-$AM$12)</f>
        <v>3.4909030737624303E-3</v>
      </c>
      <c r="AO12">
        <v>0.39360000000000001</v>
      </c>
      <c r="AP12">
        <f>'70'!$J$15</f>
        <v>1.0856630129029223</v>
      </c>
      <c r="AQ12">
        <f>'70'!$O$15</f>
        <v>1.0856630056632046</v>
      </c>
      <c r="AR12">
        <f>ABS($AP$12-$AQ$12)</f>
        <v>7.2397177142136115E-9</v>
      </c>
    </row>
    <row r="13" spans="1:44" x14ac:dyDescent="0.2">
      <c r="A13">
        <v>0.31900000000000001</v>
      </c>
      <c r="B13">
        <f>'8'!$J$16</f>
        <v>1.2501647941009151</v>
      </c>
      <c r="C13">
        <f>'8'!$O$16</f>
        <v>1.2558970125986519</v>
      </c>
      <c r="D13">
        <f>ABS($B$13-$C$13)</f>
        <v>5.7322184977368629E-3</v>
      </c>
      <c r="E13">
        <v>0.52459999999999996</v>
      </c>
      <c r="F13">
        <f>'10'!$J$16</f>
        <v>0.98761541945893694</v>
      </c>
      <c r="G13">
        <f>'10'!$O$16</f>
        <v>0.98764549018424297</v>
      </c>
      <c r="H13">
        <f>ABS($F$13-$G$13)</f>
        <v>3.007072530603061E-5</v>
      </c>
      <c r="I13">
        <v>0.31900000000000001</v>
      </c>
      <c r="J13">
        <f>'14'!$J$16</f>
        <v>1.2366769586979458</v>
      </c>
      <c r="K13">
        <f>'14'!$O$16</f>
        <v>1.2420525739217991</v>
      </c>
      <c r="L13">
        <f>ABS($J$13-$K$13)</f>
        <v>5.375615223853325E-3</v>
      </c>
      <c r="M13">
        <v>0.31900000000000001</v>
      </c>
      <c r="N13">
        <f>'20'!$J$16</f>
        <v>1.2241247313068613</v>
      </c>
      <c r="O13">
        <f>'20'!$O$16</f>
        <v>1.2277846658731537</v>
      </c>
      <c r="P13">
        <f>ABS($N$13-$O$13)</f>
        <v>3.6599345662924332E-3</v>
      </c>
      <c r="Q13">
        <v>0.53779999999999994</v>
      </c>
      <c r="R13">
        <f>'24.91'!$J$16</f>
        <v>0.97785248168352079</v>
      </c>
      <c r="S13">
        <f>'24.91'!$O$16</f>
        <v>0.97785248165728023</v>
      </c>
      <c r="T13">
        <f>ABS($R$13-$S$13)</f>
        <v>2.6240565276225425E-11</v>
      </c>
      <c r="U13">
        <v>0.433</v>
      </c>
      <c r="V13">
        <f>'25'!$J$16</f>
        <v>1.0808115541956318</v>
      </c>
      <c r="W13">
        <f>'25'!$O$16</f>
        <v>1.0814949069089879</v>
      </c>
      <c r="X13">
        <f>ABS($V$13-$W$13)</f>
        <v>6.8335271335606684E-4</v>
      </c>
      <c r="Y13">
        <v>0.24590000000000001</v>
      </c>
      <c r="Z13">
        <f>'40'!$J$16</f>
        <v>1.2636350253711701</v>
      </c>
      <c r="AA13">
        <f>'40'!$O$16</f>
        <v>1.2636349410146996</v>
      </c>
      <c r="AB13">
        <f>ABS($Z$13-$AA$13)</f>
        <v>8.4356470475555057E-8</v>
      </c>
      <c r="AC13">
        <v>0.8921</v>
      </c>
      <c r="AD13">
        <f>'45'!$J$16</f>
        <v>0.68994555287594117</v>
      </c>
      <c r="AE13">
        <f>'45'!$O$16</f>
        <v>0.70602543366059833</v>
      </c>
      <c r="AF13">
        <f>ABS($AD$13-$AE$13)</f>
        <v>1.6079880784657163E-2</v>
      </c>
      <c r="AG13">
        <v>0.43659999999999999</v>
      </c>
      <c r="AH13">
        <f>'55'!$J$16</f>
        <v>1.0632932269535627</v>
      </c>
      <c r="AI13">
        <f>'55'!$O$16</f>
        <v>1.0638117248190437</v>
      </c>
      <c r="AJ13">
        <f>ABS($AH$13-$AI$13)</f>
        <v>5.1849786548108234E-4</v>
      </c>
      <c r="AK13">
        <v>0.52029999999999998</v>
      </c>
      <c r="AL13">
        <f>'60'!$J$16</f>
        <v>0.99361201858540549</v>
      </c>
      <c r="AM13">
        <f>'60'!$O$16</f>
        <v>0.99361201830045232</v>
      </c>
      <c r="AN13">
        <f>ABS($AL$13-$AM$13)</f>
        <v>2.8495317216936655E-10</v>
      </c>
      <c r="AO13">
        <v>0.44109999999999999</v>
      </c>
      <c r="AP13">
        <f>'70'!$J$16</f>
        <v>1.061705720071541</v>
      </c>
      <c r="AQ13">
        <f>'70'!$O$16</f>
        <v>1.0493622297127867</v>
      </c>
      <c r="AR13">
        <f>ABS($AP$13-$AQ$13)</f>
        <v>1.2343490358754261E-2</v>
      </c>
    </row>
    <row r="14" spans="1:44" x14ac:dyDescent="0.2">
      <c r="A14">
        <v>0.45350000000000001</v>
      </c>
      <c r="B14">
        <f>'8'!$J$17</f>
        <v>1.0760048147873249</v>
      </c>
      <c r="C14">
        <f>'8'!$O$17</f>
        <v>1.0766712153269191</v>
      </c>
      <c r="D14">
        <f>ABS($B$14-$C$14)</f>
        <v>6.6640053959421408E-4</v>
      </c>
      <c r="E14">
        <v>0.61170000000000002</v>
      </c>
      <c r="F14">
        <f>'10'!$J$17</f>
        <v>0.8916274329327486</v>
      </c>
      <c r="G14">
        <f>'10'!$O$17</f>
        <v>0.88751554164561974</v>
      </c>
      <c r="H14">
        <f>ABS($F$14-$G$14)</f>
        <v>4.1118912871288549E-3</v>
      </c>
      <c r="I14">
        <v>0.45350000000000001</v>
      </c>
      <c r="J14">
        <f>'14'!$J$17</f>
        <v>1.0710834914220697</v>
      </c>
      <c r="K14">
        <f>'14'!$O$17</f>
        <v>1.0737804973237242</v>
      </c>
      <c r="L14">
        <f>ABS($J$14-$K$14)</f>
        <v>2.6970059016544479E-3</v>
      </c>
      <c r="M14">
        <v>0.45350000000000001</v>
      </c>
      <c r="N14">
        <f>'20'!$J$17</f>
        <v>1.0681989536653425</v>
      </c>
      <c r="O14">
        <f>'20'!$O$17</f>
        <v>1.0681996844175745</v>
      </c>
      <c r="P14">
        <f>ABS($N$14-$O$14)</f>
        <v>7.3075223205876227E-7</v>
      </c>
      <c r="Q14">
        <v>0.58579999999999999</v>
      </c>
      <c r="R14">
        <f>'24.91'!$J$17</f>
        <v>0.92982946163992231</v>
      </c>
      <c r="S14">
        <f>'24.91'!$O$17</f>
        <v>0.92948440826752332</v>
      </c>
      <c r="T14">
        <f>ABS($R$14-$S$14)</f>
        <v>3.4505337239898459E-4</v>
      </c>
      <c r="U14">
        <v>0.50900000000000001</v>
      </c>
      <c r="V14">
        <f>'25'!$J$17</f>
        <v>1.0089731544978471</v>
      </c>
      <c r="W14">
        <f>'25'!$O$17</f>
        <v>1.0089758201304182</v>
      </c>
      <c r="X14">
        <f>ABS($V$14-$W$14)</f>
        <v>2.6656325711194029E-6</v>
      </c>
      <c r="Y14" s="15">
        <v>0.35510000000000003</v>
      </c>
      <c r="Z14">
        <f>'40'!$J$17</f>
        <v>1.1492397685659064</v>
      </c>
      <c r="AA14">
        <f>'40'!$O$17</f>
        <v>1.1541533734988889</v>
      </c>
      <c r="AB14">
        <f>ABS($Z$14-$AA$14)</f>
        <v>4.9136049329825404E-3</v>
      </c>
      <c r="AC14">
        <v>0.99999990000000005</v>
      </c>
      <c r="AE14">
        <f>'45'!$O$17</f>
        <v>0.6331236355863189</v>
      </c>
      <c r="AG14">
        <v>0.47010000000000002</v>
      </c>
      <c r="AH14">
        <f>'55'!$J$17</f>
        <v>1.0356960630933441</v>
      </c>
      <c r="AI14">
        <f>'55'!$O$17</f>
        <v>1.0360810635257218</v>
      </c>
      <c r="AJ14">
        <f>ABS($AH$14-$AI$14)</f>
        <v>3.8500043237776893E-4</v>
      </c>
      <c r="AK14">
        <v>0.60289999999999999</v>
      </c>
      <c r="AL14">
        <f>'60'!$J$17</f>
        <v>0.9398143829633262</v>
      </c>
      <c r="AM14">
        <f>'60'!$O$17</f>
        <v>0.93068184336798176</v>
      </c>
      <c r="AN14">
        <f>ABS($AL$14-$AM$14)</f>
        <v>9.1325395953444355E-3</v>
      </c>
      <c r="AO14">
        <v>0.50039999999999996</v>
      </c>
      <c r="AP14">
        <f>'70'!$J$17</f>
        <v>1.0160743588495695</v>
      </c>
      <c r="AQ14">
        <f>'70'!$O$17</f>
        <v>1.0053207248225746</v>
      </c>
      <c r="AR14">
        <f>ABS($AP$14-$AQ$14)</f>
        <v>1.0753634026994918E-2</v>
      </c>
    </row>
    <row r="15" spans="1:44" x14ac:dyDescent="0.2">
      <c r="A15">
        <v>0.66790000000000005</v>
      </c>
      <c r="B15">
        <f>'8'!$J$18</f>
        <v>0.83368677158115934</v>
      </c>
      <c r="C15">
        <f>'8'!$O$18</f>
        <v>0.82841294059178727</v>
      </c>
      <c r="D15">
        <f>ABS($B$15-$C$15)</f>
        <v>5.2738309893720636E-3</v>
      </c>
      <c r="E15">
        <v>0.72560000000000002</v>
      </c>
      <c r="F15">
        <f>'10'!$J$18</f>
        <v>0.77577059069066967</v>
      </c>
      <c r="G15">
        <f>'10'!$O$18</f>
        <v>0.76790148518538737</v>
      </c>
      <c r="H15">
        <f>ABS($F$15-$G$15)</f>
        <v>7.8691055052823033E-3</v>
      </c>
      <c r="I15">
        <v>0.66790000000000005</v>
      </c>
      <c r="J15">
        <f>'14'!$J$18</f>
        <v>0.83955587870220572</v>
      </c>
      <c r="K15">
        <f>'14'!$O$18</f>
        <v>0.83718742582001693</v>
      </c>
      <c r="L15">
        <f>ABS($J$15-$K$15)</f>
        <v>2.3684528821887874E-3</v>
      </c>
      <c r="M15">
        <v>0.66790000000000005</v>
      </c>
      <c r="N15">
        <f>'20'!$J$18</f>
        <v>0.84714849759860777</v>
      </c>
      <c r="O15">
        <f>'20'!$O$18</f>
        <v>0.84333528317023543</v>
      </c>
      <c r="P15">
        <f>ABS($N$15-$O$15)</f>
        <v>3.8132144283723468E-3</v>
      </c>
      <c r="Q15">
        <v>0.61539999999999995</v>
      </c>
      <c r="R15">
        <f>'24.91'!$J$18</f>
        <v>0.90140937777455077</v>
      </c>
      <c r="S15">
        <f>'24.91'!$O$18</f>
        <v>0.90042249455305401</v>
      </c>
      <c r="T15">
        <f>ABS($R$15-$S$15)</f>
        <v>9.8688322149675933E-4</v>
      </c>
      <c r="U15">
        <v>0.58299999999999996</v>
      </c>
      <c r="V15">
        <f>'25'!$J$18</f>
        <v>0.940934575844392</v>
      </c>
      <c r="W15">
        <f>'25'!$O$18</f>
        <v>0.94087333486591174</v>
      </c>
      <c r="X15">
        <f>ABS($V$15-$W$15)</f>
        <v>6.1240978480259223E-5</v>
      </c>
      <c r="Y15">
        <v>0.41389999999999999</v>
      </c>
      <c r="Z15">
        <f>'40'!$J$18</f>
        <v>1.0940187846169516</v>
      </c>
      <c r="AA15">
        <f>'40'!$O$18</f>
        <v>1.0972453994631286</v>
      </c>
      <c r="AB15">
        <f>ABS($Z$15-$AA$15)</f>
        <v>3.2266148461770339E-3</v>
      </c>
      <c r="AE15" s="35" t="s">
        <v>56</v>
      </c>
      <c r="AF15" s="35">
        <f>AVERAGE($AF$9:$AF$13)</f>
        <v>8.1353409050239252E-3</v>
      </c>
      <c r="AG15">
        <v>0.47870000000000001</v>
      </c>
      <c r="AH15">
        <f>'55'!$J$18</f>
        <v>1.0290286667400492</v>
      </c>
      <c r="AI15">
        <f>'55'!$O$18</f>
        <v>1.0290286769134616</v>
      </c>
      <c r="AJ15">
        <f>ABS($AH$15-$AI$15)</f>
        <v>1.0173412334779641E-8</v>
      </c>
      <c r="AK15">
        <v>0.70950000000000002</v>
      </c>
      <c r="AL15">
        <f>'60'!$J$18</f>
        <v>0.85270089596591103</v>
      </c>
      <c r="AM15">
        <f>'60'!$O$18</f>
        <v>0.85328962276585574</v>
      </c>
      <c r="AN15">
        <f>ABS($AL$15-$AM$15)</f>
        <v>5.8872679994470545E-4</v>
      </c>
      <c r="AO15">
        <v>0.54849999999999999</v>
      </c>
      <c r="AP15">
        <f>'70'!$J$18</f>
        <v>0.94479883999904846</v>
      </c>
      <c r="AQ15">
        <f>'70'!$O$18</f>
        <v>0.97062242820137334</v>
      </c>
      <c r="AR15">
        <f>ABS($AP$15-$AQ$15)</f>
        <v>2.5823588202324887E-2</v>
      </c>
    </row>
    <row r="16" spans="1:44" x14ac:dyDescent="0.2">
      <c r="A16">
        <v>0.76200000000000001</v>
      </c>
      <c r="B16">
        <f>'8'!$J$19</f>
        <v>0.73718397325326801</v>
      </c>
      <c r="C16">
        <f>'8'!$O$19</f>
        <v>0.73325824918201676</v>
      </c>
      <c r="D16">
        <f>ABS($B$16-$C$16)</f>
        <v>3.9257240712512464E-3</v>
      </c>
      <c r="E16">
        <v>0.80400000000000005</v>
      </c>
      <c r="F16">
        <f>'10'!$J$19</f>
        <v>0.69270299637165444</v>
      </c>
      <c r="G16">
        <f>'10'!$O$19</f>
        <v>0.69269863792166497</v>
      </c>
      <c r="H16">
        <f>ABS($F$16-$G$16)</f>
        <v>4.3584499894722128E-6</v>
      </c>
      <c r="I16">
        <v>0.76200000000000001</v>
      </c>
      <c r="J16">
        <f>'14'!$J$19</f>
        <v>0.74750618478459052</v>
      </c>
      <c r="K16">
        <f>'14'!$O$19</f>
        <v>0.74526304852219094</v>
      </c>
      <c r="L16">
        <f>ABS($J$16-$K$16)</f>
        <v>2.243136262399581E-3</v>
      </c>
      <c r="M16">
        <v>0.76200000000000001</v>
      </c>
      <c r="N16">
        <f>'20'!$J$19</f>
        <v>0.75857451858744018</v>
      </c>
      <c r="O16">
        <f>'20'!$O$19</f>
        <v>0.75567872575781991</v>
      </c>
      <c r="P16">
        <f>ABS($N$16-$O$16)</f>
        <v>2.8957928296202695E-3</v>
      </c>
      <c r="Q16">
        <v>0.68479999999999996</v>
      </c>
      <c r="R16">
        <f>'24.91'!$J$19</f>
        <v>0.83572075740910323</v>
      </c>
      <c r="S16">
        <f>'24.91'!$O$19</f>
        <v>0.83455826307125769</v>
      </c>
      <c r="T16">
        <f>ABS($R$16-$S$16)</f>
        <v>1.1624943378455432E-3</v>
      </c>
      <c r="U16">
        <v>0.69399999999999995</v>
      </c>
      <c r="V16">
        <f>'25'!$J$19</f>
        <v>0.84137925349343767</v>
      </c>
      <c r="W16">
        <f>'25'!$O$19</f>
        <v>0.84344981556232879</v>
      </c>
      <c r="X16">
        <f>ABS($V$16-$W$16)</f>
        <v>2.0705620688911131E-3</v>
      </c>
      <c r="Y16">
        <v>0.52310000000000001</v>
      </c>
      <c r="Z16">
        <f>'40'!$J$19</f>
        <v>0.99758403424219166</v>
      </c>
      <c r="AA16">
        <f>'40'!$O$19</f>
        <v>0.99545163674175796</v>
      </c>
      <c r="AB16">
        <f>ABS($Z$16-$AA$16)</f>
        <v>2.1323975004337026E-3</v>
      </c>
      <c r="AG16">
        <v>0.52090000000000003</v>
      </c>
      <c r="AH16">
        <f>'55'!$J$19</f>
        <v>0.99498538197970987</v>
      </c>
      <c r="AI16">
        <f>'55'!$O$19</f>
        <v>0.99481752086718778</v>
      </c>
      <c r="AJ16">
        <f>ABS($AH$16-$AI$16)</f>
        <v>1.6786111252209412E-4</v>
      </c>
      <c r="AK16">
        <v>0.79520000000000002</v>
      </c>
      <c r="AL16">
        <f>'60'!$J$19</f>
        <v>0.79416179073609616</v>
      </c>
      <c r="AM16">
        <f>'60'!$O$19</f>
        <v>0.79416216473917733</v>
      </c>
      <c r="AN16">
        <f>ABS($AL$16-$AM$16)</f>
        <v>3.7400308117163661E-7</v>
      </c>
      <c r="AO16">
        <v>0.59630000000000005</v>
      </c>
      <c r="AP16">
        <f>'70'!$J$19</f>
        <v>0.90796134790580729</v>
      </c>
      <c r="AQ16">
        <f>'70'!$O$19</f>
        <v>0.93703529686397169</v>
      </c>
      <c r="AR16">
        <f>ABS($AP$16-$AQ$16)</f>
        <v>2.9073948958164397E-2</v>
      </c>
    </row>
    <row r="17" spans="1:44" x14ac:dyDescent="0.2">
      <c r="A17">
        <v>0.84989999999999999</v>
      </c>
      <c r="B17">
        <f>'8'!$J$20</f>
        <v>0.65158864250262738</v>
      </c>
      <c r="C17">
        <f>'8'!$O$20</f>
        <v>0.65158864762030633</v>
      </c>
      <c r="D17">
        <f>ABS($B$17-$C$17)</f>
        <v>5.1176789472862083E-9</v>
      </c>
      <c r="E17">
        <v>0.88300000000000001</v>
      </c>
      <c r="F17">
        <f>'10'!$J$20</f>
        <v>0.63053127185726132</v>
      </c>
      <c r="G17">
        <f>'10'!$O$20</f>
        <v>0.62253207669325561</v>
      </c>
      <c r="H17">
        <f>ABS($F$17-$G$17)</f>
        <v>7.9991951640057124E-3</v>
      </c>
      <c r="I17">
        <v>0.84989999999999999</v>
      </c>
      <c r="J17">
        <f>'14'!$J$20</f>
        <v>0.66574152448216573</v>
      </c>
      <c r="K17">
        <f>'14'!$O$20</f>
        <v>0.66574152914852069</v>
      </c>
      <c r="L17">
        <f>ABS($J$17-$K$17)</f>
        <v>4.6663549690961759E-9</v>
      </c>
      <c r="M17">
        <v>0.84989999999999999</v>
      </c>
      <c r="N17">
        <f>'20'!$J$20</f>
        <v>0.67964264776963235</v>
      </c>
      <c r="O17">
        <f>'20'!$O$20</f>
        <v>0.67964270776008751</v>
      </c>
      <c r="P17">
        <f>ABS($N$17-$O$17)</f>
        <v>5.9990455159031342E-8</v>
      </c>
      <c r="Q17">
        <v>0.78059999999999996</v>
      </c>
      <c r="R17">
        <f>'24.91'!$J$20</f>
        <v>0.74881350961590609</v>
      </c>
      <c r="S17">
        <f>'24.91'!$O$20</f>
        <v>0.74882671126782852</v>
      </c>
      <c r="T17">
        <f>ABS($R$17-$S$17)</f>
        <v>1.3201651922423174E-5</v>
      </c>
      <c r="U17">
        <v>0.79449999999999998</v>
      </c>
      <c r="V17">
        <f>'25'!$J$20</f>
        <v>0.75869302394740956</v>
      </c>
      <c r="W17">
        <f>'25'!$O$20</f>
        <v>0.76022453927266265</v>
      </c>
      <c r="X17">
        <f>ABS($V$17-$W$17)</f>
        <v>1.5315153252530855E-3</v>
      </c>
      <c r="Y17">
        <v>0.64649999999999996</v>
      </c>
      <c r="Z17">
        <f>'40'!$J$20</f>
        <v>0.88665270457574608</v>
      </c>
      <c r="AA17">
        <f>'40'!$O$20</f>
        <v>0.8866526753491617</v>
      </c>
      <c r="AB17">
        <f>ABS($Z$17-$AA$17)</f>
        <v>2.9226584374875131E-8</v>
      </c>
      <c r="AG17">
        <v>0.53380000000000005</v>
      </c>
      <c r="AH17">
        <f>'55'!$J$20</f>
        <v>0.9846426412324959</v>
      </c>
      <c r="AI17">
        <f>'55'!$O$20</f>
        <v>0.98449067848974625</v>
      </c>
      <c r="AJ17">
        <f>ABS($AH$17-$AI$17)</f>
        <v>1.5196274274964505E-4</v>
      </c>
      <c r="AK17">
        <v>0.87519999999999998</v>
      </c>
      <c r="AL17">
        <f>'60'!$J$20</f>
        <v>0.73616546517431181</v>
      </c>
      <c r="AM17">
        <f>'60'!$O$20</f>
        <v>0.74142414312367488</v>
      </c>
      <c r="AN17">
        <f>ABS($AL$17-$AM$17)</f>
        <v>5.2586779493630775E-3</v>
      </c>
      <c r="AO17">
        <v>0.66500000000000004</v>
      </c>
      <c r="AP17">
        <f>'70'!$J$20</f>
        <v>0.90437948726203066</v>
      </c>
      <c r="AQ17">
        <f>'70'!$O$20</f>
        <v>0.89029720375151655</v>
      </c>
      <c r="AR17">
        <f>ABS($AP$17-$AQ$17)</f>
        <v>1.4082283510514104E-2</v>
      </c>
    </row>
    <row r="18" spans="1:44" x14ac:dyDescent="0.2">
      <c r="A18">
        <v>0.92820000000000003</v>
      </c>
      <c r="B18">
        <f>'8'!$J$21</f>
        <v>0.57909950580085401</v>
      </c>
      <c r="C18">
        <f>'8'!$O$21</f>
        <v>0.58448291943160369</v>
      </c>
      <c r="D18">
        <f>ABS($B$18-$C$18)</f>
        <v>5.3834136307496783E-3</v>
      </c>
      <c r="E18">
        <v>0.89990000000000003</v>
      </c>
      <c r="F18">
        <f>'10'!$J$21</f>
        <v>0.60193429826964673</v>
      </c>
      <c r="G18">
        <f>'10'!$O$21</f>
        <v>0.60823028612414731</v>
      </c>
      <c r="H18">
        <f>ABS($F$18-$G$18)</f>
        <v>6.2959878545005843E-3</v>
      </c>
      <c r="I18">
        <v>0.92820000000000003</v>
      </c>
      <c r="J18">
        <f>'14'!$J$21</f>
        <v>0.5966851217954795</v>
      </c>
      <c r="K18">
        <f>'14'!$O$21</f>
        <v>0.59993016817188072</v>
      </c>
      <c r="L18">
        <f>ABS($J$18-$K$18)</f>
        <v>3.2450463764012172E-3</v>
      </c>
      <c r="M18">
        <v>0.92820000000000003</v>
      </c>
      <c r="N18">
        <f>'20'!$J$21</f>
        <v>0.61193460950885603</v>
      </c>
      <c r="O18">
        <f>'20'!$O$21</f>
        <v>0.6165258666853346</v>
      </c>
      <c r="P18">
        <f>ABS($N$18-$O$18)</f>
        <v>4.5912571764785692E-3</v>
      </c>
      <c r="Q18">
        <v>0.88319999999999999</v>
      </c>
      <c r="R18">
        <f>'24.91'!$J$21</f>
        <v>0.66108066256340736</v>
      </c>
      <c r="S18">
        <f>'24.91'!$O$21</f>
        <v>0.66357663815074275</v>
      </c>
      <c r="T18">
        <f>ABS($R$18-$S$18)</f>
        <v>2.4959755873353862E-3</v>
      </c>
      <c r="U18">
        <v>0.90049999999999997</v>
      </c>
      <c r="V18">
        <f>'25'!$J$21</f>
        <v>0.67615233488178861</v>
      </c>
      <c r="W18">
        <f>'25'!$O$21</f>
        <v>0.67765304662714398</v>
      </c>
      <c r="X18">
        <f>ABS($V$18-$W$18)</f>
        <v>1.5007117453553764E-3</v>
      </c>
      <c r="Y18">
        <v>0.67020000000000002</v>
      </c>
      <c r="Z18">
        <f>'40'!$J$21</f>
        <v>0.84987784588384074</v>
      </c>
      <c r="AA18">
        <f>'40'!$O$21</f>
        <v>0.86652729671335627</v>
      </c>
      <c r="AB18">
        <f>ABS($Z$18-$AA$18)</f>
        <v>1.6649450829515522E-2</v>
      </c>
      <c r="AG18">
        <v>0.57310000000000005</v>
      </c>
      <c r="AH18">
        <f>'55'!$J$21</f>
        <v>0.95405104111752015</v>
      </c>
      <c r="AI18">
        <f>'55'!$O$21</f>
        <v>0.95340885688191335</v>
      </c>
      <c r="AJ18">
        <f>ABS($AH$18-$AI$18)</f>
        <v>6.4218423560680193E-4</v>
      </c>
      <c r="AK18">
        <v>0.89319999999999999</v>
      </c>
      <c r="AL18">
        <f>'60'!$J$21</f>
        <v>0.72980996643714668</v>
      </c>
      <c r="AM18">
        <f>'60'!$O$21</f>
        <v>0.7298820706279695</v>
      </c>
      <c r="AN18">
        <f>ABS($AL$18-$AM$18)</f>
        <v>7.210419082281927E-5</v>
      </c>
      <c r="AO18">
        <v>0.79490000000000005</v>
      </c>
      <c r="AP18">
        <f>'70'!$J$21</f>
        <v>0.81062121460291681</v>
      </c>
      <c r="AQ18">
        <f>'70'!$O$21</f>
        <v>0.80673663662177597</v>
      </c>
      <c r="AR18">
        <f>ABS($AP$18-$AQ$18)</f>
        <v>3.8845779811408354E-3</v>
      </c>
    </row>
    <row r="19" spans="1:44" x14ac:dyDescent="0.2">
      <c r="A19">
        <v>0.96179999999999999</v>
      </c>
      <c r="B19">
        <f>'8'!$J$22</f>
        <v>0.54945135707931925</v>
      </c>
      <c r="C19">
        <f>'8'!$O$22</f>
        <v>0.55726547577862728</v>
      </c>
      <c r="D19">
        <f>ABS($B$19-$C$19)</f>
        <v>7.8141186993080369E-3</v>
      </c>
      <c r="E19">
        <v>0.99999990000000005</v>
      </c>
      <c r="G19">
        <f>'10'!$O$22</f>
        <v>0.5284511632496639</v>
      </c>
      <c r="I19" s="15">
        <v>0.96179999999999999</v>
      </c>
      <c r="J19">
        <f>'14'!$J$22</f>
        <v>0.56860166977892945</v>
      </c>
      <c r="K19">
        <f>'14'!$O$22</f>
        <v>0.57310819042722694</v>
      </c>
      <c r="L19">
        <f>ABS($J$19-$K$19)</f>
        <v>4.5065206482974851E-3</v>
      </c>
      <c r="M19" s="15">
        <v>0.96179999999999999</v>
      </c>
      <c r="N19">
        <f>'20'!$J$22</f>
        <v>0.58421407016159332</v>
      </c>
      <c r="O19">
        <f>'20'!$O$22</f>
        <v>0.59074185160993364</v>
      </c>
      <c r="P19">
        <f>ABS($N$19-$O$19)</f>
        <v>6.5277814483403196E-3</v>
      </c>
      <c r="Q19">
        <v>0.99999990000000005</v>
      </c>
      <c r="S19">
        <f>'24.91'!$O$22</f>
        <v>0.57460811030084036</v>
      </c>
      <c r="U19" s="15">
        <v>0.95</v>
      </c>
      <c r="V19">
        <f>'25'!$J$22</f>
        <v>0.63784101130096538</v>
      </c>
      <c r="W19">
        <f>'25'!$O$22</f>
        <v>0.64094106878902268</v>
      </c>
      <c r="X19">
        <f>ABS($V$19-$W$19)</f>
        <v>3.1000574880573062E-3</v>
      </c>
      <c r="Y19">
        <v>0.74950000000000006</v>
      </c>
      <c r="Z19">
        <f>'40'!$J$22</f>
        <v>0.80502471569497136</v>
      </c>
      <c r="AA19">
        <f>'40'!$O$22</f>
        <v>0.8010166660391721</v>
      </c>
      <c r="AB19">
        <f>ABS($Z$19-$AA$19)</f>
        <v>4.0080496557992618E-3</v>
      </c>
      <c r="AG19">
        <v>0.59060000000000001</v>
      </c>
      <c r="AH19">
        <f>'55'!$J$22</f>
        <v>0.94076942808865893</v>
      </c>
      <c r="AI19">
        <f>'55'!$O$22</f>
        <v>0.93975223304682143</v>
      </c>
      <c r="AJ19">
        <f>ABS($AH$19-$AI$19)</f>
        <v>1.0171950418375042E-3</v>
      </c>
      <c r="AK19">
        <v>0.99999990000000005</v>
      </c>
      <c r="AM19">
        <f>'60'!$O$22</f>
        <v>0.66381991479247049</v>
      </c>
      <c r="AO19" s="15">
        <v>0.86140000000000005</v>
      </c>
      <c r="AP19">
        <f>'70'!$J$22</f>
        <v>0.76844914680825493</v>
      </c>
      <c r="AQ19">
        <f>'70'!$O$22</f>
        <v>0.76632324565114707</v>
      </c>
      <c r="AR19">
        <f>ABS($AP$19-$AQ$19)</f>
        <v>2.1259011571078679E-3</v>
      </c>
    </row>
    <row r="20" spans="1:44" x14ac:dyDescent="0.2">
      <c r="A20">
        <v>0.98470000000000002</v>
      </c>
      <c r="B20">
        <f>'8'!$J$23</f>
        <v>0.52917053420555826</v>
      </c>
      <c r="C20">
        <f>'8'!$O$23</f>
        <v>0.53924646878404436</v>
      </c>
      <c r="D20">
        <f>ABS($B$20-$C$20)</f>
        <v>1.0075934578486101E-2</v>
      </c>
      <c r="G20" s="35" t="s">
        <v>56</v>
      </c>
      <c r="H20" s="35">
        <f>AVERAGE($H$9:$H$18)</f>
        <v>7.0672020482219211E-3</v>
      </c>
      <c r="I20" s="15">
        <v>0.98470000000000002</v>
      </c>
      <c r="J20">
        <f>'14'!$J$23</f>
        <v>0.5497426219829229</v>
      </c>
      <c r="K20">
        <f>'14'!$O$23</f>
        <v>0.55530792588416289</v>
      </c>
      <c r="L20">
        <f>ABS($J$20-$K$20)</f>
        <v>5.565303901239993E-3</v>
      </c>
      <c r="M20" s="15">
        <v>0.98470000000000002</v>
      </c>
      <c r="N20">
        <f>'20'!$J$23</f>
        <v>0.56649988422509956</v>
      </c>
      <c r="O20">
        <f>'20'!$O$23</f>
        <v>0.57360849820365001</v>
      </c>
      <c r="P20">
        <f>ABS($N$20-$O$20)</f>
        <v>7.1086139785504487E-3</v>
      </c>
      <c r="S20" s="35" t="s">
        <v>56</v>
      </c>
      <c r="T20" s="35">
        <f>AVERAGE($T$9:$T$18)</f>
        <v>1.0075332004095938E-3</v>
      </c>
      <c r="U20">
        <v>0.99999990000000005</v>
      </c>
      <c r="W20">
        <f>'25'!$O$23</f>
        <v>0.60505770889361621</v>
      </c>
      <c r="Y20">
        <v>0.78710000000000002</v>
      </c>
      <c r="Z20">
        <f>'40'!$J$23</f>
        <v>0.77009268080377213</v>
      </c>
      <c r="AA20">
        <f>'40'!$O$23</f>
        <v>0.77094580443242089</v>
      </c>
      <c r="AB20">
        <f>ABS($Z$20-$AA$20)</f>
        <v>8.5312362864875535E-4</v>
      </c>
      <c r="AG20">
        <v>0.66830000000000001</v>
      </c>
      <c r="AH20">
        <f>'55'!$J$23</f>
        <v>0.8804420378968465</v>
      </c>
      <c r="AI20">
        <f>'55'!$O$23</f>
        <v>0.88048798004971185</v>
      </c>
      <c r="AJ20">
        <f>ABS($AH$20-$AI$20)</f>
        <v>4.5942152865352526E-5</v>
      </c>
      <c r="AM20" s="35" t="s">
        <v>56</v>
      </c>
      <c r="AN20" s="35">
        <f>AVERAGE($AN$9:$AN$18)</f>
        <v>2.7843725070074931E-3</v>
      </c>
      <c r="AO20" s="15">
        <v>0.94320000000000004</v>
      </c>
      <c r="AP20">
        <f>'70'!$J$23</f>
        <v>0.71364750010874289</v>
      </c>
      <c r="AQ20">
        <f>'70'!$O$23</f>
        <v>0.71873643451281399</v>
      </c>
      <c r="AR20">
        <f>ABS($AP$20-$AQ$20)</f>
        <v>5.0889344040710993E-3</v>
      </c>
    </row>
    <row r="21" spans="1:44" x14ac:dyDescent="0.2">
      <c r="A21">
        <v>0.99999990000000005</v>
      </c>
      <c r="C21">
        <f>'8'!$O$24</f>
        <v>0.52744447956549145</v>
      </c>
      <c r="I21">
        <v>0.99999990000000005</v>
      </c>
      <c r="K21">
        <f>'14'!$O$24</f>
        <v>0.54363014531469367</v>
      </c>
      <c r="M21">
        <v>0.99999990000000005</v>
      </c>
      <c r="O21">
        <f>'20'!$O$24</f>
        <v>0.56235806611703321</v>
      </c>
      <c r="W21" s="35" t="s">
        <v>56</v>
      </c>
      <c r="X21" s="35">
        <f>AVERAGE($X$9:$X$19)</f>
        <v>3.5440418554329696E-3</v>
      </c>
      <c r="Y21">
        <v>0.89610000000000001</v>
      </c>
      <c r="Z21">
        <f>'40'!$J$24</f>
        <v>0.68750629988658474</v>
      </c>
      <c r="AA21">
        <f>'40'!$O$24</f>
        <v>0.68740791633179499</v>
      </c>
      <c r="AB21">
        <f>ABS($Z$21-$AA$21)</f>
        <v>9.8383554789749361E-5</v>
      </c>
      <c r="AG21">
        <v>0.74519999999999997</v>
      </c>
      <c r="AH21">
        <f>'55'!$J$24</f>
        <v>0.82407794753742403</v>
      </c>
      <c r="AI21">
        <f>'55'!$O$24</f>
        <v>0.82404162914430867</v>
      </c>
      <c r="AJ21">
        <f>ABS($AH$21-$AI$21)</f>
        <v>3.6318393115353231E-5</v>
      </c>
      <c r="AO21">
        <v>0.99999990000000005</v>
      </c>
      <c r="AQ21">
        <f>'70'!$O$24</f>
        <v>0.68703821374403551</v>
      </c>
    </row>
    <row r="22" spans="1:44" x14ac:dyDescent="0.2">
      <c r="C22" s="35" t="s">
        <v>56</v>
      </c>
      <c r="D22" s="35">
        <f>AVERAGE($D$9:$D$20)</f>
        <v>7.8087976257845138E-3</v>
      </c>
      <c r="K22" s="35" t="s">
        <v>56</v>
      </c>
      <c r="L22" s="35">
        <f>AVERAGE($L$9:$L$20)</f>
        <v>7.2816716893312856E-3</v>
      </c>
      <c r="O22" s="35" t="s">
        <v>56</v>
      </c>
      <c r="P22" s="35">
        <f>AVERAGE($P$9:$P$20)</f>
        <v>5.6954922917027044E-3</v>
      </c>
      <c r="Y22">
        <v>0.92330000000000001</v>
      </c>
      <c r="Z22">
        <f>'40'!$J$25</f>
        <v>0.66539223600447905</v>
      </c>
      <c r="AA22">
        <f>'40'!$O$25</f>
        <v>0.66740928389799559</v>
      </c>
      <c r="AB22">
        <f>ABS($Z$22-$AA$22)</f>
        <v>2.0170478935165326E-3</v>
      </c>
      <c r="AG22" s="15">
        <v>0.84009999999999996</v>
      </c>
      <c r="AH22">
        <f>'55'!$J$25</f>
        <v>0.75321362597110209</v>
      </c>
      <c r="AI22">
        <f>'55'!$O$25</f>
        <v>0.75741384198727668</v>
      </c>
      <c r="AJ22">
        <f>ABS($AH$22-$AI$22)</f>
        <v>4.2002160161745961E-3</v>
      </c>
      <c r="AQ22" s="35" t="s">
        <v>56</v>
      </c>
      <c r="AR22" s="35">
        <f>AVERAGE($AR$9:$AR$20)</f>
        <v>1.0115079051629764E-2</v>
      </c>
    </row>
    <row r="23" spans="1:44" x14ac:dyDescent="0.2">
      <c r="Y23">
        <v>0.93959999999999999</v>
      </c>
      <c r="Z23">
        <f>'40'!$J$26</f>
        <v>0.65171931421544527</v>
      </c>
      <c r="AA23">
        <f>'40'!$O$26</f>
        <v>0.65558763283453747</v>
      </c>
      <c r="AB23">
        <f>ABS($Z$23-$AA$23)</f>
        <v>3.8683186190922036E-3</v>
      </c>
      <c r="AG23">
        <v>0.92020000000000002</v>
      </c>
      <c r="AH23">
        <f>'55'!$J$26</f>
        <v>0.69909360535977083</v>
      </c>
      <c r="AI23">
        <f>'55'!$O$26</f>
        <v>0.7037808326247661</v>
      </c>
      <c r="AJ23">
        <f>ABS($AH$23-$AI$23)</f>
        <v>4.687227264995264E-3</v>
      </c>
    </row>
    <row r="24" spans="1:44" x14ac:dyDescent="0.2">
      <c r="Y24">
        <v>0.99999990000000005</v>
      </c>
      <c r="AA24">
        <f>'40'!$O$27</f>
        <v>0.61284801326120564</v>
      </c>
      <c r="AG24">
        <v>0.99999990000000005</v>
      </c>
      <c r="AI24">
        <f>'55'!$O$27</f>
        <v>0.65271253233703563</v>
      </c>
    </row>
    <row r="25" spans="1:44" x14ac:dyDescent="0.2">
      <c r="AA25" s="35" t="s">
        <v>56</v>
      </c>
      <c r="AB25" s="35">
        <f>AVERAGE($AB$9:$AB$23)</f>
        <v>3.7506547596112866E-3</v>
      </c>
      <c r="AI25" s="35" t="s">
        <v>56</v>
      </c>
      <c r="AJ25" s="35">
        <f>AVERAGE($AJ$9:$AJ$23)</f>
        <v>1.4642871808674778E-3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8"/>
  <sheetViews>
    <sheetView zoomScale="75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2" max="2" width="15.85546875" customWidth="1"/>
    <col min="3" max="3" width="14.140625" customWidth="1"/>
    <col min="8" max="8" width="10.5703125" customWidth="1"/>
    <col min="13" max="13" width="10.28515625" customWidth="1"/>
    <col min="14" max="14" width="12.42578125" bestFit="1" customWidth="1"/>
    <col min="15" max="15" width="12.42578125" customWidth="1"/>
    <col min="17" max="17" width="9.7109375" customWidth="1"/>
    <col min="19" max="19" width="10.140625" customWidth="1"/>
    <col min="21" max="21" width="7.5703125" customWidth="1"/>
    <col min="22" max="22" width="9.5703125" customWidth="1"/>
    <col min="23" max="23" width="8.5703125" customWidth="1"/>
    <col min="27" max="28" width="10.42578125" customWidth="1"/>
    <col min="30" max="30" width="10.7109375" customWidth="1"/>
    <col min="32" max="32" width="10.42578125" customWidth="1"/>
  </cols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  <c r="Q1" t="s">
        <v>45</v>
      </c>
    </row>
    <row r="2" spans="1:24" x14ac:dyDescent="0.2">
      <c r="B2" t="s">
        <v>0</v>
      </c>
      <c r="C2">
        <v>6.8808400000000001</v>
      </c>
      <c r="D2">
        <v>1196.76</v>
      </c>
      <c r="E2">
        <v>219.161</v>
      </c>
      <c r="H2">
        <v>6.8518100000000004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  <c r="Q2" t="s">
        <v>47</v>
      </c>
    </row>
    <row r="3" spans="1:24" x14ac:dyDescent="0.2">
      <c r="B3" t="s">
        <v>6</v>
      </c>
      <c r="C3">
        <f>(LN(10^(C2-D2/(E2+55)))-LN(10^(C2-D2/(E2+15))))*-8.314/(1/(273.15+55)-1/(273.15+15))</f>
        <v>33744.544239110459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104.96182192001366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>
        <v>0.57992235754510624</v>
      </c>
      <c r="Q5" t="s">
        <v>9</v>
      </c>
    </row>
    <row r="6" spans="1:24" x14ac:dyDescent="0.2">
      <c r="M6" t="s">
        <v>51</v>
      </c>
      <c r="N6">
        <v>0.6646173317571008</v>
      </c>
    </row>
    <row r="7" spans="1:24" x14ac:dyDescent="0.2">
      <c r="N7">
        <f>10000*S28</f>
        <v>72005.048212367197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8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281.14999999999998</v>
      </c>
      <c r="C11">
        <f>10^(H2-I2/(J2+B10))</f>
        <v>42.861685105517829</v>
      </c>
      <c r="D11">
        <v>9.9999999999999994E-12</v>
      </c>
      <c r="E11">
        <f t="shared" ref="E11:E23" si="0">1-D11</f>
        <v>0.99999999999</v>
      </c>
      <c r="F11">
        <v>9.9999999999999998E-13</v>
      </c>
      <c r="G11">
        <f t="shared" ref="G11:G24" si="1">1-F11</f>
        <v>0.99999999999900002</v>
      </c>
      <c r="I11" s="1">
        <v>1</v>
      </c>
      <c r="J11">
        <f>H11/I11</f>
        <v>0</v>
      </c>
      <c r="K11">
        <f>EXP(M11)</f>
        <v>1.7579412214454835</v>
      </c>
      <c r="L11">
        <f>EXP(N11)</f>
        <v>1</v>
      </c>
      <c r="M11">
        <f>$B$13*($B$14*E11/($B$13*D11+$B$14*E11))^2</f>
        <v>0.56414336380384644</v>
      </c>
      <c r="N11">
        <f>$B$14*($B$13*D11/($B$13*D11+$B$14*E11))^2</f>
        <v>4.9750172944490671E-23</v>
      </c>
      <c r="O11">
        <f>K11/L11</f>
        <v>1.7579412214454835</v>
      </c>
      <c r="P11">
        <f>K11*D11*$C$24+L11*E11*$C$11</f>
        <v>42.861685105809514</v>
      </c>
      <c r="Q11">
        <f>ABS(C11-P11)</f>
        <v>2.9168489845687873E-10</v>
      </c>
      <c r="R11">
        <f>K11*D11*$C$24/P11</f>
        <v>1.6805103657485358E-11</v>
      </c>
      <c r="S11">
        <f>ABS(F11-R11)</f>
        <v>1.5805103657485358E-11</v>
      </c>
      <c r="T11">
        <f>D11*M11+E11*N11</f>
        <v>5.6414336380882145E-12</v>
      </c>
      <c r="U11" t="e">
        <f>D11*LN(H11)+E11*LN(I11)</f>
        <v>#NUM!</v>
      </c>
      <c r="V11">
        <f>T11/(D11*E11)</f>
        <v>0.56414336381446295</v>
      </c>
      <c r="X11">
        <f>ABS(ABS(V11)-ABS(W11))</f>
        <v>0.56414336381446295</v>
      </c>
    </row>
    <row r="12" spans="1:24" x14ac:dyDescent="0.2">
      <c r="C12">
        <v>43.49</v>
      </c>
      <c r="D12">
        <v>2.2100000000000002E-2</v>
      </c>
      <c r="E12">
        <f t="shared" si="0"/>
        <v>0.97789999999999999</v>
      </c>
      <c r="F12">
        <v>3.6299999999999999E-2</v>
      </c>
      <c r="G12">
        <f t="shared" si="1"/>
        <v>0.9637</v>
      </c>
      <c r="H12">
        <f t="shared" ref="H12:H19" si="2">F12*C12/(D12*$C$24)</f>
        <v>1.7434025303055047</v>
      </c>
      <c r="I12">
        <f t="shared" ref="I12:I19" si="3">G12*C12/(E12*$C$11)</f>
        <v>0.99992535115471692</v>
      </c>
      <c r="J12">
        <f t="shared" ref="J12:J24" si="4">H12/I12</f>
        <v>1.7435326830070046</v>
      </c>
      <c r="K12">
        <f t="shared" ref="K12:K24" si="5">EXP(M12)</f>
        <v>1.7199782313707495</v>
      </c>
      <c r="L12">
        <f t="shared" ref="L12:L24" si="6">EXP(N12)</f>
        <v>1.000244288334734</v>
      </c>
      <c r="M12">
        <f t="shared" ref="M12:M24" si="7">$B$13*($B$14*E12/($B$13*D12+$B$14*E12))^2</f>
        <v>0.54231163456547471</v>
      </c>
      <c r="N12">
        <f t="shared" ref="N12:N24" si="8">$B$14*($B$13*D12/($B$13*D12+$B$14*E12))^2</f>
        <v>2.4425850119721152E-4</v>
      </c>
      <c r="O12">
        <f t="shared" ref="O12:O24" si="9">K12/L12</f>
        <v>1.7195581633705415</v>
      </c>
      <c r="P12">
        <f t="shared" ref="P12:P19" si="10">K12*D12*$C$24+L12*E12*$C$11</f>
        <v>43.482156887391731</v>
      </c>
      <c r="Q12">
        <f t="shared" ref="Q12:Q19" si="11">ABS(C12-P12)</f>
        <v>7.8431126082705305E-3</v>
      </c>
      <c r="R12">
        <f t="shared" ref="R12:R19" si="12">K12*D12*$C$24/P12</f>
        <v>3.5818734050725734E-2</v>
      </c>
      <c r="S12">
        <f t="shared" ref="S12:S19" si="13">ABS(F12-R12)</f>
        <v>4.8126594927426491E-4</v>
      </c>
      <c r="T12">
        <f t="shared" ref="T12:T19" si="14">D12*M12+E12*N12</f>
        <v>1.2223947512217745E-2</v>
      </c>
      <c r="U12">
        <f t="shared" ref="U12:U19" si="15">D12*LN(H12)+E12*LN(I12)</f>
        <v>1.2211033018559107E-2</v>
      </c>
      <c r="V12">
        <f t="shared" ref="V12:V19" si="16">T12/(D12*E12)</f>
        <v>0.56561999890881443</v>
      </c>
      <c r="W12">
        <f t="shared" ref="W12:W19" si="17">U12/(D12*E12)</f>
        <v>0.56502242632583288</v>
      </c>
      <c r="X12">
        <f t="shared" ref="X12:X19" si="18">ABS(ABS(V12)-ABS(W12))</f>
        <v>5.9757258298154259E-4</v>
      </c>
    </row>
    <row r="13" spans="1:24" x14ac:dyDescent="0.2">
      <c r="A13" t="s">
        <v>33</v>
      </c>
      <c r="B13">
        <v>0.56414336381379659</v>
      </c>
      <c r="C13">
        <v>44.01</v>
      </c>
      <c r="D13">
        <v>4.1300000000000003E-2</v>
      </c>
      <c r="E13">
        <f t="shared" si="0"/>
        <v>0.9587</v>
      </c>
      <c r="F13">
        <v>6.5600000000000006E-2</v>
      </c>
      <c r="G13">
        <f t="shared" si="1"/>
        <v>0.93440000000000001</v>
      </c>
      <c r="H13">
        <f t="shared" si="2"/>
        <v>1.7060787325852602</v>
      </c>
      <c r="I13">
        <f t="shared" si="3"/>
        <v>1.0007652797110131</v>
      </c>
      <c r="J13">
        <f t="shared" si="4"/>
        <v>1.7047741035519512</v>
      </c>
      <c r="K13">
        <f t="shared" si="5"/>
        <v>1.6881005310128556</v>
      </c>
      <c r="L13">
        <f t="shared" si="6"/>
        <v>1.0008572919909502</v>
      </c>
      <c r="M13">
        <f t="shared" si="7"/>
        <v>0.52360395068759691</v>
      </c>
      <c r="N13">
        <f t="shared" si="8"/>
        <v>8.5692472605843875E-4</v>
      </c>
      <c r="O13">
        <f t="shared" si="9"/>
        <v>1.6866545755537339</v>
      </c>
      <c r="P13">
        <f t="shared" si="10"/>
        <v>43.983357898083895</v>
      </c>
      <c r="Q13">
        <f t="shared" si="11"/>
        <v>2.6642101916102945E-2</v>
      </c>
      <c r="R13">
        <f t="shared" si="12"/>
        <v>6.4948041991954558E-2</v>
      </c>
      <c r="S13">
        <f t="shared" si="13"/>
        <v>6.5195800804544735E-4</v>
      </c>
      <c r="T13">
        <f t="shared" si="14"/>
        <v>2.244637689826998E-2</v>
      </c>
      <c r="U13">
        <f t="shared" si="15"/>
        <v>2.2795753883488191E-2</v>
      </c>
      <c r="V13">
        <f t="shared" si="16"/>
        <v>0.56690915685284016</v>
      </c>
      <c r="W13">
        <f t="shared" si="17"/>
        <v>0.57573307587600819</v>
      </c>
      <c r="X13">
        <f t="shared" si="18"/>
        <v>8.8239190231680364E-3</v>
      </c>
    </row>
    <row r="14" spans="1:24" x14ac:dyDescent="0.2">
      <c r="A14" t="s">
        <v>34</v>
      </c>
      <c r="B14">
        <v>0.63971181626041218</v>
      </c>
      <c r="C14">
        <v>45.09</v>
      </c>
      <c r="D14">
        <v>8.5900000000000004E-2</v>
      </c>
      <c r="E14">
        <f t="shared" si="0"/>
        <v>0.91410000000000002</v>
      </c>
      <c r="F14">
        <v>0.127</v>
      </c>
      <c r="G14">
        <f t="shared" si="1"/>
        <v>0.873</v>
      </c>
      <c r="H14">
        <f t="shared" si="2"/>
        <v>1.6269893322266142</v>
      </c>
      <c r="I14">
        <f t="shared" si="3"/>
        <v>1.0046887256679711</v>
      </c>
      <c r="J14">
        <f t="shared" si="4"/>
        <v>1.6193964266344327</v>
      </c>
      <c r="K14">
        <f t="shared" si="5"/>
        <v>1.6178537368470476</v>
      </c>
      <c r="L14">
        <f t="shared" si="6"/>
        <v>1.003753648281398</v>
      </c>
      <c r="M14">
        <f t="shared" si="7"/>
        <v>0.48110041705146533</v>
      </c>
      <c r="N14">
        <f t="shared" si="8"/>
        <v>3.7466209236840702E-3</v>
      </c>
      <c r="O14">
        <f t="shared" si="9"/>
        <v>1.6118035930600068</v>
      </c>
      <c r="P14">
        <f t="shared" si="10"/>
        <v>45.021209711547726</v>
      </c>
      <c r="Q14">
        <f t="shared" si="11"/>
        <v>6.8790288452277082E-2</v>
      </c>
      <c r="R14">
        <f t="shared" si="12"/>
        <v>0.12647985149818519</v>
      </c>
      <c r="S14">
        <f t="shared" si="13"/>
        <v>5.2014850181480998E-4</v>
      </c>
      <c r="T14">
        <f t="shared" si="14"/>
        <v>4.475131201106048E-2</v>
      </c>
      <c r="U14">
        <f t="shared" si="15"/>
        <v>4.6086163797780161E-2</v>
      </c>
      <c r="V14">
        <f t="shared" si="16"/>
        <v>0.56992656391300844</v>
      </c>
      <c r="W14">
        <f t="shared" si="17"/>
        <v>0.58692645638432328</v>
      </c>
      <c r="X14">
        <f t="shared" si="18"/>
        <v>1.6999892471314837E-2</v>
      </c>
    </row>
    <row r="15" spans="1:24" x14ac:dyDescent="0.2">
      <c r="A15" s="4"/>
      <c r="C15">
        <v>47.09</v>
      </c>
      <c r="D15">
        <v>0.20269999999999999</v>
      </c>
      <c r="E15">
        <f t="shared" si="0"/>
        <v>0.79730000000000001</v>
      </c>
      <c r="F15">
        <v>0.25669999999999998</v>
      </c>
      <c r="G15">
        <f t="shared" si="1"/>
        <v>0.74330000000000007</v>
      </c>
      <c r="H15">
        <f t="shared" si="2"/>
        <v>1.4554413970315392</v>
      </c>
      <c r="I15">
        <f t="shared" si="3"/>
        <v>1.0242402013064731</v>
      </c>
      <c r="J15">
        <f t="shared" si="4"/>
        <v>1.4209961639613891</v>
      </c>
      <c r="K15">
        <f t="shared" si="5"/>
        <v>1.4570734913810937</v>
      </c>
      <c r="L15">
        <f t="shared" si="6"/>
        <v>1.021688062648328</v>
      </c>
      <c r="M15">
        <f t="shared" si="7"/>
        <v>0.37642996614765656</v>
      </c>
      <c r="N15">
        <f t="shared" si="8"/>
        <v>2.1456222734053312E-2</v>
      </c>
      <c r="O15">
        <f t="shared" si="9"/>
        <v>1.4261432081375196</v>
      </c>
      <c r="P15">
        <f t="shared" si="10"/>
        <v>47.016339353399616</v>
      </c>
      <c r="Q15">
        <f t="shared" si="11"/>
        <v>7.3660646600387736E-2</v>
      </c>
      <c r="R15">
        <f t="shared" si="12"/>
        <v>0.2573904804252255</v>
      </c>
      <c r="S15">
        <f t="shared" si="13"/>
        <v>6.9048042522551478E-4</v>
      </c>
      <c r="T15">
        <f t="shared" si="14"/>
        <v>9.3409400523990688E-2</v>
      </c>
      <c r="U15">
        <f t="shared" si="15"/>
        <v>9.517136761726426E-2</v>
      </c>
      <c r="V15">
        <f t="shared" si="16"/>
        <v>0.57798300965308169</v>
      </c>
      <c r="W15">
        <f t="shared" si="17"/>
        <v>0.58888541388399629</v>
      </c>
      <c r="X15">
        <f t="shared" si="18"/>
        <v>1.0902404230914597E-2</v>
      </c>
    </row>
    <row r="16" spans="1:24" x14ac:dyDescent="0.2">
      <c r="A16" s="4"/>
      <c r="C16">
        <v>48.21</v>
      </c>
      <c r="D16">
        <v>0.31900000000000001</v>
      </c>
      <c r="E16">
        <f t="shared" si="0"/>
        <v>0.68100000000000005</v>
      </c>
      <c r="F16">
        <v>0.3589</v>
      </c>
      <c r="G16">
        <f t="shared" si="1"/>
        <v>0.6411</v>
      </c>
      <c r="H16">
        <f t="shared" si="2"/>
        <v>1.3237739170069407</v>
      </c>
      <c r="I16">
        <f t="shared" si="3"/>
        <v>1.0588795359246725</v>
      </c>
      <c r="J16">
        <f t="shared" si="4"/>
        <v>1.2501647941009151</v>
      </c>
      <c r="K16">
        <f t="shared" si="5"/>
        <v>1.3264668383369378</v>
      </c>
      <c r="L16">
        <f t="shared" si="6"/>
        <v>1.0561907744268502</v>
      </c>
      <c r="M16">
        <f t="shared" si="7"/>
        <v>0.28251889491410481</v>
      </c>
      <c r="N16">
        <f t="shared" si="8"/>
        <v>5.4668826568634199E-2</v>
      </c>
      <c r="O16">
        <f t="shared" si="9"/>
        <v>1.2558970125986519</v>
      </c>
      <c r="P16">
        <f t="shared" si="10"/>
        <v>48.166716456591843</v>
      </c>
      <c r="Q16">
        <f t="shared" si="11"/>
        <v>4.3283543408158209E-2</v>
      </c>
      <c r="R16">
        <f t="shared" si="12"/>
        <v>0.35995327217588058</v>
      </c>
      <c r="S16">
        <f t="shared" si="13"/>
        <v>1.0532721758805819E-3</v>
      </c>
      <c r="T16">
        <f t="shared" si="14"/>
        <v>0.12735299837083933</v>
      </c>
      <c r="U16">
        <f t="shared" si="15"/>
        <v>0.12843615303285758</v>
      </c>
      <c r="V16">
        <f t="shared" si="16"/>
        <v>0.58623450840244762</v>
      </c>
      <c r="W16">
        <f t="shared" si="17"/>
        <v>0.59122051304258239</v>
      </c>
      <c r="X16">
        <f t="shared" si="18"/>
        <v>4.9860046401347669E-3</v>
      </c>
    </row>
    <row r="17" spans="1:24" x14ac:dyDescent="0.2">
      <c r="A17" s="4"/>
      <c r="C17">
        <v>48.7</v>
      </c>
      <c r="D17">
        <v>0.45350000000000001</v>
      </c>
      <c r="E17">
        <f t="shared" si="0"/>
        <v>0.54649999999999999</v>
      </c>
      <c r="F17">
        <v>0.46050000000000002</v>
      </c>
      <c r="G17">
        <f t="shared" si="1"/>
        <v>0.53949999999999998</v>
      </c>
      <c r="H17">
        <f t="shared" si="2"/>
        <v>1.2069109215134588</v>
      </c>
      <c r="I17">
        <f t="shared" si="3"/>
        <v>1.1216594060984828</v>
      </c>
      <c r="J17">
        <f t="shared" si="4"/>
        <v>1.0760048147873249</v>
      </c>
      <c r="K17">
        <f t="shared" si="5"/>
        <v>1.2069570069357842</v>
      </c>
      <c r="L17">
        <f t="shared" si="6"/>
        <v>1.1210079639486836</v>
      </c>
      <c r="M17">
        <f t="shared" si="7"/>
        <v>0.18810232170948266</v>
      </c>
      <c r="N17">
        <f t="shared" si="8"/>
        <v>0.11422824839010719</v>
      </c>
      <c r="O17">
        <f t="shared" si="9"/>
        <v>1.0766712153269191</v>
      </c>
      <c r="P17">
        <f t="shared" si="10"/>
        <v>48.685597018538836</v>
      </c>
      <c r="Q17">
        <f t="shared" si="11"/>
        <v>1.440298146116703E-2</v>
      </c>
      <c r="R17">
        <f t="shared" si="12"/>
        <v>0.46065382196872057</v>
      </c>
      <c r="S17">
        <f t="shared" si="13"/>
        <v>1.5382196872054665E-4</v>
      </c>
      <c r="T17">
        <f t="shared" si="14"/>
        <v>0.14773014064044396</v>
      </c>
      <c r="U17">
        <f t="shared" si="15"/>
        <v>0.1480303150650164</v>
      </c>
      <c r="V17">
        <f t="shared" si="16"/>
        <v>0.59607602409416627</v>
      </c>
      <c r="W17">
        <f t="shared" si="17"/>
        <v>0.59728719722889834</v>
      </c>
      <c r="X17">
        <f t="shared" si="18"/>
        <v>1.2111731347320687E-3</v>
      </c>
    </row>
    <row r="18" spans="1:24" x14ac:dyDescent="0.2">
      <c r="A18" s="1"/>
      <c r="C18">
        <v>47.99</v>
      </c>
      <c r="D18">
        <v>0.66790000000000005</v>
      </c>
      <c r="E18">
        <f t="shared" si="0"/>
        <v>0.33209999999999995</v>
      </c>
      <c r="F18">
        <v>0.61580000000000001</v>
      </c>
      <c r="G18">
        <f t="shared" si="1"/>
        <v>0.38419999999999999</v>
      </c>
      <c r="H18">
        <f t="shared" si="2"/>
        <v>1.0798735503036259</v>
      </c>
      <c r="I18">
        <f t="shared" si="3"/>
        <v>1.2952988905600025</v>
      </c>
      <c r="J18">
        <f t="shared" si="4"/>
        <v>0.83368677158115934</v>
      </c>
      <c r="K18">
        <f t="shared" si="5"/>
        <v>1.0760911056560243</v>
      </c>
      <c r="L18">
        <f t="shared" si="6"/>
        <v>1.2989791116581364</v>
      </c>
      <c r="M18">
        <f t="shared" si="7"/>
        <v>7.3335128839269972E-2</v>
      </c>
      <c r="N18">
        <f t="shared" si="8"/>
        <v>0.26157865723441248</v>
      </c>
      <c r="O18">
        <f t="shared" si="9"/>
        <v>0.82841294059178727</v>
      </c>
      <c r="P18">
        <f t="shared" si="10"/>
        <v>47.93887375285226</v>
      </c>
      <c r="Q18">
        <f t="shared" si="11"/>
        <v>5.1126247147742276E-2</v>
      </c>
      <c r="R18">
        <f t="shared" si="12"/>
        <v>0.61429749668271705</v>
      </c>
      <c r="S18">
        <f t="shared" si="13"/>
        <v>1.502503317282966E-3</v>
      </c>
      <c r="T18">
        <f t="shared" si="14"/>
        <v>0.13585080461929677</v>
      </c>
      <c r="U18">
        <f t="shared" si="15"/>
        <v>0.1372521178910153</v>
      </c>
      <c r="V18">
        <f t="shared" si="16"/>
        <v>0.61246587498447114</v>
      </c>
      <c r="W18">
        <f t="shared" si="17"/>
        <v>0.6187835155865683</v>
      </c>
      <c r="X18">
        <f t="shared" si="18"/>
        <v>6.3176406020971632E-3</v>
      </c>
    </row>
    <row r="19" spans="1:24" x14ac:dyDescent="0.2">
      <c r="A19" s="1"/>
      <c r="C19">
        <v>46.98</v>
      </c>
      <c r="D19">
        <v>0.76200000000000001</v>
      </c>
      <c r="E19">
        <f t="shared" si="0"/>
        <v>0.23799999999999999</v>
      </c>
      <c r="F19">
        <v>0.69289999999999996</v>
      </c>
      <c r="G19">
        <f t="shared" si="1"/>
        <v>0.30710000000000004</v>
      </c>
      <c r="H19">
        <f t="shared" si="2"/>
        <v>1.0426115108114791</v>
      </c>
      <c r="I19">
        <f t="shared" si="3"/>
        <v>1.4143165731212632</v>
      </c>
      <c r="J19">
        <f t="shared" si="4"/>
        <v>0.73718397325326801</v>
      </c>
      <c r="K19">
        <f t="shared" si="5"/>
        <v>1.0393442105122563</v>
      </c>
      <c r="L19">
        <f t="shared" si="6"/>
        <v>1.4174326871490264</v>
      </c>
      <c r="M19">
        <f t="shared" si="7"/>
        <v>3.8589947447275216E-2</v>
      </c>
      <c r="N19">
        <f t="shared" si="8"/>
        <v>0.34884726847213865</v>
      </c>
      <c r="O19">
        <f t="shared" si="9"/>
        <v>0.73325824918201676</v>
      </c>
      <c r="P19">
        <f t="shared" si="10"/>
        <v>46.909776002204609</v>
      </c>
      <c r="Q19">
        <f t="shared" si="11"/>
        <v>7.0223997795388016E-2</v>
      </c>
      <c r="R19">
        <f t="shared" si="12"/>
        <v>0.69176263533864135</v>
      </c>
      <c r="S19">
        <f t="shared" si="13"/>
        <v>1.1373646613586086E-3</v>
      </c>
      <c r="T19">
        <f t="shared" si="14"/>
        <v>0.11243118985119271</v>
      </c>
      <c r="U19">
        <f t="shared" si="15"/>
        <v>0.11429906861833725</v>
      </c>
      <c r="V19">
        <f t="shared" si="16"/>
        <v>0.61994745060098766</v>
      </c>
      <c r="W19">
        <f t="shared" si="17"/>
        <v>0.63024696518635859</v>
      </c>
      <c r="X19">
        <f t="shared" si="18"/>
        <v>1.0299514585370928E-2</v>
      </c>
    </row>
    <row r="20" spans="1:24" x14ac:dyDescent="0.2">
      <c r="A20" s="1"/>
      <c r="C20">
        <v>45.48</v>
      </c>
      <c r="D20">
        <v>0.84989999999999999</v>
      </c>
      <c r="E20">
        <f t="shared" si="0"/>
        <v>0.15010000000000001</v>
      </c>
      <c r="F20">
        <v>0.77910000000000001</v>
      </c>
      <c r="G20">
        <f t="shared" si="1"/>
        <v>0.22089999999999999</v>
      </c>
      <c r="H20">
        <f>F20*C20/(D20*$C$24)</f>
        <v>1.0175124786763365</v>
      </c>
      <c r="I20">
        <f>G20*C20/(E20*$C$11)</f>
        <v>1.5615871921405284</v>
      </c>
      <c r="J20">
        <f t="shared" si="4"/>
        <v>0.65158864250262738</v>
      </c>
      <c r="K20">
        <f t="shared" si="5"/>
        <v>1.015829407429222</v>
      </c>
      <c r="L20">
        <f t="shared" si="6"/>
        <v>1.5590041526032941</v>
      </c>
      <c r="M20">
        <f t="shared" si="7"/>
        <v>1.5705428984886881E-2</v>
      </c>
      <c r="N20">
        <f t="shared" si="8"/>
        <v>0.44404725370473735</v>
      </c>
      <c r="O20">
        <f t="shared" si="9"/>
        <v>0.65158864762030633</v>
      </c>
      <c r="P20">
        <f>K20*D20*$C$24+L20*E20*$C$11</f>
        <v>45.40477128086485</v>
      </c>
      <c r="Q20">
        <f>ABS(C20-P20)</f>
        <v>7.522871913514706E-2</v>
      </c>
      <c r="R20">
        <f>K20*D20*$C$24/P20</f>
        <v>0.7791000013517253</v>
      </c>
      <c r="S20">
        <f>ABS(F20-R20)</f>
        <v>1.3517252872574659E-9</v>
      </c>
      <c r="T20">
        <f>D20*M20+E20*N20</f>
        <v>7.9999536875336438E-2</v>
      </c>
      <c r="U20">
        <f>D20*LN(H20)+E20*LN(I20)</f>
        <v>8.1655011384136084E-2</v>
      </c>
      <c r="V20">
        <f>T20/(D20*E20)</f>
        <v>0.62710310532544877</v>
      </c>
      <c r="W20">
        <f>U20/(D20*E20)</f>
        <v>0.64008009551569367</v>
      </c>
      <c r="X20">
        <f>ABS(ABS(V20)-ABS(W20))</f>
        <v>1.2976990190244897E-2</v>
      </c>
    </row>
    <row r="21" spans="1:24" x14ac:dyDescent="0.2">
      <c r="A21" s="4"/>
      <c r="C21">
        <v>43.51</v>
      </c>
      <c r="D21">
        <v>0.92820000000000003</v>
      </c>
      <c r="E21">
        <f t="shared" si="0"/>
        <v>7.1799999999999975E-2</v>
      </c>
      <c r="F21">
        <v>0.87739999999999996</v>
      </c>
      <c r="G21">
        <f t="shared" si="1"/>
        <v>0.12260000000000004</v>
      </c>
      <c r="H21">
        <f>F21*C21/(D21*$C$24)</f>
        <v>1.0037812110666597</v>
      </c>
      <c r="I21">
        <f>G21*C21/(E21*$C$11)</f>
        <v>1.7333484159660966</v>
      </c>
      <c r="J21">
        <f t="shared" si="4"/>
        <v>0.57909950580085401</v>
      </c>
      <c r="K21">
        <f t="shared" si="5"/>
        <v>1.0036754545161233</v>
      </c>
      <c r="L21">
        <f t="shared" si="6"/>
        <v>1.7172023700746888</v>
      </c>
      <c r="M21">
        <f t="shared" si="7"/>
        <v>3.668716538213906E-3</v>
      </c>
      <c r="N21">
        <f t="shared" si="8"/>
        <v>0.54069643756454921</v>
      </c>
      <c r="O21">
        <f t="shared" si="9"/>
        <v>0.58448291943160369</v>
      </c>
      <c r="P21">
        <f>K21*D21*$C$24+L21*E21*$C$11</f>
        <v>43.456288925333432</v>
      </c>
      <c r="Q21">
        <f>ABS(C21-P21)</f>
        <v>5.3711074666566105E-2</v>
      </c>
      <c r="R21">
        <f>K21*D21*$C$24/P21</f>
        <v>0.87839189274701224</v>
      </c>
      <c r="S21">
        <f>ABS(F21-R21)</f>
        <v>9.9189274701227959E-4</v>
      </c>
      <c r="T21">
        <f>D21*M21+E21*N21</f>
        <v>4.2227306907904771E-2</v>
      </c>
      <c r="U21">
        <f>D21*LN(H21)+E21*LN(I21)</f>
        <v>4.2997053052467198E-2</v>
      </c>
      <c r="V21">
        <f>T21/(D21*E21)</f>
        <v>0.63361781043107934</v>
      </c>
      <c r="W21">
        <f>U21/(D21*E21)</f>
        <v>0.64516779792540646</v>
      </c>
      <c r="X21">
        <f>ABS(ABS(V21)-ABS(W21))</f>
        <v>1.1549987494327119E-2</v>
      </c>
    </row>
    <row r="22" spans="1:24" x14ac:dyDescent="0.2">
      <c r="C22">
        <v>42.48</v>
      </c>
      <c r="D22">
        <v>0.96179999999999999</v>
      </c>
      <c r="E22">
        <f t="shared" si="0"/>
        <v>3.8200000000000012E-2</v>
      </c>
      <c r="F22">
        <v>0.92969999999999997</v>
      </c>
      <c r="G22">
        <f t="shared" si="1"/>
        <v>7.0300000000000029E-2</v>
      </c>
      <c r="H22">
        <f>F22*C22/(D22*$C$24)</f>
        <v>1.0021586496888664</v>
      </c>
      <c r="I22">
        <f>G22*C22/(E22*$C$11)</f>
        <v>1.8239260614733435</v>
      </c>
      <c r="J22">
        <f t="shared" si="4"/>
        <v>0.54945135707931925</v>
      </c>
      <c r="K22">
        <f t="shared" si="5"/>
        <v>1.0010483355290112</v>
      </c>
      <c r="L22">
        <f t="shared" si="6"/>
        <v>1.7963580717616101</v>
      </c>
      <c r="M22">
        <f t="shared" si="7"/>
        <v>1.0477864090616313E-3</v>
      </c>
      <c r="N22">
        <f t="shared" si="8"/>
        <v>0.58576132181299623</v>
      </c>
      <c r="O22">
        <f t="shared" si="9"/>
        <v>0.55726547577862728</v>
      </c>
      <c r="P22">
        <f>K22*D22*$C$24+L22*E22*$C$11</f>
        <v>42.391106567332699</v>
      </c>
      <c r="Q22">
        <f>ABS(C22-P22)</f>
        <v>8.88934326672981E-2</v>
      </c>
      <c r="R22">
        <f>K22*D22*$C$24/P22</f>
        <v>0.93061736960187968</v>
      </c>
      <c r="S22">
        <f>ABS(F22-R22)</f>
        <v>9.1736960187971395E-4</v>
      </c>
      <c r="T22">
        <f>D22*M22+E22*N22</f>
        <v>2.338384346149194E-2</v>
      </c>
      <c r="U22">
        <f>D22*LN(H22)+E22*LN(I22)</f>
        <v>2.5031821344190845E-2</v>
      </c>
      <c r="V22">
        <f>T22/(D22*E22)</f>
        <v>0.63645508316899091</v>
      </c>
      <c r="W22">
        <f>U22/(D22*E22)</f>
        <v>0.68130929638338555</v>
      </c>
      <c r="X22">
        <f>ABS(ABS(V22)-ABS(W22))</f>
        <v>4.4854213214394645E-2</v>
      </c>
    </row>
    <row r="23" spans="1:24" x14ac:dyDescent="0.2">
      <c r="C23">
        <v>41.63</v>
      </c>
      <c r="D23">
        <v>0.98470000000000002</v>
      </c>
      <c r="E23">
        <f t="shared" si="0"/>
        <v>1.529999999999998E-2</v>
      </c>
      <c r="F23">
        <v>0.97019999999999995</v>
      </c>
      <c r="G23">
        <f t="shared" si="1"/>
        <v>2.9800000000000049E-2</v>
      </c>
      <c r="H23">
        <f>F23*C23/(D23*$C$24)</f>
        <v>1.001054347798715</v>
      </c>
      <c r="I23">
        <f>G23*C23/(E23*$C$11)</f>
        <v>1.8917424215647121</v>
      </c>
      <c r="J23">
        <f t="shared" si="4"/>
        <v>0.52917053420555826</v>
      </c>
      <c r="K23">
        <f t="shared" si="5"/>
        <v>1.0001691299489592</v>
      </c>
      <c r="L23">
        <f t="shared" si="6"/>
        <v>1.8547532303813816</v>
      </c>
      <c r="M23">
        <f t="shared" si="7"/>
        <v>1.6911564810194376E-4</v>
      </c>
      <c r="N23">
        <f t="shared" si="8"/>
        <v>0.617751657766198</v>
      </c>
      <c r="O23">
        <f t="shared" si="9"/>
        <v>0.53924646878404436</v>
      </c>
      <c r="P23">
        <f>K23*D23*$C$24+L23*E23*$C$11</f>
        <v>41.570027304330068</v>
      </c>
      <c r="Q23">
        <f>ABS(C23-P23)</f>
        <v>5.997269566993424E-2</v>
      </c>
      <c r="R23">
        <f>K23*D23*$C$24/P23</f>
        <v>0.97074052707726399</v>
      </c>
      <c r="S23">
        <f>ABS(F23-R23)</f>
        <v>5.4052707726404137E-4</v>
      </c>
      <c r="T23">
        <f>D23*M23+E23*N23</f>
        <v>9.6181285425088001E-3</v>
      </c>
      <c r="U23">
        <f>D23*LN(H23)+E23*LN(I23)</f>
        <v>1.0791393645534844E-2</v>
      </c>
      <c r="V23">
        <f>T23/(D23*E23)</f>
        <v>0.63840342485178869</v>
      </c>
      <c r="W23">
        <f>U23/(D23*E23)</f>
        <v>0.71627891348978312</v>
      </c>
      <c r="X23">
        <f>ABS(ABS(V23)-ABS(W23))</f>
        <v>7.7875488637994428E-2</v>
      </c>
    </row>
    <row r="24" spans="1:24" x14ac:dyDescent="0.2">
      <c r="A24" s="4"/>
      <c r="C24">
        <f>10^(C2-D2/(E2+B10))</f>
        <v>40.973785263727756</v>
      </c>
      <c r="D24">
        <v>0.99999990000000005</v>
      </c>
      <c r="E24">
        <f>1-D24</f>
        <v>9.9999999947364415E-8</v>
      </c>
      <c r="F24">
        <v>0.99999999999900002</v>
      </c>
      <c r="G24">
        <f t="shared" si="1"/>
        <v>9.999778782798785E-13</v>
      </c>
      <c r="H24">
        <v>1</v>
      </c>
      <c r="J24" t="e">
        <f t="shared" si="4"/>
        <v>#DIV/0!</v>
      </c>
      <c r="K24">
        <f t="shared" si="5"/>
        <v>1.0000000000000073</v>
      </c>
      <c r="L24">
        <f t="shared" si="6"/>
        <v>1.8959341480335654</v>
      </c>
      <c r="M24">
        <f t="shared" si="7"/>
        <v>7.2540283679371835E-15</v>
      </c>
      <c r="N24">
        <f t="shared" si="8"/>
        <v>0.63971167117985117</v>
      </c>
      <c r="O24">
        <f t="shared" si="9"/>
        <v>0.52744447956549145</v>
      </c>
      <c r="P24">
        <f>K24*D24*$C$24+L24*E24*$C$11</f>
        <v>40.97378929264277</v>
      </c>
      <c r="Q24">
        <f>ABS(C24-P24)</f>
        <v>4.0289150149419584E-6</v>
      </c>
      <c r="R24">
        <f>K24*D24*$C$24/P24</f>
        <v>0.99999980167093694</v>
      </c>
      <c r="S24">
        <f>ABS(F24-R24)</f>
        <v>1.9832806308350825E-7</v>
      </c>
      <c r="T24">
        <f>D24*M24+E24*N24</f>
        <v>6.3971174338341163E-8</v>
      </c>
      <c r="U24" t="e">
        <f>D24*LN(H24)+E24*LN(I24)</f>
        <v>#NUM!</v>
      </c>
      <c r="V24">
        <f>T24/(D24*E24)</f>
        <v>0.63971180769130831</v>
      </c>
      <c r="X24">
        <f>ABS(ABS(V24)-ABS(W24))</f>
        <v>0.63971180769130831</v>
      </c>
    </row>
    <row r="25" spans="1:24" x14ac:dyDescent="0.2">
      <c r="A25" s="4"/>
      <c r="P25" t="s">
        <v>10</v>
      </c>
      <c r="Q25">
        <f>AVERAGE(Q12:Q23)</f>
        <v>5.2814903460703277E-2</v>
      </c>
      <c r="S25">
        <f>AVERAGE(S12:S23)</f>
        <v>7.200504821236719E-4</v>
      </c>
    </row>
    <row r="26" spans="1:24" x14ac:dyDescent="0.2">
      <c r="A26" s="4"/>
      <c r="P26" t="s">
        <v>11</v>
      </c>
      <c r="Q26" s="7">
        <f>MAX(Q12:Q23)</f>
        <v>8.88934326672981E-2</v>
      </c>
      <c r="S26">
        <f>MAX(S12:S23)</f>
        <v>1.502503317282966E-3</v>
      </c>
    </row>
    <row r="27" spans="1:24" x14ac:dyDescent="0.2">
      <c r="A27" s="4"/>
    </row>
    <row r="28" spans="1:24" x14ac:dyDescent="0.2">
      <c r="S28">
        <f>10000*S25</f>
        <v>7.2005048212367191</v>
      </c>
    </row>
  </sheetData>
  <phoneticPr fontId="0" type="noConversion"/>
  <pageMargins left="0.75" right="0.75" top="1" bottom="1" header="0.5" footer="0.5"/>
  <pageSetup paperSize="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6"/>
  <sheetViews>
    <sheetView zoomScale="75" workbookViewId="0">
      <pane xSplit="2" topLeftCell="C1" activePane="topRight" state="frozen"/>
      <selection pane="topRight" activeCell="C10" sqref="C10:G23"/>
    </sheetView>
  </sheetViews>
  <sheetFormatPr defaultRowHeight="12.75" x14ac:dyDescent="0.2"/>
  <cols>
    <col min="2" max="2" width="15.85546875" customWidth="1"/>
    <col min="3" max="3" width="14.140625" customWidth="1"/>
    <col min="8" max="8" width="10.5703125" customWidth="1"/>
    <col min="17" max="17" width="9.7109375" customWidth="1"/>
    <col min="19" max="19" width="10.140625" customWidth="1"/>
    <col min="21" max="21" width="7.5703125" customWidth="1"/>
    <col min="22" max="22" width="9.5703125" customWidth="1"/>
    <col min="23" max="23" width="8.5703125" customWidth="1"/>
    <col min="27" max="28" width="10.42578125" customWidth="1"/>
    <col min="30" max="30" width="10.7109375" customWidth="1"/>
    <col min="32" max="32" width="10.42578125" customWidth="1"/>
  </cols>
  <sheetData>
    <row r="1" spans="1:24" ht="18" x14ac:dyDescent="0.25">
      <c r="A1" s="6"/>
      <c r="C1" t="s">
        <v>42</v>
      </c>
      <c r="H1" t="s">
        <v>43</v>
      </c>
    </row>
    <row r="2" spans="1:24" x14ac:dyDescent="0.2">
      <c r="B2" t="s">
        <v>0</v>
      </c>
      <c r="C2">
        <v>6.8807476143975599</v>
      </c>
      <c r="D2">
        <v>1196.76</v>
      </c>
      <c r="E2">
        <v>219.161</v>
      </c>
      <c r="H2">
        <v>6.8522954043405448</v>
      </c>
      <c r="I2">
        <v>1206.47</v>
      </c>
      <c r="J2">
        <v>223.136</v>
      </c>
      <c r="M2" t="s">
        <v>5</v>
      </c>
    </row>
    <row r="3" spans="1:24" x14ac:dyDescent="0.2">
      <c r="B3" t="s">
        <v>6</v>
      </c>
      <c r="C3">
        <f>(LN(10^(C2-D2/(E2+55)))-LN(10^(C2-D2/(E2+15))))*-8.314/(1/(273.15+55)-1/(273.15+15))</f>
        <v>33744.544239110459</v>
      </c>
      <c r="H3">
        <f>(LN(10^(H2-I2/(J2+55)))-LN(10^(H2-I2/(J2+15))))*-8.314/(1/(273.15+55)-1/(273.15+15))</f>
        <v>32972.434150153604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31</v>
      </c>
      <c r="Q5" t="s">
        <v>9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10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283.14999999999998</v>
      </c>
      <c r="C11">
        <f>10^(H2-I2/(J2+B10))</f>
        <v>47.569999904581103</v>
      </c>
      <c r="D11">
        <v>9.9999999999999994E-12</v>
      </c>
      <c r="E11">
        <f t="shared" ref="E11:E22" si="0">1-D11</f>
        <v>0.99999999999</v>
      </c>
      <c r="F11">
        <v>9.9999999999999998E-13</v>
      </c>
      <c r="G11">
        <f t="shared" ref="G11:G22" si="1">1-F11</f>
        <v>0.99999999999900002</v>
      </c>
      <c r="I11" s="1">
        <v>1</v>
      </c>
      <c r="J11">
        <f>H11/I11</f>
        <v>0</v>
      </c>
      <c r="K11">
        <f>EXP(M11)</f>
        <v>1.7662278408133285</v>
      </c>
      <c r="L11">
        <f>EXP(N11)</f>
        <v>1</v>
      </c>
      <c r="M11">
        <f>$B$13*($B$14*E11/($B$13*D11+$B$14*E11))^2</f>
        <v>0.5688461090431105</v>
      </c>
      <c r="N11">
        <f>$B$14*($B$13*D11/($B$13*D11+$B$14*E11))^2</f>
        <v>5.0734296835618936E-23</v>
      </c>
      <c r="O11">
        <f>K11/L11</f>
        <v>1.7662278408133285</v>
      </c>
      <c r="P11">
        <f t="shared" ref="P11:P22" si="2">K11*D11*$C$22+L11*E11*$C$11</f>
        <v>47.569999904909743</v>
      </c>
      <c r="Q11">
        <f t="shared" ref="Q11:Q22" si="3">ABS(C11-P11)</f>
        <v>3.2864022614376154E-10</v>
      </c>
      <c r="R11">
        <f t="shared" ref="R11:R22" si="4">K11*D11*$C$22/P11</f>
        <v>1.6908559143108661E-11</v>
      </c>
      <c r="S11">
        <f t="shared" ref="S11:S22" si="5">ABS(F11-R11)</f>
        <v>1.5908559143108662E-11</v>
      </c>
      <c r="T11">
        <f t="shared" ref="T11:T22" si="6">D11*M11+E11*N11</f>
        <v>5.6884610904818391E-12</v>
      </c>
      <c r="U11" t="e">
        <f t="shared" ref="U11:U22" si="7">D11*LN(H11)+E11*LN(I11)</f>
        <v>#NUM!</v>
      </c>
      <c r="V11">
        <f t="shared" ref="V11:V22" si="8">T11/(D11*E11)</f>
        <v>0.56884610905387245</v>
      </c>
      <c r="X11">
        <f t="shared" ref="X11:X22" si="9">ABS(ABS(V11)-ABS(W11))</f>
        <v>0.56884610905387245</v>
      </c>
    </row>
    <row r="12" spans="1:24" x14ac:dyDescent="0.2">
      <c r="C12">
        <v>49.42</v>
      </c>
      <c r="D12">
        <v>6.0999999999999999E-2</v>
      </c>
      <c r="E12">
        <f t="shared" si="0"/>
        <v>0.93900000000000006</v>
      </c>
      <c r="F12">
        <v>9.5299999999999996E-2</v>
      </c>
      <c r="G12">
        <f t="shared" si="1"/>
        <v>0.90470000000000006</v>
      </c>
      <c r="H12">
        <f>F12*C12/(D12*$C$22)</f>
        <v>1.6954023524582724</v>
      </c>
      <c r="I12">
        <f>G12*C12/(E12*$C$11)</f>
        <v>1.0009412526460681</v>
      </c>
      <c r="J12">
        <f t="shared" ref="J12:J22" si="10">H12/I12</f>
        <v>1.6938080511481977</v>
      </c>
      <c r="K12">
        <f t="shared" ref="K12:K22" si="11">EXP(M12)</f>
        <v>1.6623719720689711</v>
      </c>
      <c r="L12">
        <f t="shared" ref="L12:L22" si="12">EXP(N12)</f>
        <v>1.0019148040102239</v>
      </c>
      <c r="M12">
        <f t="shared" ref="M12:M22" si="13">$B$13*($B$14*E12/($B$13*D12+$B$14*E12))^2</f>
        <v>0.50824548130068326</v>
      </c>
      <c r="N12">
        <f t="shared" ref="N12:N22" si="14">$B$14*($B$13*D12/($B$13*D12+$B$14*E12))^2</f>
        <v>1.9129731098627163E-3</v>
      </c>
      <c r="O12">
        <f t="shared" ref="O12:O22" si="15">K12/L12</f>
        <v>1.6591949389461338</v>
      </c>
      <c r="P12">
        <f>K12*D12*$C$22+L12*E12*$C$11</f>
        <v>49.371730401479113</v>
      </c>
      <c r="Q12">
        <f>ABS(C12-P12)</f>
        <v>4.826959852088919E-2</v>
      </c>
      <c r="R12">
        <f>K12*D12*$C$22/P12</f>
        <v>9.3534691771246209E-2</v>
      </c>
      <c r="S12">
        <f>ABS(F12-R12)</f>
        <v>1.7653082287537869E-3</v>
      </c>
      <c r="T12">
        <f>D12*M12+E12*N12</f>
        <v>3.2799256109502767E-2</v>
      </c>
      <c r="U12">
        <f>D12*LN(H12)+E12*LN(I12)</f>
        <v>3.3086545952319593E-2</v>
      </c>
      <c r="V12">
        <f>T12/(D12*E12)</f>
        <v>0.57262270831374085</v>
      </c>
      <c r="W12">
        <f>U12/(D12*E12)</f>
        <v>0.57763833084236094</v>
      </c>
      <c r="X12">
        <f>ABS(ABS(V12)-ABS(W12))</f>
        <v>5.0156225286200895E-3</v>
      </c>
    </row>
    <row r="13" spans="1:24" x14ac:dyDescent="0.2">
      <c r="A13" t="s">
        <v>33</v>
      </c>
      <c r="B13">
        <v>0.56884610905325728</v>
      </c>
      <c r="C13">
        <v>52.34</v>
      </c>
      <c r="D13">
        <v>0.21490000000000001</v>
      </c>
      <c r="E13">
        <f t="shared" si="0"/>
        <v>0.78510000000000002</v>
      </c>
      <c r="F13">
        <v>0.27100000000000002</v>
      </c>
      <c r="G13">
        <f t="shared" si="1"/>
        <v>0.72899999999999998</v>
      </c>
      <c r="H13">
        <f>F13*C13/(D13*$C$22)</f>
        <v>1.4493509797115374</v>
      </c>
      <c r="I13">
        <f>G13*C13/(E13*$C$11)</f>
        <v>1.0216523039202217</v>
      </c>
      <c r="J13">
        <f t="shared" si="10"/>
        <v>1.4186342791477851</v>
      </c>
      <c r="K13">
        <f t="shared" si="11"/>
        <v>1.4441284084753161</v>
      </c>
      <c r="L13">
        <f t="shared" si="12"/>
        <v>1.0248620965196271</v>
      </c>
      <c r="M13">
        <f t="shared" si="13"/>
        <v>0.36750596205391589</v>
      </c>
      <c r="N13">
        <f t="shared" si="14"/>
        <v>2.455806355820481E-2</v>
      </c>
      <c r="O13">
        <f t="shared" si="15"/>
        <v>1.4090953440267655</v>
      </c>
      <c r="P13">
        <f>K13*D13*$C$22+L13*E13*$C$11</f>
        <v>52.408765854874304</v>
      </c>
      <c r="Q13">
        <f>ABS(C13-P13)</f>
        <v>6.8765854874300203E-2</v>
      </c>
      <c r="R13">
        <f>K13*D13*$C$22/P13</f>
        <v>0.26966918293045888</v>
      </c>
      <c r="S13">
        <f>ABS(F13-R13)</f>
        <v>1.3308170695411348E-3</v>
      </c>
      <c r="T13">
        <f>D13*M13+E13*N13</f>
        <v>9.8257566944933122E-2</v>
      </c>
      <c r="U13">
        <f>D13*LN(H13)+E13*LN(I13)</f>
        <v>9.6570599220713371E-2</v>
      </c>
      <c r="V13">
        <f>T13/(D13*E13)</f>
        <v>0.58237753392470548</v>
      </c>
      <c r="W13">
        <f>U13/(D13*E13)</f>
        <v>0.57237879150121074</v>
      </c>
      <c r="X13">
        <f>ABS(ABS(V13)-ABS(W13))</f>
        <v>9.9987424234947442E-3</v>
      </c>
    </row>
    <row r="14" spans="1:24" x14ac:dyDescent="0.2">
      <c r="A14" t="s">
        <v>34</v>
      </c>
      <c r="B14">
        <v>0.63780502730561262</v>
      </c>
      <c r="C14">
        <v>53.54</v>
      </c>
      <c r="D14">
        <v>0.31869999999999998</v>
      </c>
      <c r="E14">
        <f t="shared" si="0"/>
        <v>0.68130000000000002</v>
      </c>
      <c r="F14">
        <v>0.36</v>
      </c>
      <c r="G14">
        <f t="shared" si="1"/>
        <v>0.64</v>
      </c>
      <c r="H14">
        <f t="shared" ref="H14:H21" si="16">F14*C14/(D14*$C$22)</f>
        <v>1.3280235572852273</v>
      </c>
      <c r="I14">
        <f t="shared" ref="I14:I21" si="17">G14*C14/(E14*$C$11)</f>
        <v>1.0572721716715847</v>
      </c>
      <c r="J14">
        <f t="shared" si="10"/>
        <v>1.2560848501153445</v>
      </c>
      <c r="K14">
        <f t="shared" si="11"/>
        <v>1.327401415138485</v>
      </c>
      <c r="L14">
        <f t="shared" si="12"/>
        <v>1.0568304351104914</v>
      </c>
      <c r="M14">
        <f t="shared" si="13"/>
        <v>0.28322320782711907</v>
      </c>
      <c r="N14">
        <f t="shared" si="14"/>
        <v>5.5274273120986706E-2</v>
      </c>
      <c r="O14">
        <f t="shared" si="15"/>
        <v>1.2560211847037746</v>
      </c>
      <c r="P14">
        <f t="shared" si="2"/>
        <v>53.516654044018807</v>
      </c>
      <c r="Q14">
        <f t="shared" si="3"/>
        <v>2.3345955981191935E-2</v>
      </c>
      <c r="R14">
        <f t="shared" si="4"/>
        <v>0.35998832182516749</v>
      </c>
      <c r="S14">
        <f t="shared" si="5"/>
        <v>1.1678174832496779E-5</v>
      </c>
      <c r="T14">
        <f t="shared" si="6"/>
        <v>0.12792159861183108</v>
      </c>
      <c r="U14">
        <f t="shared" si="7"/>
        <v>0.12835564762824006</v>
      </c>
      <c r="V14">
        <f t="shared" si="8"/>
        <v>0.58914666778595348</v>
      </c>
      <c r="W14">
        <f t="shared" ref="W14:W21" si="18">U14/(D14*E14)</f>
        <v>0.59114569323941957</v>
      </c>
      <c r="X14">
        <f t="shared" si="9"/>
        <v>1.9990254534660856E-3</v>
      </c>
    </row>
    <row r="15" spans="1:24" x14ac:dyDescent="0.2">
      <c r="A15" s="4"/>
      <c r="C15">
        <v>53.77</v>
      </c>
      <c r="D15">
        <v>0.432</v>
      </c>
      <c r="E15">
        <f t="shared" si="0"/>
        <v>0.56800000000000006</v>
      </c>
      <c r="F15">
        <v>0.44529999999999997</v>
      </c>
      <c r="G15">
        <f t="shared" si="1"/>
        <v>0.55469999999999997</v>
      </c>
      <c r="H15">
        <f t="shared" si="16"/>
        <v>1.2170711267191627</v>
      </c>
      <c r="I15">
        <f t="shared" si="17"/>
        <v>1.1038669129491641</v>
      </c>
      <c r="J15">
        <f t="shared" si="10"/>
        <v>1.1025524113840453</v>
      </c>
      <c r="K15">
        <f t="shared" si="11"/>
        <v>1.2237840952055119</v>
      </c>
      <c r="L15">
        <f t="shared" si="12"/>
        <v>1.109808826138414</v>
      </c>
      <c r="M15">
        <f t="shared" si="13"/>
        <v>0.20194777572513928</v>
      </c>
      <c r="N15">
        <f t="shared" si="14"/>
        <v>0.1041877717870448</v>
      </c>
      <c r="O15">
        <f t="shared" si="15"/>
        <v>1.1026981101453981</v>
      </c>
      <c r="P15">
        <f t="shared" si="2"/>
        <v>54.062615176347343</v>
      </c>
      <c r="Q15">
        <f t="shared" si="3"/>
        <v>0.29261517634733991</v>
      </c>
      <c r="R15">
        <f t="shared" si="4"/>
        <v>0.44533263938160933</v>
      </c>
      <c r="S15">
        <f t="shared" si="5"/>
        <v>3.2639381609356199E-5</v>
      </c>
      <c r="T15">
        <f t="shared" si="6"/>
        <v>0.14642009348830162</v>
      </c>
      <c r="U15">
        <f t="shared" si="7"/>
        <v>0.14099462878314292</v>
      </c>
      <c r="V15">
        <f t="shared" si="8"/>
        <v>0.59671725632621619</v>
      </c>
      <c r="W15">
        <f t="shared" si="18"/>
        <v>0.57460643576854675</v>
      </c>
      <c r="X15">
        <f t="shared" si="9"/>
        <v>2.2110820557669442E-2</v>
      </c>
    </row>
    <row r="16" spans="1:24" x14ac:dyDescent="0.2">
      <c r="A16" s="4"/>
      <c r="C16">
        <v>54.11</v>
      </c>
      <c r="D16">
        <v>0.52459999999999996</v>
      </c>
      <c r="E16">
        <f t="shared" si="0"/>
        <v>0.47540000000000004</v>
      </c>
      <c r="F16">
        <v>0.51060000000000005</v>
      </c>
      <c r="G16">
        <f t="shared" si="1"/>
        <v>0.48939999999999995</v>
      </c>
      <c r="H16">
        <f t="shared" si="16"/>
        <v>1.1564770876921466</v>
      </c>
      <c r="I16">
        <f t="shared" si="17"/>
        <v>1.1709791735792463</v>
      </c>
      <c r="J16">
        <f t="shared" si="10"/>
        <v>0.98761541945893694</v>
      </c>
      <c r="K16">
        <f t="shared" si="11"/>
        <v>1.1554476222304342</v>
      </c>
      <c r="L16">
        <f t="shared" si="12"/>
        <v>1.169901177815218</v>
      </c>
      <c r="M16">
        <f t="shared" si="13"/>
        <v>0.14448782060965004</v>
      </c>
      <c r="N16">
        <f t="shared" si="14"/>
        <v>0.15691928183663381</v>
      </c>
      <c r="O16">
        <f t="shared" si="15"/>
        <v>0.98764549018424297</v>
      </c>
      <c r="P16">
        <f t="shared" si="2"/>
        <v>54.061027142969337</v>
      </c>
      <c r="Q16">
        <f t="shared" si="3"/>
        <v>4.8972857030662453E-2</v>
      </c>
      <c r="R16">
        <f t="shared" si="4"/>
        <v>0.51060760841276009</v>
      </c>
      <c r="S16">
        <f t="shared" si="5"/>
        <v>7.6084127600406504E-6</v>
      </c>
      <c r="T16">
        <f t="shared" si="6"/>
        <v>0.1503977372769581</v>
      </c>
      <c r="U16">
        <f t="shared" si="7"/>
        <v>0.15130278206186887</v>
      </c>
      <c r="V16">
        <f t="shared" si="8"/>
        <v>0.60305071779736141</v>
      </c>
      <c r="W16">
        <f t="shared" si="18"/>
        <v>0.60667968135134176</v>
      </c>
      <c r="X16">
        <f t="shared" si="9"/>
        <v>3.6289635539803466E-3</v>
      </c>
    </row>
    <row r="17" spans="1:24" x14ac:dyDescent="0.2">
      <c r="A17" s="4"/>
      <c r="C17">
        <v>53.54</v>
      </c>
      <c r="D17">
        <v>0.61170000000000002</v>
      </c>
      <c r="E17">
        <f t="shared" si="0"/>
        <v>0.38829999999999998</v>
      </c>
      <c r="F17">
        <v>0.57350000000000001</v>
      </c>
      <c r="G17">
        <f t="shared" si="1"/>
        <v>0.42649999999999999</v>
      </c>
      <c r="H17">
        <f t="shared" si="16"/>
        <v>1.1022504462511167</v>
      </c>
      <c r="I17">
        <f t="shared" si="17"/>
        <v>1.2362231191402278</v>
      </c>
      <c r="J17">
        <f t="shared" si="10"/>
        <v>0.8916274329327486</v>
      </c>
      <c r="K17">
        <f t="shared" si="11"/>
        <v>1.103345984781378</v>
      </c>
      <c r="L17">
        <f t="shared" si="12"/>
        <v>1.2431849731167166</v>
      </c>
      <c r="M17">
        <f t="shared" si="13"/>
        <v>9.8347367224346047E-2</v>
      </c>
      <c r="N17">
        <f t="shared" si="14"/>
        <v>0.21767661329686605</v>
      </c>
      <c r="O17">
        <f t="shared" si="15"/>
        <v>0.88751554164561974</v>
      </c>
      <c r="P17">
        <f t="shared" si="2"/>
        <v>53.699113622479125</v>
      </c>
      <c r="Q17">
        <f t="shared" si="3"/>
        <v>0.15911362247912564</v>
      </c>
      <c r="R17">
        <f t="shared" si="4"/>
        <v>0.57236900470014329</v>
      </c>
      <c r="S17">
        <f t="shared" si="5"/>
        <v>1.1309952998567185E-3</v>
      </c>
      <c r="T17">
        <f t="shared" si="6"/>
        <v>0.14468291347430556</v>
      </c>
      <c r="U17">
        <f t="shared" si="7"/>
        <v>0.14189464316159811</v>
      </c>
      <c r="V17">
        <f t="shared" si="8"/>
        <v>0.60913194288465478</v>
      </c>
      <c r="W17">
        <f t="shared" si="18"/>
        <v>0.59739299961842918</v>
      </c>
      <c r="X17">
        <f t="shared" si="9"/>
        <v>1.1738943266225599E-2</v>
      </c>
    </row>
    <row r="18" spans="1:24" x14ac:dyDescent="0.2">
      <c r="A18" s="1"/>
      <c r="C18">
        <v>52.3</v>
      </c>
      <c r="D18">
        <v>0.72560000000000002</v>
      </c>
      <c r="E18">
        <f t="shared" si="0"/>
        <v>0.27439999999999998</v>
      </c>
      <c r="F18">
        <v>0.66259999999999997</v>
      </c>
      <c r="G18">
        <f t="shared" si="1"/>
        <v>0.33740000000000003</v>
      </c>
      <c r="H18">
        <f t="shared" si="16"/>
        <v>1.0487278978622081</v>
      </c>
      <c r="I18">
        <f t="shared" si="17"/>
        <v>1.3518531257140389</v>
      </c>
      <c r="J18">
        <f t="shared" si="10"/>
        <v>0.77577059069066967</v>
      </c>
      <c r="K18">
        <f t="shared" si="11"/>
        <v>1.0517278070405016</v>
      </c>
      <c r="L18">
        <f t="shared" si="12"/>
        <v>1.3696129351626305</v>
      </c>
      <c r="M18">
        <f t="shared" si="13"/>
        <v>5.0434342282267085E-2</v>
      </c>
      <c r="N18">
        <f t="shared" si="14"/>
        <v>0.3145281708428026</v>
      </c>
      <c r="O18">
        <f t="shared" si="15"/>
        <v>0.76790148518538737</v>
      </c>
      <c r="P18">
        <f t="shared" si="2"/>
        <v>52.630950956980072</v>
      </c>
      <c r="Q18">
        <f t="shared" si="3"/>
        <v>0.33095095698007526</v>
      </c>
      <c r="R18">
        <f t="shared" si="4"/>
        <v>0.66031693972390948</v>
      </c>
      <c r="S18">
        <f t="shared" si="5"/>
        <v>2.2830602760904872E-3</v>
      </c>
      <c r="T18">
        <f t="shared" si="6"/>
        <v>0.12290168883927803</v>
      </c>
      <c r="U18">
        <f t="shared" si="7"/>
        <v>0.11724763386471074</v>
      </c>
      <c r="V18">
        <f t="shared" si="8"/>
        <v>0.61727184680014502</v>
      </c>
      <c r="W18">
        <f t="shared" si="18"/>
        <v>0.58887444242741271</v>
      </c>
      <c r="X18">
        <f t="shared" si="9"/>
        <v>2.8397404372732304E-2</v>
      </c>
    </row>
    <row r="19" spans="1:24" x14ac:dyDescent="0.2">
      <c r="A19" s="1"/>
      <c r="C19">
        <v>51.33</v>
      </c>
      <c r="D19">
        <v>0.80400000000000005</v>
      </c>
      <c r="E19">
        <f t="shared" si="0"/>
        <v>0.19599999999999995</v>
      </c>
      <c r="F19">
        <v>0.73119999999999996</v>
      </c>
      <c r="G19">
        <f t="shared" si="1"/>
        <v>0.26880000000000004</v>
      </c>
      <c r="H19">
        <f t="shared" si="16"/>
        <v>1.0250814462919384</v>
      </c>
      <c r="I19">
        <f t="shared" si="17"/>
        <v>1.4798282260380951</v>
      </c>
      <c r="J19">
        <f t="shared" si="10"/>
        <v>0.69270299637165444</v>
      </c>
      <c r="K19">
        <f t="shared" si="11"/>
        <v>1.0265583395065412</v>
      </c>
      <c r="L19">
        <f t="shared" si="12"/>
        <v>1.4819696233077209</v>
      </c>
      <c r="M19">
        <f t="shared" si="13"/>
        <v>2.6211789282781266E-2</v>
      </c>
      <c r="N19">
        <f t="shared" si="14"/>
        <v>0.39337202957052109</v>
      </c>
      <c r="O19">
        <f t="shared" si="15"/>
        <v>0.69269863792166497</v>
      </c>
      <c r="P19">
        <f t="shared" si="2"/>
        <v>51.40404099284693</v>
      </c>
      <c r="Q19">
        <f t="shared" si="3"/>
        <v>7.4040992846931886E-2</v>
      </c>
      <c r="R19">
        <f t="shared" si="4"/>
        <v>0.73119876333392797</v>
      </c>
      <c r="S19">
        <f t="shared" si="5"/>
        <v>1.2366660719909106E-6</v>
      </c>
      <c r="T19">
        <f t="shared" si="6"/>
        <v>9.8175196379178251E-2</v>
      </c>
      <c r="U19">
        <f t="shared" si="7"/>
        <v>9.6734243101683201E-2</v>
      </c>
      <c r="V19">
        <f t="shared" si="8"/>
        <v>0.62300231228537328</v>
      </c>
      <c r="W19">
        <f t="shared" si="18"/>
        <v>0.61385827940452853</v>
      </c>
      <c r="X19">
        <f t="shared" si="9"/>
        <v>9.1440328808447546E-3</v>
      </c>
    </row>
    <row r="20" spans="1:24" x14ac:dyDescent="0.2">
      <c r="A20" s="1"/>
      <c r="C20">
        <v>49.62</v>
      </c>
      <c r="D20">
        <v>0.88300000000000001</v>
      </c>
      <c r="E20">
        <f t="shared" si="0"/>
        <v>0.11699999999999999</v>
      </c>
      <c r="F20">
        <v>0.82</v>
      </c>
      <c r="G20">
        <f t="shared" si="1"/>
        <v>0.18000000000000005</v>
      </c>
      <c r="H20">
        <f t="shared" si="16"/>
        <v>1.0118517414761943</v>
      </c>
      <c r="I20">
        <f t="shared" si="17"/>
        <v>1.6047605989402152</v>
      </c>
      <c r="J20">
        <f t="shared" si="10"/>
        <v>0.63053127185726132</v>
      </c>
      <c r="K20">
        <f t="shared" si="11"/>
        <v>1.0095628667228886</v>
      </c>
      <c r="L20">
        <f t="shared" si="12"/>
        <v>1.6217041731977087</v>
      </c>
      <c r="M20">
        <f t="shared" si="13"/>
        <v>9.5174319410909081E-3</v>
      </c>
      <c r="N20">
        <f t="shared" si="14"/>
        <v>0.48347755508742252</v>
      </c>
      <c r="O20">
        <f t="shared" si="15"/>
        <v>0.62253207669325561</v>
      </c>
      <c r="P20">
        <f t="shared" si="2"/>
        <v>49.622262862252285</v>
      </c>
      <c r="Q20">
        <f t="shared" si="3"/>
        <v>2.2628622522873343E-3</v>
      </c>
      <c r="R20">
        <f t="shared" si="4"/>
        <v>0.8181077975691019</v>
      </c>
      <c r="S20">
        <f t="shared" si="5"/>
        <v>1.892202430898049E-3</v>
      </c>
      <c r="T20">
        <f t="shared" si="6"/>
        <v>6.49707663492117E-2</v>
      </c>
      <c r="U20">
        <f t="shared" si="7"/>
        <v>6.574158519280536E-2</v>
      </c>
      <c r="V20">
        <f t="shared" si="8"/>
        <v>0.6288852721318321</v>
      </c>
      <c r="W20">
        <f t="shared" si="18"/>
        <v>0.63634642189897839</v>
      </c>
      <c r="X20">
        <f t="shared" si="9"/>
        <v>7.4611497671462912E-3</v>
      </c>
    </row>
    <row r="21" spans="1:24" x14ac:dyDescent="0.2">
      <c r="A21" s="4"/>
      <c r="C21">
        <v>49.17</v>
      </c>
      <c r="D21">
        <v>0.89990000000000003</v>
      </c>
      <c r="E21">
        <f t="shared" si="0"/>
        <v>0.10009999999999997</v>
      </c>
      <c r="F21">
        <v>0.83819999999999995</v>
      </c>
      <c r="G21">
        <f t="shared" si="1"/>
        <v>0.16180000000000005</v>
      </c>
      <c r="H21">
        <f t="shared" si="16"/>
        <v>1.0056817930766568</v>
      </c>
      <c r="I21">
        <f t="shared" si="17"/>
        <v>1.6707501067270045</v>
      </c>
      <c r="J21">
        <f t="shared" si="10"/>
        <v>0.60193429826964673</v>
      </c>
      <c r="K21">
        <f t="shared" si="11"/>
        <v>1.007019276843317</v>
      </c>
      <c r="L21">
        <f t="shared" si="12"/>
        <v>1.6556546094743003</v>
      </c>
      <c r="M21">
        <f t="shared" si="13"/>
        <v>6.9947563966164346E-3</v>
      </c>
      <c r="N21">
        <f t="shared" si="14"/>
        <v>0.50419646505146509</v>
      </c>
      <c r="O21">
        <f t="shared" si="15"/>
        <v>0.60823028612414731</v>
      </c>
      <c r="P21">
        <f t="shared" si="2"/>
        <v>49.15293092906402</v>
      </c>
      <c r="Q21">
        <f t="shared" si="3"/>
        <v>1.7069070935981756E-2</v>
      </c>
      <c r="R21">
        <f t="shared" si="4"/>
        <v>0.83960620940772923</v>
      </c>
      <c r="S21">
        <f t="shared" si="5"/>
        <v>1.4062094077292864E-3</v>
      </c>
      <c r="T21">
        <f t="shared" si="6"/>
        <v>5.6764647432966768E-2</v>
      </c>
      <c r="U21">
        <f t="shared" si="7"/>
        <v>5.6477171141862903E-2</v>
      </c>
      <c r="V21">
        <f t="shared" si="8"/>
        <v>0.63015823417572303</v>
      </c>
      <c r="W21">
        <f t="shared" si="18"/>
        <v>0.62696688955963387</v>
      </c>
      <c r="X21">
        <f t="shared" si="9"/>
        <v>3.1913446160891645E-3</v>
      </c>
    </row>
    <row r="22" spans="1:24" x14ac:dyDescent="0.2">
      <c r="C22">
        <f>10^(C2-D2/(E2+B10))</f>
        <v>45.539999893753802</v>
      </c>
      <c r="D22">
        <v>0.99999990000000005</v>
      </c>
      <c r="E22">
        <f t="shared" si="0"/>
        <v>9.9999999947364415E-8</v>
      </c>
      <c r="F22">
        <v>0.99999999999900002</v>
      </c>
      <c r="G22">
        <f t="shared" si="1"/>
        <v>9.999778782798785E-13</v>
      </c>
      <c r="H22">
        <v>1</v>
      </c>
      <c r="J22" t="e">
        <f t="shared" si="10"/>
        <v>#DIV/0!</v>
      </c>
      <c r="K22">
        <f t="shared" si="11"/>
        <v>1.0000000000000071</v>
      </c>
      <c r="L22">
        <f t="shared" si="12"/>
        <v>1.8923224501022862</v>
      </c>
      <c r="M22">
        <f t="shared" si="13"/>
        <v>7.1512353884653278E-15</v>
      </c>
      <c r="N22">
        <f t="shared" si="14"/>
        <v>0.63780488428091109</v>
      </c>
      <c r="O22">
        <f t="shared" si="15"/>
        <v>0.5284511632496639</v>
      </c>
      <c r="P22">
        <f t="shared" si="2"/>
        <v>45.540004341532004</v>
      </c>
      <c r="Q22">
        <f t="shared" si="3"/>
        <v>4.4477782026319801E-6</v>
      </c>
      <c r="R22">
        <f t="shared" si="4"/>
        <v>0.99999980233252062</v>
      </c>
      <c r="S22">
        <f t="shared" si="5"/>
        <v>1.9766647940677728E-7</v>
      </c>
      <c r="T22">
        <f t="shared" si="6"/>
        <v>6.3780495545754553E-8</v>
      </c>
      <c r="U22" t="e">
        <f t="shared" si="7"/>
        <v>#NUM!</v>
      </c>
      <c r="V22">
        <f t="shared" si="8"/>
        <v>0.63780501957375979</v>
      </c>
      <c r="X22">
        <f t="shared" si="9"/>
        <v>0.63780501957375979</v>
      </c>
    </row>
    <row r="23" spans="1:24" x14ac:dyDescent="0.2">
      <c r="P23" t="s">
        <v>10</v>
      </c>
      <c r="Q23">
        <f>AVERAGE(Q12:Q21)</f>
        <v>0.10654069482487856</v>
      </c>
      <c r="S23">
        <f>AVERAGE(S12:S21)</f>
        <v>9.8617553481433469E-4</v>
      </c>
    </row>
    <row r="24" spans="1:24" x14ac:dyDescent="0.2">
      <c r="P24" t="s">
        <v>11</v>
      </c>
      <c r="Q24" s="7">
        <f>MAX(Q12:Q21)</f>
        <v>0.33095095698007526</v>
      </c>
      <c r="S24">
        <f>MAX(S12:S21)</f>
        <v>2.2830602760904872E-3</v>
      </c>
    </row>
    <row r="26" spans="1:24" x14ac:dyDescent="0.2">
      <c r="R26">
        <f>10000*S23</f>
        <v>9.8617553481433475</v>
      </c>
    </row>
  </sheetData>
  <phoneticPr fontId="0" type="noConversion"/>
  <pageMargins left="0.75" right="0.75" top="1" bottom="1" header="0.5" footer="0.5"/>
  <pageSetup paperSize="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8"/>
  <sheetViews>
    <sheetView tabSelected="1" zoomScale="75" workbookViewId="0">
      <pane xSplit="2" topLeftCell="C1" activePane="topRight" state="frozen"/>
      <selection pane="topRight" activeCell="T5" sqref="T5"/>
    </sheetView>
  </sheetViews>
  <sheetFormatPr defaultRowHeight="12.75" x14ac:dyDescent="0.2"/>
  <cols>
    <col min="2" max="2" width="15.85546875" customWidth="1"/>
    <col min="3" max="3" width="14.140625" customWidth="1"/>
    <col min="8" max="8" width="10.5703125" customWidth="1"/>
    <col min="17" max="17" width="9.7109375" customWidth="1"/>
    <col min="19" max="19" width="10.140625" customWidth="1"/>
    <col min="21" max="21" width="7.5703125" customWidth="1"/>
    <col min="22" max="22" width="9.5703125" customWidth="1"/>
    <col min="23" max="23" width="8.5703125" customWidth="1"/>
    <col min="27" max="28" width="10.42578125" customWidth="1"/>
    <col min="30" max="30" width="10.7109375" customWidth="1"/>
    <col min="32" max="32" width="10.42578125" customWidth="1"/>
  </cols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  <c r="Q1" t="s">
        <v>45</v>
      </c>
    </row>
    <row r="2" spans="1:24" x14ac:dyDescent="0.2">
      <c r="B2" t="s">
        <v>0</v>
      </c>
      <c r="C2">
        <v>6.8804071587731972</v>
      </c>
      <c r="D2">
        <v>1196.76</v>
      </c>
      <c r="E2">
        <v>219.161</v>
      </c>
      <c r="H2">
        <v>6.8514900000000001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  <c r="Q2" t="s">
        <v>47</v>
      </c>
    </row>
    <row r="3" spans="1:24" x14ac:dyDescent="0.2">
      <c r="B3" t="s">
        <v>6</v>
      </c>
      <c r="C3">
        <f>(LN(10^(C2-D2/(E2+55)))-LN(10^(C2-D2/(E2+15))))*-8.314/(1/(273.15+55)-1/(273.15+15))</f>
        <v>33744.544239110459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103.76581497864292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>
        <v>0.55101905720048239</v>
      </c>
      <c r="Q5" t="s">
        <v>9</v>
      </c>
    </row>
    <row r="6" spans="1:24" x14ac:dyDescent="0.2">
      <c r="M6" t="s">
        <v>51</v>
      </c>
      <c r="N6">
        <v>0.62503241770984697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14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287.14999999999998</v>
      </c>
      <c r="C11">
        <f>10^(H2-I2/(J2+B10))</f>
        <v>58.052214358477087</v>
      </c>
      <c r="D11">
        <v>9.9999999999999994E-12</v>
      </c>
      <c r="E11">
        <f t="shared" ref="E11:E24" si="0">1-D11</f>
        <v>0.99999999999</v>
      </c>
      <c r="F11">
        <v>9.9999999999999998E-13</v>
      </c>
      <c r="G11">
        <f t="shared" ref="G11:G24" si="1">1-F11</f>
        <v>0.99999999999900002</v>
      </c>
      <c r="I11" s="1">
        <v>1</v>
      </c>
      <c r="J11">
        <f>H11/I11</f>
        <v>0</v>
      </c>
      <c r="K11">
        <f>EXP(M11)</f>
        <v>1.7041599274931694</v>
      </c>
      <c r="L11">
        <f>EXP(N11)</f>
        <v>1</v>
      </c>
      <c r="M11">
        <f>$B$13*($B$14*E11/($B$13*D11+$B$14*E11))^2</f>
        <v>0.53307227816575564</v>
      </c>
      <c r="N11">
        <f>$B$14*($B$13*D11/($B$13*D11+$B$14*E11))^2</f>
        <v>4.6623863710430921E-23</v>
      </c>
      <c r="O11">
        <f>K11/L11</f>
        <v>1.7041599274931694</v>
      </c>
      <c r="P11">
        <f>K11*D11*$C$24+L11*E11*$C$11</f>
        <v>58.052214358849703</v>
      </c>
      <c r="Q11">
        <f>ABS(C11-P11)</f>
        <v>3.7261571605995414E-10</v>
      </c>
      <c r="R11">
        <f>K11*D11*$C$24/P11</f>
        <v>1.6418609631835308E-11</v>
      </c>
      <c r="S11">
        <f>ABS(F11-R11)</f>
        <v>1.5418609631835308E-11</v>
      </c>
      <c r="T11">
        <f>D11*M11+E11*N11</f>
        <v>5.3307227817041806E-12</v>
      </c>
      <c r="U11" t="e">
        <f>D11*LN(H11)+E11*LN(I11)</f>
        <v>#NUM!</v>
      </c>
      <c r="V11">
        <f>T11/(D11*E11)</f>
        <v>0.53307227817574887</v>
      </c>
      <c r="X11">
        <f>ABS(ABS(V11)-ABS(W11))</f>
        <v>0.53307227817574887</v>
      </c>
    </row>
    <row r="12" spans="1:24" x14ac:dyDescent="0.2">
      <c r="C12">
        <v>58.88</v>
      </c>
      <c r="D12">
        <v>2.2100000000000002E-2</v>
      </c>
      <c r="E12">
        <f t="shared" si="0"/>
        <v>0.97789999999999999</v>
      </c>
      <c r="F12">
        <v>3.56E-2</v>
      </c>
      <c r="G12">
        <f t="shared" si="1"/>
        <v>0.96440000000000003</v>
      </c>
      <c r="H12">
        <f>F12*C12/(D12*$C$24)</f>
        <v>1.6958237256610007</v>
      </c>
      <c r="I12">
        <f>G12*C12/(E12*$C$11)</f>
        <v>1.0002573854007761</v>
      </c>
      <c r="J12">
        <f t="shared" ref="J12:J24" si="2">H12/I12</f>
        <v>1.6953873577064666</v>
      </c>
      <c r="K12">
        <f t="shared" ref="K12:K24" si="3">EXP(M12)</f>
        <v>1.6696391855276056</v>
      </c>
      <c r="L12">
        <f t="shared" ref="L12:L24" si="4">EXP(N12)</f>
        <v>1.0002290089929606</v>
      </c>
      <c r="M12">
        <f t="shared" ref="M12:M24" si="5">$B$13*($B$14*E12/($B$13*D12+$B$14*E12))^2</f>
        <v>0.51260754651478446</v>
      </c>
      <c r="N12">
        <f t="shared" ref="N12:N24" si="6">$B$14*($B$13*D12/($B$13*D12+$B$14*E12))^2</f>
        <v>2.2898277440389604E-4</v>
      </c>
      <c r="O12">
        <f t="shared" ref="O12:O24" si="7">K12/L12</f>
        <v>1.6692569106834974</v>
      </c>
      <c r="P12">
        <f>K12*D12*$C$24+L12*E12*$C$11</f>
        <v>58.846023612984602</v>
      </c>
      <c r="Q12">
        <f>ABS(C12-P12)</f>
        <v>3.3976387015400178E-2</v>
      </c>
      <c r="R12">
        <f>K12*D12*$C$24/P12</f>
        <v>3.5070551822541693E-2</v>
      </c>
      <c r="S12">
        <f>ABS(F12-R12)</f>
        <v>5.294481774583068E-4</v>
      </c>
      <c r="T12">
        <f>D12*M12+E12*N12</f>
        <v>1.1552549033066309E-2</v>
      </c>
      <c r="U12">
        <f>D12*LN(H12)+E12*LN(I12)</f>
        <v>1.1924190782835149E-2</v>
      </c>
      <c r="V12">
        <f>T12/(D12*E12)</f>
        <v>0.53455340551372243</v>
      </c>
      <c r="W12">
        <f>U12/(D12*E12)</f>
        <v>0.55174981492963493</v>
      </c>
      <c r="X12">
        <f>ABS(ABS(V12)-ABS(W12))</f>
        <v>1.7196409415912495E-2</v>
      </c>
    </row>
    <row r="13" spans="1:24" x14ac:dyDescent="0.2">
      <c r="A13" t="s">
        <v>33</v>
      </c>
      <c r="B13">
        <v>0.53307227817508041</v>
      </c>
      <c r="C13">
        <v>59.54</v>
      </c>
      <c r="D13">
        <v>4.1300000000000003E-2</v>
      </c>
      <c r="E13">
        <f t="shared" si="0"/>
        <v>0.9587</v>
      </c>
      <c r="F13">
        <v>6.4500000000000002E-2</v>
      </c>
      <c r="G13">
        <f t="shared" si="1"/>
        <v>0.9355</v>
      </c>
      <c r="H13">
        <f t="shared" ref="H13:H20" si="8">F13*C13/(D13*$C$24)</f>
        <v>1.6625460165525074</v>
      </c>
      <c r="I13">
        <f t="shared" ref="I13:I20" si="9">G13*C13/(E13*$C$11)</f>
        <v>1.0008087749744947</v>
      </c>
      <c r="J13">
        <f t="shared" si="2"/>
        <v>1.6612024775610874</v>
      </c>
      <c r="K13">
        <f t="shared" si="3"/>
        <v>1.6406021376360225</v>
      </c>
      <c r="L13">
        <f t="shared" si="4"/>
        <v>1.0008038815724682</v>
      </c>
      <c r="M13">
        <f t="shared" si="5"/>
        <v>0.49506333154556997</v>
      </c>
      <c r="N13">
        <f t="shared" si="6"/>
        <v>8.0355863273548717E-4</v>
      </c>
      <c r="O13">
        <f t="shared" si="7"/>
        <v>1.6392843471573071</v>
      </c>
      <c r="P13">
        <f t="shared" ref="P13:P20" si="10">K13*D13*$C$24+L13*E13*$C$11</f>
        <v>59.489039296066558</v>
      </c>
      <c r="Q13">
        <f t="shared" ref="Q13:Q20" si="11">ABS(C13-P13)</f>
        <v>5.0960703933441209E-2</v>
      </c>
      <c r="R13">
        <f t="shared" ref="R13:R20" si="12">K13*D13*$C$24/P13</f>
        <v>6.3703191067214143E-2</v>
      </c>
      <c r="S13">
        <f t="shared" ref="S13:S20" si="13">ABS(F13-R13)</f>
        <v>7.9680893278585851E-4</v>
      </c>
      <c r="T13">
        <f t="shared" ref="T13:T20" si="14">D13*M13+E13*N13</f>
        <v>2.1216487254035552E-2</v>
      </c>
      <c r="U13">
        <f t="shared" ref="U13:U20" si="15">D13*LN(H13)+E13*LN(I13)</f>
        <v>2.1769921301790559E-2</v>
      </c>
      <c r="V13">
        <f t="shared" ref="V13:V20" si="16">T13/(D13*E13)</f>
        <v>0.5358468743118785</v>
      </c>
      <c r="W13">
        <f t="shared" ref="W13:W20" si="17">U13/(D13*E13)</f>
        <v>0.54982448997824585</v>
      </c>
      <c r="X13">
        <f t="shared" ref="X13:X20" si="18">ABS(ABS(V13)-ABS(W13))</f>
        <v>1.3977615666367349E-2</v>
      </c>
    </row>
    <row r="14" spans="1:24" x14ac:dyDescent="0.2">
      <c r="A14" t="s">
        <v>34</v>
      </c>
      <c r="B14">
        <v>0.60948628265638094</v>
      </c>
      <c r="C14">
        <v>60.95</v>
      </c>
      <c r="D14" s="15">
        <v>8.5900000000000004E-2</v>
      </c>
      <c r="E14">
        <f t="shared" si="0"/>
        <v>0.91410000000000002</v>
      </c>
      <c r="F14">
        <v>0.12529999999999999</v>
      </c>
      <c r="G14">
        <f t="shared" si="1"/>
        <v>0.87470000000000003</v>
      </c>
      <c r="H14">
        <f t="shared" si="8"/>
        <v>1.5895961364109885</v>
      </c>
      <c r="I14">
        <f t="shared" si="9"/>
        <v>1.0046628359106642</v>
      </c>
      <c r="J14">
        <f t="shared" si="2"/>
        <v>1.5822185111188261</v>
      </c>
      <c r="K14">
        <f t="shared" si="3"/>
        <v>1.576449673182172</v>
      </c>
      <c r="L14">
        <f t="shared" si="4"/>
        <v>1.0035217892525645</v>
      </c>
      <c r="M14">
        <f t="shared" si="5"/>
        <v>0.45517527636127852</v>
      </c>
      <c r="N14">
        <f t="shared" si="6"/>
        <v>3.5156022746944339E-3</v>
      </c>
      <c r="O14">
        <f t="shared" si="7"/>
        <v>1.570917233751677</v>
      </c>
      <c r="P14">
        <f t="shared" si="10"/>
        <v>60.826289058383914</v>
      </c>
      <c r="Q14">
        <f t="shared" si="11"/>
        <v>0.12371094161608909</v>
      </c>
      <c r="R14">
        <f t="shared" si="12"/>
        <v>0.12451646188386478</v>
      </c>
      <c r="S14">
        <f t="shared" si="13"/>
        <v>7.8353811613521285E-4</v>
      </c>
      <c r="T14">
        <f t="shared" si="14"/>
        <v>4.2313168278732008E-2</v>
      </c>
      <c r="U14">
        <f t="shared" si="15"/>
        <v>4.4065322318825401E-2</v>
      </c>
      <c r="V14">
        <f t="shared" si="16"/>
        <v>0.53887578981841722</v>
      </c>
      <c r="W14">
        <f t="shared" si="17"/>
        <v>0.56119019998073638</v>
      </c>
      <c r="X14">
        <f t="shared" si="18"/>
        <v>2.2314410162319165E-2</v>
      </c>
    </row>
    <row r="15" spans="1:24" x14ac:dyDescent="0.2">
      <c r="A15" s="4"/>
      <c r="B15">
        <v>0</v>
      </c>
      <c r="C15">
        <v>63.53</v>
      </c>
      <c r="D15">
        <v>0.20269999999999999</v>
      </c>
      <c r="E15">
        <f t="shared" si="0"/>
        <v>0.79730000000000001</v>
      </c>
      <c r="F15">
        <v>0.25509999999999999</v>
      </c>
      <c r="G15">
        <f t="shared" si="1"/>
        <v>0.74490000000000001</v>
      </c>
      <c r="H15">
        <f t="shared" si="8"/>
        <v>1.4295216814763969</v>
      </c>
      <c r="I15">
        <f t="shared" si="9"/>
        <v>1.022436335907922</v>
      </c>
      <c r="J15">
        <f t="shared" si="2"/>
        <v>1.3981522675511955</v>
      </c>
      <c r="K15">
        <f t="shared" si="3"/>
        <v>1.4287077298125486</v>
      </c>
      <c r="L15">
        <f t="shared" si="4"/>
        <v>1.020373319419269</v>
      </c>
      <c r="M15">
        <f t="shared" si="5"/>
        <v>0.35677035025618886</v>
      </c>
      <c r="N15">
        <f t="shared" si="6"/>
        <v>2.0168559765382049E-2</v>
      </c>
      <c r="O15">
        <f t="shared" si="7"/>
        <v>1.4001813871668825</v>
      </c>
      <c r="P15">
        <f t="shared" si="10"/>
        <v>63.425285439933376</v>
      </c>
      <c r="Q15">
        <f t="shared" si="11"/>
        <v>0.10471456006662549</v>
      </c>
      <c r="R15">
        <f t="shared" si="12"/>
        <v>0.25537567720351495</v>
      </c>
      <c r="S15">
        <f t="shared" si="13"/>
        <v>2.7567720351495684E-4</v>
      </c>
      <c r="T15">
        <f t="shared" si="14"/>
        <v>8.8397742697868584E-2</v>
      </c>
      <c r="U15">
        <f t="shared" si="15"/>
        <v>9.0123564229764794E-2</v>
      </c>
      <c r="V15">
        <f t="shared" si="16"/>
        <v>0.54697271457095542</v>
      </c>
      <c r="W15">
        <f t="shared" si="17"/>
        <v>0.5576514633642663</v>
      </c>
      <c r="X15">
        <f t="shared" si="18"/>
        <v>1.0678748793310877E-2</v>
      </c>
    </row>
    <row r="16" spans="1:24" x14ac:dyDescent="0.2">
      <c r="A16" s="4"/>
      <c r="B16">
        <v>0</v>
      </c>
      <c r="C16">
        <v>65.05</v>
      </c>
      <c r="D16">
        <v>0.31900000000000001</v>
      </c>
      <c r="E16">
        <f t="shared" si="0"/>
        <v>0.68100000000000005</v>
      </c>
      <c r="F16">
        <v>0.35820000000000002</v>
      </c>
      <c r="G16">
        <f t="shared" si="1"/>
        <v>0.64179999999999993</v>
      </c>
      <c r="H16">
        <f t="shared" si="8"/>
        <v>1.3059825700023744</v>
      </c>
      <c r="I16">
        <f t="shared" si="9"/>
        <v>1.0560418068898105</v>
      </c>
      <c r="J16">
        <f t="shared" si="2"/>
        <v>1.2366769586979458</v>
      </c>
      <c r="K16">
        <f t="shared" si="3"/>
        <v>1.3076684460453041</v>
      </c>
      <c r="L16">
        <f t="shared" si="4"/>
        <v>1.052828578677891</v>
      </c>
      <c r="M16">
        <f t="shared" si="5"/>
        <v>0.26824573928637185</v>
      </c>
      <c r="N16">
        <f t="shared" si="6"/>
        <v>5.148042662121842E-2</v>
      </c>
      <c r="O16">
        <f t="shared" si="7"/>
        <v>1.2420525739217991</v>
      </c>
      <c r="P16">
        <f t="shared" si="10"/>
        <v>64.953048500154694</v>
      </c>
      <c r="Q16">
        <f t="shared" si="11"/>
        <v>9.6951499845303601E-2</v>
      </c>
      <c r="R16">
        <f t="shared" si="12"/>
        <v>0.35919774949303573</v>
      </c>
      <c r="S16">
        <f t="shared" si="13"/>
        <v>9.9774949303571558E-4</v>
      </c>
      <c r="T16">
        <f t="shared" si="14"/>
        <v>0.12062856136140238</v>
      </c>
      <c r="U16">
        <f t="shared" si="15"/>
        <v>0.12229227774830975</v>
      </c>
      <c r="V16">
        <f t="shared" si="16"/>
        <v>0.55528041171890119</v>
      </c>
      <c r="W16">
        <f t="shared" si="17"/>
        <v>0.56293887261637987</v>
      </c>
      <c r="X16">
        <f t="shared" si="18"/>
        <v>7.6584608974786805E-3</v>
      </c>
    </row>
    <row r="17" spans="1:24" x14ac:dyDescent="0.2">
      <c r="A17" s="4"/>
      <c r="C17">
        <v>65.760000000000005</v>
      </c>
      <c r="D17">
        <v>0.45350000000000001</v>
      </c>
      <c r="E17">
        <f t="shared" si="0"/>
        <v>0.54649999999999999</v>
      </c>
      <c r="F17">
        <v>0.46129999999999999</v>
      </c>
      <c r="G17">
        <f t="shared" si="1"/>
        <v>0.53869999999999996</v>
      </c>
      <c r="H17">
        <f t="shared" si="8"/>
        <v>1.1959778850878693</v>
      </c>
      <c r="I17">
        <f t="shared" si="9"/>
        <v>1.1166056564833973</v>
      </c>
      <c r="J17">
        <f t="shared" si="2"/>
        <v>1.0710834914220697</v>
      </c>
      <c r="K17">
        <f t="shared" si="3"/>
        <v>1.1960003342402306</v>
      </c>
      <c r="L17">
        <f t="shared" si="4"/>
        <v>1.1138219936207869</v>
      </c>
      <c r="M17">
        <f t="shared" si="5"/>
        <v>0.1789829349934767</v>
      </c>
      <c r="N17">
        <f t="shared" si="6"/>
        <v>0.10779733845071747</v>
      </c>
      <c r="O17">
        <f t="shared" si="7"/>
        <v>1.0737804973237242</v>
      </c>
      <c r="P17">
        <f t="shared" si="10"/>
        <v>65.672256212039173</v>
      </c>
      <c r="Q17">
        <f t="shared" si="11"/>
        <v>8.7743787960832265E-2</v>
      </c>
      <c r="R17">
        <f t="shared" si="12"/>
        <v>0.46192500693257532</v>
      </c>
      <c r="S17">
        <f t="shared" si="13"/>
        <v>6.250069325753338E-4</v>
      </c>
      <c r="T17">
        <f t="shared" si="14"/>
        <v>0.14008000648285879</v>
      </c>
      <c r="U17">
        <f t="shared" si="15"/>
        <v>0.14143560252019124</v>
      </c>
      <c r="V17">
        <f t="shared" si="16"/>
        <v>0.56520851437224062</v>
      </c>
      <c r="W17">
        <f t="shared" si="17"/>
        <v>0.57067820588345097</v>
      </c>
      <c r="X17">
        <f t="shared" si="18"/>
        <v>5.4696915112103506E-3</v>
      </c>
    </row>
    <row r="18" spans="1:24" x14ac:dyDescent="0.2">
      <c r="A18" s="1"/>
      <c r="C18">
        <v>64.84</v>
      </c>
      <c r="D18">
        <v>0.66790000000000005</v>
      </c>
      <c r="E18">
        <f t="shared" si="0"/>
        <v>0.33209999999999995</v>
      </c>
      <c r="F18">
        <v>0.61929999999999996</v>
      </c>
      <c r="G18">
        <f t="shared" si="1"/>
        <v>0.38070000000000004</v>
      </c>
      <c r="H18">
        <f t="shared" si="8"/>
        <v>1.0749489111639714</v>
      </c>
      <c r="I18">
        <f t="shared" si="9"/>
        <v>1.2803780408585057</v>
      </c>
      <c r="J18">
        <f t="shared" si="2"/>
        <v>0.83955587870220572</v>
      </c>
      <c r="K18">
        <f t="shared" si="3"/>
        <v>1.0725403543992034</v>
      </c>
      <c r="L18">
        <f t="shared" si="4"/>
        <v>1.281123343854168</v>
      </c>
      <c r="M18">
        <f t="shared" si="5"/>
        <v>7.0029997591620458E-2</v>
      </c>
      <c r="N18">
        <f t="shared" si="6"/>
        <v>0.24773730544100961</v>
      </c>
      <c r="O18">
        <f t="shared" si="7"/>
        <v>0.83718742582001693</v>
      </c>
      <c r="P18">
        <f t="shared" si="10"/>
        <v>64.764395604954601</v>
      </c>
      <c r="Q18">
        <f t="shared" si="11"/>
        <v>7.5604395045402839E-2</v>
      </c>
      <c r="R18">
        <f t="shared" si="12"/>
        <v>0.61863371733224681</v>
      </c>
      <c r="S18">
        <f t="shared" si="13"/>
        <v>6.6628266775314859E-4</v>
      </c>
      <c r="T18">
        <f t="shared" si="14"/>
        <v>0.12904659452840259</v>
      </c>
      <c r="U18">
        <f t="shared" si="15"/>
        <v>0.13035152878388473</v>
      </c>
      <c r="V18">
        <f t="shared" si="16"/>
        <v>0.58178996917312098</v>
      </c>
      <c r="W18">
        <f t="shared" si="17"/>
        <v>0.58767309737998585</v>
      </c>
      <c r="X18">
        <f t="shared" si="18"/>
        <v>5.8831282068648738E-3</v>
      </c>
    </row>
    <row r="19" spans="1:24" x14ac:dyDescent="0.2">
      <c r="A19" s="1"/>
      <c r="C19">
        <v>63.53</v>
      </c>
      <c r="D19">
        <v>0.76200000000000001</v>
      </c>
      <c r="E19">
        <f t="shared" si="0"/>
        <v>0.23799999999999999</v>
      </c>
      <c r="F19">
        <v>0.69750000000000001</v>
      </c>
      <c r="G19">
        <f t="shared" si="1"/>
        <v>0.30249999999999999</v>
      </c>
      <c r="H19">
        <f t="shared" si="8"/>
        <v>1.0397364693203417</v>
      </c>
      <c r="I19">
        <f t="shared" si="9"/>
        <v>1.3909402898384893</v>
      </c>
      <c r="J19">
        <f t="shared" si="2"/>
        <v>0.74750618478459052</v>
      </c>
      <c r="K19">
        <f t="shared" si="3"/>
        <v>1.0376007570211296</v>
      </c>
      <c r="L19">
        <f t="shared" si="4"/>
        <v>1.3922611071065789</v>
      </c>
      <c r="M19">
        <f t="shared" si="5"/>
        <v>3.691108360842929E-2</v>
      </c>
      <c r="N19">
        <f t="shared" si="6"/>
        <v>0.33092912126625396</v>
      </c>
      <c r="O19">
        <f t="shared" si="7"/>
        <v>0.74526304852219094</v>
      </c>
      <c r="P19">
        <f t="shared" si="10"/>
        <v>63.457227779205063</v>
      </c>
      <c r="Q19">
        <f t="shared" si="11"/>
        <v>7.2772220794938391E-2</v>
      </c>
      <c r="R19">
        <f t="shared" si="12"/>
        <v>0.69686551637083272</v>
      </c>
      <c r="S19">
        <f t="shared" si="13"/>
        <v>6.3448362916729284E-4</v>
      </c>
      <c r="T19">
        <f t="shared" si="14"/>
        <v>0.10688737657099155</v>
      </c>
      <c r="U19">
        <f t="shared" si="15"/>
        <v>0.10822830870963139</v>
      </c>
      <c r="V19">
        <f t="shared" si="16"/>
        <v>0.58937877197882371</v>
      </c>
      <c r="W19">
        <f t="shared" si="17"/>
        <v>0.59677269409135292</v>
      </c>
      <c r="X19">
        <f t="shared" si="18"/>
        <v>7.3939221125292054E-3</v>
      </c>
    </row>
    <row r="20" spans="1:24" x14ac:dyDescent="0.2">
      <c r="A20" s="1"/>
      <c r="C20">
        <v>61.64</v>
      </c>
      <c r="D20">
        <v>0.84989999999999999</v>
      </c>
      <c r="E20">
        <f t="shared" si="0"/>
        <v>0.15010000000000001</v>
      </c>
      <c r="F20">
        <v>0.78410000000000002</v>
      </c>
      <c r="G20">
        <f t="shared" si="1"/>
        <v>0.21589999999999998</v>
      </c>
      <c r="H20">
        <f t="shared" si="8"/>
        <v>1.0167669852056052</v>
      </c>
      <c r="I20">
        <f t="shared" si="9"/>
        <v>1.5272698905126547</v>
      </c>
      <c r="J20">
        <f t="shared" si="2"/>
        <v>0.66574152448216573</v>
      </c>
      <c r="K20">
        <f t="shared" si="3"/>
        <v>1.0151594619474229</v>
      </c>
      <c r="L20">
        <f t="shared" si="4"/>
        <v>1.5248552441152432</v>
      </c>
      <c r="M20">
        <f t="shared" si="5"/>
        <v>1.5045705520914098E-2</v>
      </c>
      <c r="N20">
        <f t="shared" si="6"/>
        <v>0.42189948366236329</v>
      </c>
      <c r="O20">
        <f t="shared" si="7"/>
        <v>0.66574152914852069</v>
      </c>
      <c r="P20">
        <f t="shared" si="10"/>
        <v>61.542546178455886</v>
      </c>
      <c r="Q20">
        <f t="shared" si="11"/>
        <v>9.7453821544114305E-2</v>
      </c>
      <c r="R20">
        <f t="shared" si="12"/>
        <v>0.78410000118657786</v>
      </c>
      <c r="S20">
        <f t="shared" si="13"/>
        <v>1.1865778359876344E-9</v>
      </c>
      <c r="T20">
        <f t="shared" si="14"/>
        <v>7.6114457619945619E-2</v>
      </c>
      <c r="U20">
        <f t="shared" si="15"/>
        <v>7.769672420710208E-2</v>
      </c>
      <c r="V20">
        <f t="shared" si="16"/>
        <v>0.59664861320398022</v>
      </c>
      <c r="W20">
        <f t="shared" si="17"/>
        <v>0.6090517386346278</v>
      </c>
      <c r="X20">
        <f t="shared" si="18"/>
        <v>1.2403125430647588E-2</v>
      </c>
    </row>
    <row r="21" spans="1:24" x14ac:dyDescent="0.2">
      <c r="A21" s="4"/>
      <c r="C21">
        <v>59.12</v>
      </c>
      <c r="D21">
        <v>0.92820000000000003</v>
      </c>
      <c r="E21">
        <f t="shared" si="0"/>
        <v>7.1799999999999975E-2</v>
      </c>
      <c r="F21">
        <v>0.88139999999999996</v>
      </c>
      <c r="G21">
        <f t="shared" si="1"/>
        <v>0.11860000000000004</v>
      </c>
      <c r="H21">
        <f>F21*C21/(D21*$C$24)</f>
        <v>1.0037396702949717</v>
      </c>
      <c r="I21">
        <f>G21*C21/(E21*$C$11)</f>
        <v>1.6821932265960113</v>
      </c>
      <c r="J21">
        <f t="shared" si="2"/>
        <v>0.5966851217954795</v>
      </c>
      <c r="K21">
        <f t="shared" si="3"/>
        <v>1.0035258278194115</v>
      </c>
      <c r="L21">
        <f t="shared" si="4"/>
        <v>1.6727377302551321</v>
      </c>
      <c r="M21">
        <f t="shared" si="5"/>
        <v>3.5196266603766493E-3</v>
      </c>
      <c r="N21">
        <f t="shared" si="6"/>
        <v>0.51446164357998647</v>
      </c>
      <c r="O21">
        <f t="shared" si="7"/>
        <v>0.59993016817188072</v>
      </c>
      <c r="P21">
        <f>K21*D21*$C$24+L21*E21*$C$11</f>
        <v>59.069486615882234</v>
      </c>
      <c r="Q21">
        <f>ABS(C21-P21)</f>
        <v>5.0513384117763849E-2</v>
      </c>
      <c r="R21">
        <f>K21*D21*$C$24/P21</f>
        <v>0.88196579178337919</v>
      </c>
      <c r="S21">
        <f>ABS(F21-R21)</f>
        <v>5.6579178337923253E-4</v>
      </c>
      <c r="T21">
        <f>D21*M21+E21*N21</f>
        <v>4.0205263475204617E-2</v>
      </c>
      <c r="U21">
        <f>D21*LN(H21)+E21*LN(I21)</f>
        <v>4.0807755166286458E-2</v>
      </c>
      <c r="V21">
        <f>T21/(D21*E21)</f>
        <v>0.60327718901237892</v>
      </c>
      <c r="W21">
        <f>U21/(D21*E21)</f>
        <v>0.61231753503630992</v>
      </c>
      <c r="X21">
        <f>ABS(ABS(V21)-ABS(W21))</f>
        <v>9.0403460239310007E-3</v>
      </c>
    </row>
    <row r="22" spans="1:24" x14ac:dyDescent="0.2">
      <c r="C22">
        <v>57.77</v>
      </c>
      <c r="D22" s="15">
        <v>0.96179999999999999</v>
      </c>
      <c r="E22">
        <f t="shared" si="0"/>
        <v>3.8200000000000012E-2</v>
      </c>
      <c r="F22">
        <v>0.93240000000000001</v>
      </c>
      <c r="G22">
        <f t="shared" si="1"/>
        <v>6.7599999999999993E-2</v>
      </c>
      <c r="H22">
        <f>F22*C22/(D22*$C$24)</f>
        <v>1.0013249579652312</v>
      </c>
      <c r="I22">
        <f>G22*C22/(E22*$C$11)</f>
        <v>1.7610306321375089</v>
      </c>
      <c r="J22">
        <f t="shared" si="2"/>
        <v>0.56860166977892945</v>
      </c>
      <c r="K22">
        <f t="shared" si="3"/>
        <v>1.0010063375019078</v>
      </c>
      <c r="L22">
        <f t="shared" si="4"/>
        <v>1.7466271713124562</v>
      </c>
      <c r="M22">
        <f t="shared" si="5"/>
        <v>1.0058314837788217E-3</v>
      </c>
      <c r="N22">
        <f t="shared" si="6"/>
        <v>0.55768659756517591</v>
      </c>
      <c r="O22">
        <f t="shared" si="7"/>
        <v>0.57310819042722694</v>
      </c>
      <c r="P22">
        <f>K22*D22*$C$24+L22*E22*$C$11</f>
        <v>57.720919261638358</v>
      </c>
      <c r="Q22">
        <f>ABS(C22-P22)</f>
        <v>4.9080738361645615E-2</v>
      </c>
      <c r="R22">
        <f>K22*D22*$C$24/P22</f>
        <v>0.93289588917214283</v>
      </c>
      <c r="S22">
        <f>ABS(F22-R22)</f>
        <v>4.9588917214282713E-4</v>
      </c>
      <c r="T22">
        <f>D22*M22+E22*N22</f>
        <v>2.22710367480882E-2</v>
      </c>
      <c r="U22">
        <f>D22*LN(H22)+E22*LN(I22)</f>
        <v>2.289085145016834E-2</v>
      </c>
      <c r="V22">
        <f>T22/(D22*E22)</f>
        <v>0.60616701309630483</v>
      </c>
      <c r="W22">
        <f>U22/(D22*E22)</f>
        <v>0.62303696086222315</v>
      </c>
      <c r="X22">
        <f>ABS(ABS(V22)-ABS(W22))</f>
        <v>1.6869947765918325E-2</v>
      </c>
    </row>
    <row r="23" spans="1:24" x14ac:dyDescent="0.2">
      <c r="C23">
        <v>56.74</v>
      </c>
      <c r="D23" s="15">
        <v>0.98470000000000002</v>
      </c>
      <c r="E23">
        <f t="shared" si="0"/>
        <v>1.529999999999998E-2</v>
      </c>
      <c r="F23">
        <v>0.97150000000000003</v>
      </c>
      <c r="G23">
        <f t="shared" si="1"/>
        <v>2.849999999999997E-2</v>
      </c>
      <c r="H23">
        <f>F23*C23/(D23*$C$24)</f>
        <v>1.0008831545677519</v>
      </c>
      <c r="I23">
        <f>G23*C23/(E23*$C$11)</f>
        <v>1.820639540295355</v>
      </c>
      <c r="J23">
        <f t="shared" si="2"/>
        <v>0.5497426219829229</v>
      </c>
      <c r="K23">
        <f t="shared" si="3"/>
        <v>1.0001624265423323</v>
      </c>
      <c r="L23">
        <f t="shared" si="4"/>
        <v>1.8010951760680722</v>
      </c>
      <c r="M23">
        <f t="shared" si="5"/>
        <v>1.6241335256975644E-4</v>
      </c>
      <c r="N23">
        <f t="shared" si="6"/>
        <v>0.58839491103186037</v>
      </c>
      <c r="O23">
        <f t="shared" si="7"/>
        <v>0.55530792588416289</v>
      </c>
      <c r="P23">
        <f>K23*D23*$C$24+L23*E23*$C$11</f>
        <v>56.682947147067615</v>
      </c>
      <c r="Q23">
        <f>ABS(C23-P23)</f>
        <v>5.70528529323866E-2</v>
      </c>
      <c r="R23">
        <f>K23*D23*$C$24/P23</f>
        <v>0.971777566303344</v>
      </c>
      <c r="S23">
        <f>ABS(F23-R23)</f>
        <v>2.7756630334396792E-4</v>
      </c>
      <c r="T23">
        <f>D23*M23+E23*N23</f>
        <v>9.162370567062891E-3</v>
      </c>
      <c r="U23">
        <f>D23*LN(H23)+E23*LN(I23)</f>
        <v>1.0036832392019917E-2</v>
      </c>
      <c r="V23">
        <f>T23/(D23*E23)</f>
        <v>0.60815248246291809</v>
      </c>
      <c r="W23">
        <f>U23/(D23*E23)</f>
        <v>0.66619489908143148</v>
      </c>
      <c r="X23">
        <f>ABS(ABS(V23)-ABS(W23))</f>
        <v>5.8042416618513393E-2</v>
      </c>
    </row>
    <row r="24" spans="1:24" x14ac:dyDescent="0.2">
      <c r="C24">
        <f>10^(C2-D2/(E2+B10))</f>
        <v>55.929999904624445</v>
      </c>
      <c r="D24">
        <v>0.99999990000000005</v>
      </c>
      <c r="E24">
        <f t="shared" si="0"/>
        <v>9.9999999947364415E-8</v>
      </c>
      <c r="F24">
        <v>0.99999999999900002</v>
      </c>
      <c r="G24">
        <f t="shared" si="1"/>
        <v>9.999778782798785E-13</v>
      </c>
      <c r="H24">
        <v>1</v>
      </c>
      <c r="J24" t="e">
        <f t="shared" si="2"/>
        <v>#DIV/0!</v>
      </c>
      <c r="K24">
        <f t="shared" si="3"/>
        <v>1.0000000000000069</v>
      </c>
      <c r="L24">
        <f t="shared" si="4"/>
        <v>1.8394859236901449</v>
      </c>
      <c r="M24">
        <f t="shared" si="5"/>
        <v>6.9685394066459728E-15</v>
      </c>
      <c r="N24">
        <f t="shared" si="6"/>
        <v>0.60948614328559869</v>
      </c>
      <c r="O24">
        <f t="shared" si="7"/>
        <v>0.54363014531469367</v>
      </c>
      <c r="P24">
        <f>K24*D24*$C$24+L24*E24*$C$11</f>
        <v>55.930004990247959</v>
      </c>
      <c r="Q24">
        <f>ABS(C24-P24)</f>
        <v>5.085623513423343E-6</v>
      </c>
      <c r="R24">
        <f>K24*D24*$C$24/P24</f>
        <v>0.9999998090716582</v>
      </c>
      <c r="S24">
        <f>ABS(F24-R24)</f>
        <v>1.9092734182546423E-7</v>
      </c>
      <c r="T24">
        <f>D24*M24+E24*N24</f>
        <v>6.0948621265017922E-8</v>
      </c>
      <c r="U24" t="e">
        <f>D24*LN(H24)+E24*LN(I24)</f>
        <v>#NUM!</v>
      </c>
      <c r="V24">
        <f>T24/(D24*E24)</f>
        <v>0.60948627391961319</v>
      </c>
      <c r="X24">
        <f>ABS(ABS(V24)-ABS(W24))</f>
        <v>0.60948627391961319</v>
      </c>
    </row>
    <row r="25" spans="1:24" x14ac:dyDescent="0.2">
      <c r="P25" t="s">
        <v>10</v>
      </c>
      <c r="Q25">
        <f>AVERAGE(Q12:Q23)</f>
        <v>7.5044607769495286E-2</v>
      </c>
      <c r="S25">
        <f>AVERAGE(S12:S23)</f>
        <v>5.5402029982247415E-4</v>
      </c>
    </row>
    <row r="26" spans="1:24" x14ac:dyDescent="0.2">
      <c r="P26" t="s">
        <v>11</v>
      </c>
      <c r="Q26" s="7">
        <f>MAX(Q12:Q23)</f>
        <v>0.12371094161608909</v>
      </c>
      <c r="S26">
        <f>MAX(S12:S23)</f>
        <v>9.9774949303571558E-4</v>
      </c>
    </row>
    <row r="28" spans="1:24" x14ac:dyDescent="0.2">
      <c r="R28">
        <f>10000*S25</f>
        <v>5.5402029982247418</v>
      </c>
    </row>
  </sheetData>
  <phoneticPr fontId="0" type="noConversion"/>
  <pageMargins left="0.75" right="0.75" top="1" bottom="1" header="0.5" footer="0.5"/>
  <pageSetup paperSize="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8"/>
  <sheetViews>
    <sheetView zoomScale="75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2" max="2" width="15.85546875" customWidth="1"/>
    <col min="3" max="3" width="14.140625" customWidth="1"/>
    <col min="8" max="8" width="10.5703125" customWidth="1"/>
    <col min="9" max="12" width="9.28515625" bestFit="1" customWidth="1"/>
    <col min="13" max="13" width="14.85546875" bestFit="1" customWidth="1"/>
    <col min="14" max="14" width="9.28515625" bestFit="1" customWidth="1"/>
    <col min="15" max="15" width="9.28515625" customWidth="1"/>
    <col min="16" max="16" width="9.28515625" bestFit="1" customWidth="1"/>
    <col min="17" max="17" width="9.7109375" customWidth="1"/>
    <col min="18" max="18" width="9.28515625" bestFit="1" customWidth="1"/>
    <col min="19" max="19" width="10.140625" customWidth="1"/>
    <col min="20" max="20" width="14.85546875" bestFit="1" customWidth="1"/>
    <col min="21" max="21" width="7.5703125" customWidth="1"/>
    <col min="22" max="22" width="9.5703125" customWidth="1"/>
    <col min="23" max="23" width="8.5703125" customWidth="1"/>
    <col min="24" max="24" width="9.28515625" bestFit="1" customWidth="1"/>
    <col min="27" max="28" width="10.42578125" customWidth="1"/>
    <col min="30" max="30" width="10.7109375" customWidth="1"/>
    <col min="32" max="32" width="10.42578125" customWidth="1"/>
  </cols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  <c r="Q1" t="s">
        <v>45</v>
      </c>
    </row>
    <row r="2" spans="1:24" x14ac:dyDescent="0.2">
      <c r="B2" t="s">
        <v>0</v>
      </c>
      <c r="C2">
        <v>6.8800954464987756</v>
      </c>
      <c r="D2">
        <v>1196.76</v>
      </c>
      <c r="E2">
        <v>219.161</v>
      </c>
      <c r="H2">
        <v>6.8514777026872862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  <c r="Q2" t="s">
        <v>47</v>
      </c>
    </row>
    <row r="3" spans="1:24" x14ac:dyDescent="0.2">
      <c r="B3" t="s">
        <v>6</v>
      </c>
      <c r="C3">
        <f>(LN(10^(C2-D2/(E2+55)))-LN(10^(C2-D2/(E2+15))))*-8.314/(1/(273.15+55)-1/(273.15+15))</f>
        <v>33744.544239110481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103.62393591042064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>
        <v>0.52232061865492607</v>
      </c>
      <c r="Q5" t="s">
        <v>9</v>
      </c>
    </row>
    <row r="6" spans="1:24" x14ac:dyDescent="0.2">
      <c r="M6" t="s">
        <v>51</v>
      </c>
      <c r="N6">
        <v>0.59458646590008135</v>
      </c>
    </row>
    <row r="7" spans="1:24" x14ac:dyDescent="0.2">
      <c r="N7">
        <f>10000*S28</f>
        <v>0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20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293.14999999999998</v>
      </c>
      <c r="C11">
        <f>10^(H2-I2/(J2+B10))</f>
        <v>77.51000000319226</v>
      </c>
      <c r="D11">
        <v>9.9999999999999994E-12</v>
      </c>
      <c r="E11">
        <f t="shared" ref="E11:E24" si="0">1-D11</f>
        <v>0.99999999999</v>
      </c>
      <c r="F11">
        <v>9.9999999999999998E-13</v>
      </c>
      <c r="G11">
        <f t="shared" ref="G11:G24" si="1">1-F11</f>
        <v>0.99999999999900002</v>
      </c>
      <c r="I11" s="1">
        <v>1</v>
      </c>
      <c r="J11">
        <f>H11/I11</f>
        <v>0</v>
      </c>
      <c r="K11">
        <f>EXP(M11)</f>
        <v>1.6658662853579123</v>
      </c>
      <c r="L11">
        <f>EXP(N11)</f>
        <v>1</v>
      </c>
      <c r="M11">
        <f>$B$13*($B$14*E11/($B$13*D11+$B$14*E11))^2</f>
        <v>0.51034527963396492</v>
      </c>
      <c r="N11">
        <f>$B$14*($B$13*D11/($B$13*D11+$B$14*E11))^2</f>
        <v>4.5247529223353543E-23</v>
      </c>
      <c r="O11">
        <f>K11/L11</f>
        <v>1.6658662853579123</v>
      </c>
      <c r="P11">
        <f>K11*D11*$C$24+L11*E11*$C$11</f>
        <v>77.51000000366956</v>
      </c>
      <c r="Q11">
        <f>ABS(C11-P11)</f>
        <v>4.772999773194897E-10</v>
      </c>
      <c r="R11">
        <f>K11*D11*$C$24/P11</f>
        <v>1.6157892798681064E-11</v>
      </c>
      <c r="S11">
        <f>ABS(F11-R11)</f>
        <v>1.5157892798681065E-11</v>
      </c>
      <c r="T11">
        <f>D11*M11+E11*N11</f>
        <v>5.1034527963848968E-12</v>
      </c>
      <c r="U11" t="e">
        <f>D11*LN(H11)+E11*LN(I11)</f>
        <v>#NUM!</v>
      </c>
      <c r="V11">
        <f>T11/(D11*E11)</f>
        <v>0.51034527964359322</v>
      </c>
      <c r="X11">
        <f>ABS(ABS(V11)-ABS(W11))</f>
        <v>0.51034527964359322</v>
      </c>
    </row>
    <row r="12" spans="1:24" x14ac:dyDescent="0.2">
      <c r="C12">
        <v>78.569999999999993</v>
      </c>
      <c r="D12">
        <v>2.2100000000000002E-2</v>
      </c>
      <c r="E12">
        <f t="shared" si="0"/>
        <v>0.97789999999999999</v>
      </c>
      <c r="F12">
        <v>3.49E-2</v>
      </c>
      <c r="G12">
        <f t="shared" si="1"/>
        <v>0.96509999999999996</v>
      </c>
      <c r="H12">
        <f t="shared" ref="H12:H19" si="2">F12*C12/(D12*$C$24)</f>
        <v>1.6503938092214752</v>
      </c>
      <c r="I12">
        <f t="shared" ref="I12:I19" si="3">G12*C12/(E12*$C$11)</f>
        <v>1.0004073774036317</v>
      </c>
      <c r="J12">
        <f t="shared" ref="J12:J24" si="4">H12/I12</f>
        <v>1.649721749858303</v>
      </c>
      <c r="K12">
        <f t="shared" ref="K12:K24" si="5">EXP(M12)</f>
        <v>1.6331204106730159</v>
      </c>
      <c r="L12">
        <f t="shared" ref="L12:L24" si="6">EXP(N12)</f>
        <v>1.0002221299226488</v>
      </c>
      <c r="M12">
        <f t="shared" ref="M12:M24" si="7">$B$13*($B$14*E12/($B$13*D12+$B$14*E12))^2</f>
        <v>0.4904925471383228</v>
      </c>
      <c r="N12">
        <f t="shared" ref="N12:N24" si="8">$B$14*($B$13*D12/($B$13*D12+$B$14*E12))^2</f>
        <v>2.2210525545038814E-4</v>
      </c>
      <c r="O12">
        <f t="shared" ref="O12:O24" si="9">K12/L12</f>
        <v>1.632757726325563</v>
      </c>
      <c r="P12">
        <f t="shared" ref="P12:P19" si="10">K12*D12*$C$24+L12*E12*$C$11</f>
        <v>78.527259419693763</v>
      </c>
      <c r="Q12">
        <f t="shared" ref="Q12:Q19" si="11">ABS(C12-P12)</f>
        <v>4.2740580306229958E-2</v>
      </c>
      <c r="R12">
        <f t="shared" ref="R12:R19" si="12">K12*D12*$C$24/P12</f>
        <v>3.4553525087137937E-2</v>
      </c>
      <c r="S12">
        <f t="shared" ref="S12:S19" si="13">ABS(F12-R12)</f>
        <v>3.4647491286206311E-4</v>
      </c>
      <c r="T12">
        <f t="shared" ref="T12:T19" si="14">D12*M12+E12*N12</f>
        <v>1.105708202106187E-2</v>
      </c>
      <c r="U12">
        <f t="shared" ref="U12:U19" si="15">D12*LN(H12)+E12*LN(I12)</f>
        <v>1.1470701131039721E-2</v>
      </c>
      <c r="V12">
        <f t="shared" ref="V12:V19" si="16">T12/(D12*E12)</f>
        <v>0.51162741941068979</v>
      </c>
      <c r="W12">
        <f t="shared" ref="W12:W19" si="17">U12/(D12*E12)</f>
        <v>0.53076618291572808</v>
      </c>
      <c r="X12">
        <f t="shared" ref="X12:X19" si="18">ABS(ABS(V12)-ABS(W12))</f>
        <v>1.9138763505038292E-2</v>
      </c>
    </row>
    <row r="13" spans="1:24" x14ac:dyDescent="0.2">
      <c r="A13" t="s">
        <v>33</v>
      </c>
      <c r="B13">
        <v>0.51034527964301446</v>
      </c>
      <c r="C13">
        <v>79.39</v>
      </c>
      <c r="D13">
        <v>4.1300000000000003E-2</v>
      </c>
      <c r="E13">
        <f t="shared" si="0"/>
        <v>0.9587</v>
      </c>
      <c r="F13">
        <v>6.3299999999999995E-2</v>
      </c>
      <c r="G13">
        <f t="shared" si="1"/>
        <v>0.93669999999999998</v>
      </c>
      <c r="H13">
        <f t="shared" si="2"/>
        <v>1.6185165320161152</v>
      </c>
      <c r="I13">
        <f t="shared" si="3"/>
        <v>1.0007505970916661</v>
      </c>
      <c r="J13">
        <f t="shared" si="4"/>
        <v>1.6173025893961703</v>
      </c>
      <c r="K13">
        <f t="shared" si="5"/>
        <v>1.605581004808863</v>
      </c>
      <c r="L13">
        <f t="shared" si="6"/>
        <v>1.0007793659967006</v>
      </c>
      <c r="M13">
        <f t="shared" si="7"/>
        <v>0.4734856878426047</v>
      </c>
      <c r="N13">
        <f t="shared" si="8"/>
        <v>7.7906244872853172E-4</v>
      </c>
      <c r="O13">
        <f t="shared" si="9"/>
        <v>1.6043306440574199</v>
      </c>
      <c r="P13">
        <f t="shared" si="10"/>
        <v>79.351973825719725</v>
      </c>
      <c r="Q13">
        <f t="shared" si="11"/>
        <v>3.8026174280275882E-2</v>
      </c>
      <c r="R13">
        <f t="shared" si="12"/>
        <v>6.2824184472005287E-2</v>
      </c>
      <c r="S13">
        <f t="shared" si="13"/>
        <v>4.7581552799470794E-4</v>
      </c>
      <c r="T13">
        <f t="shared" si="14"/>
        <v>2.0301846077495619E-2</v>
      </c>
      <c r="U13">
        <f t="shared" si="15"/>
        <v>2.0605690863853318E-2</v>
      </c>
      <c r="V13">
        <f t="shared" si="16"/>
        <v>0.51274655569185623</v>
      </c>
      <c r="W13">
        <f t="shared" si="17"/>
        <v>0.52042050647816107</v>
      </c>
      <c r="X13">
        <f t="shared" si="18"/>
        <v>7.6739507863048395E-3</v>
      </c>
    </row>
    <row r="14" spans="1:24" x14ac:dyDescent="0.2">
      <c r="A14" t="s">
        <v>34</v>
      </c>
      <c r="B14">
        <v>0.57561663349359293</v>
      </c>
      <c r="C14">
        <v>81.19</v>
      </c>
      <c r="D14" s="15">
        <v>8.5900000000000004E-2</v>
      </c>
      <c r="E14">
        <f t="shared" si="0"/>
        <v>0.91410000000000002</v>
      </c>
      <c r="F14">
        <v>0.1235</v>
      </c>
      <c r="G14">
        <f t="shared" si="1"/>
        <v>0.87650000000000006</v>
      </c>
      <c r="H14">
        <f t="shared" si="2"/>
        <v>1.5526515980724773</v>
      </c>
      <c r="I14">
        <f t="shared" si="3"/>
        <v>1.0043914706111252</v>
      </c>
      <c r="J14">
        <f t="shared" si="4"/>
        <v>1.5458629861997548</v>
      </c>
      <c r="K14">
        <f t="shared" si="5"/>
        <v>1.544753039319229</v>
      </c>
      <c r="L14">
        <f t="shared" si="6"/>
        <v>1.0034105366734243</v>
      </c>
      <c r="M14">
        <f t="shared" si="7"/>
        <v>0.43486405247229648</v>
      </c>
      <c r="N14">
        <f t="shared" si="8"/>
        <v>3.4047339830065742E-3</v>
      </c>
      <c r="O14">
        <f t="shared" si="9"/>
        <v>1.5395025095515746</v>
      </c>
      <c r="P14">
        <f t="shared" si="10"/>
        <v>81.069490383381378</v>
      </c>
      <c r="Q14">
        <f t="shared" si="11"/>
        <v>0.12050961661861948</v>
      </c>
      <c r="R14">
        <f t="shared" si="12"/>
        <v>0.12305438655947705</v>
      </c>
      <c r="S14">
        <f t="shared" si="13"/>
        <v>4.4561344052294893E-4</v>
      </c>
      <c r="T14">
        <f t="shared" si="14"/>
        <v>4.046708944123658E-2</v>
      </c>
      <c r="U14">
        <f t="shared" si="15"/>
        <v>4.179837766058523E-2</v>
      </c>
      <c r="V14">
        <f t="shared" si="16"/>
        <v>0.51536520831175092</v>
      </c>
      <c r="W14">
        <f t="shared" si="17"/>
        <v>0.53231971727103511</v>
      </c>
      <c r="X14">
        <f t="shared" si="18"/>
        <v>1.6954508959284187E-2</v>
      </c>
    </row>
    <row r="15" spans="1:24" x14ac:dyDescent="0.2">
      <c r="A15" s="4"/>
      <c r="C15">
        <v>84.51</v>
      </c>
      <c r="D15">
        <v>0.20269999999999999</v>
      </c>
      <c r="E15">
        <f t="shared" si="0"/>
        <v>0.79730000000000001</v>
      </c>
      <c r="F15">
        <v>0.25309999999999999</v>
      </c>
      <c r="G15">
        <f t="shared" si="1"/>
        <v>0.74690000000000001</v>
      </c>
      <c r="H15">
        <f t="shared" si="2"/>
        <v>1.4036026440205505</v>
      </c>
      <c r="I15">
        <f t="shared" si="3"/>
        <v>1.0213887267120452</v>
      </c>
      <c r="J15">
        <f t="shared" si="4"/>
        <v>1.3742100410084719</v>
      </c>
      <c r="K15">
        <f t="shared" si="5"/>
        <v>1.4047564577456846</v>
      </c>
      <c r="L15">
        <f t="shared" si="6"/>
        <v>1.0196668976930918</v>
      </c>
      <c r="M15">
        <f t="shared" si="7"/>
        <v>0.33986394807786319</v>
      </c>
      <c r="N15">
        <f t="shared" si="8"/>
        <v>1.9476003071169028E-2</v>
      </c>
      <c r="O15">
        <f t="shared" si="9"/>
        <v>1.3776621178188921</v>
      </c>
      <c r="P15">
        <f t="shared" si="10"/>
        <v>84.421176116569541</v>
      </c>
      <c r="Q15">
        <f t="shared" si="11"/>
        <v>8.8823883430464434E-2</v>
      </c>
      <c r="R15">
        <f t="shared" si="12"/>
        <v>0.25357457614201562</v>
      </c>
      <c r="S15">
        <f t="shared" si="13"/>
        <v>4.7457614201562581E-4</v>
      </c>
      <c r="T15">
        <f t="shared" si="14"/>
        <v>8.4418639524025924E-2</v>
      </c>
      <c r="U15">
        <f t="shared" si="15"/>
        <v>8.5597281590610877E-2</v>
      </c>
      <c r="V15">
        <f t="shared" si="16"/>
        <v>0.52235148785034247</v>
      </c>
      <c r="W15">
        <f t="shared" si="17"/>
        <v>0.52964449139310199</v>
      </c>
      <c r="X15">
        <f t="shared" si="18"/>
        <v>7.2930035427595241E-3</v>
      </c>
    </row>
    <row r="16" spans="1:24" x14ac:dyDescent="0.2">
      <c r="A16" s="4"/>
      <c r="C16">
        <v>86.53</v>
      </c>
      <c r="D16">
        <v>0.31900000000000001</v>
      </c>
      <c r="E16">
        <f t="shared" si="0"/>
        <v>0.68100000000000005</v>
      </c>
      <c r="F16">
        <v>0.3574</v>
      </c>
      <c r="G16">
        <f t="shared" si="1"/>
        <v>0.64260000000000006</v>
      </c>
      <c r="H16">
        <f t="shared" si="2"/>
        <v>1.2895204929454522</v>
      </c>
      <c r="I16">
        <f t="shared" si="3"/>
        <v>1.0534224658371008</v>
      </c>
      <c r="J16">
        <f t="shared" si="4"/>
        <v>1.2241247313068613</v>
      </c>
      <c r="K16">
        <f t="shared" si="5"/>
        <v>1.2901735681381818</v>
      </c>
      <c r="L16">
        <f t="shared" si="6"/>
        <v>1.0508142054540643</v>
      </c>
      <c r="M16">
        <f t="shared" si="7"/>
        <v>0.25477675826701041</v>
      </c>
      <c r="N16">
        <f t="shared" si="8"/>
        <v>4.9565297441776741E-2</v>
      </c>
      <c r="O16">
        <f t="shared" si="9"/>
        <v>1.2277846658731537</v>
      </c>
      <c r="P16">
        <f t="shared" si="10"/>
        <v>86.40798709890845</v>
      </c>
      <c r="Q16">
        <f t="shared" si="11"/>
        <v>0.12201290109155138</v>
      </c>
      <c r="R16">
        <f t="shared" si="12"/>
        <v>0.35808592888658891</v>
      </c>
      <c r="S16">
        <f t="shared" si="13"/>
        <v>6.8592888658891571E-4</v>
      </c>
      <c r="T16">
        <f t="shared" si="14"/>
        <v>0.11502775344502628</v>
      </c>
      <c r="U16">
        <f t="shared" si="15"/>
        <v>0.11655447547214345</v>
      </c>
      <c r="V16">
        <f t="shared" si="16"/>
        <v>0.52949863258911278</v>
      </c>
      <c r="W16">
        <f t="shared" si="17"/>
        <v>0.53652647762208183</v>
      </c>
      <c r="X16">
        <f t="shared" si="18"/>
        <v>7.0278450329690489E-3</v>
      </c>
    </row>
    <row r="17" spans="1:24" x14ac:dyDescent="0.2">
      <c r="A17" s="4"/>
      <c r="C17">
        <v>87.45</v>
      </c>
      <c r="D17">
        <v>0.45350000000000001</v>
      </c>
      <c r="E17">
        <f t="shared" si="0"/>
        <v>0.54649999999999999</v>
      </c>
      <c r="F17">
        <v>0.46229999999999999</v>
      </c>
      <c r="G17">
        <f t="shared" si="1"/>
        <v>0.53770000000000007</v>
      </c>
      <c r="H17">
        <f t="shared" si="2"/>
        <v>1.1857799298293019</v>
      </c>
      <c r="I17">
        <f t="shared" si="3"/>
        <v>1.1100740416946679</v>
      </c>
      <c r="J17">
        <f t="shared" si="4"/>
        <v>1.0681989536653425</v>
      </c>
      <c r="K17">
        <f t="shared" si="5"/>
        <v>1.1845878022164327</v>
      </c>
      <c r="L17">
        <f t="shared" si="6"/>
        <v>1.1089572666016259</v>
      </c>
      <c r="M17">
        <f t="shared" si="7"/>
        <v>0.16939486784370281</v>
      </c>
      <c r="N17">
        <f t="shared" si="8"/>
        <v>0.10342017435405126</v>
      </c>
      <c r="O17">
        <f t="shared" si="9"/>
        <v>1.0681996844175745</v>
      </c>
      <c r="P17">
        <f t="shared" si="10"/>
        <v>87.362049729994894</v>
      </c>
      <c r="Q17">
        <f t="shared" si="11"/>
        <v>8.7950270005109132E-2</v>
      </c>
      <c r="R17">
        <f t="shared" si="12"/>
        <v>0.46230017005201984</v>
      </c>
      <c r="S17">
        <f t="shared" si="13"/>
        <v>1.7005201985442753E-7</v>
      </c>
      <c r="T17">
        <f t="shared" si="14"/>
        <v>0.13333969785160824</v>
      </c>
      <c r="U17">
        <f t="shared" si="15"/>
        <v>0.13434593058849265</v>
      </c>
      <c r="V17">
        <f t="shared" si="16"/>
        <v>0.53801205769342342</v>
      </c>
      <c r="W17">
        <f t="shared" si="17"/>
        <v>0.5420721039813049</v>
      </c>
      <c r="X17">
        <f t="shared" si="18"/>
        <v>4.0600462878814803E-3</v>
      </c>
    </row>
    <row r="18" spans="1:24" x14ac:dyDescent="0.2">
      <c r="A18" s="1"/>
      <c r="C18">
        <v>86.36</v>
      </c>
      <c r="D18">
        <v>0.66790000000000005</v>
      </c>
      <c r="E18">
        <f t="shared" si="0"/>
        <v>0.33209999999999995</v>
      </c>
      <c r="F18">
        <v>0.623</v>
      </c>
      <c r="G18">
        <f t="shared" si="1"/>
        <v>0.377</v>
      </c>
      <c r="H18">
        <f t="shared" si="2"/>
        <v>1.0714870248444679</v>
      </c>
      <c r="I18">
        <f t="shared" si="3"/>
        <v>1.2648160598546623</v>
      </c>
      <c r="J18">
        <f t="shared" si="4"/>
        <v>0.84714849759860777</v>
      </c>
      <c r="K18">
        <f t="shared" si="5"/>
        <v>1.0681075986283224</v>
      </c>
      <c r="L18">
        <f t="shared" si="6"/>
        <v>1.2665278210738806</v>
      </c>
      <c r="M18">
        <f t="shared" si="7"/>
        <v>6.5888483242614523E-2</v>
      </c>
      <c r="N18">
        <f t="shared" si="8"/>
        <v>0.23627915711440045</v>
      </c>
      <c r="O18">
        <f t="shared" si="9"/>
        <v>0.84333528317023543</v>
      </c>
      <c r="P18">
        <f t="shared" si="10"/>
        <v>86.234372378301487</v>
      </c>
      <c r="Q18">
        <f t="shared" si="11"/>
        <v>0.12562762169851283</v>
      </c>
      <c r="R18">
        <f t="shared" si="12"/>
        <v>0.62193981740761051</v>
      </c>
      <c r="S18">
        <f t="shared" si="13"/>
        <v>1.0601825923894914E-3</v>
      </c>
      <c r="T18">
        <f t="shared" si="14"/>
        <v>0.12247522603543462</v>
      </c>
      <c r="U18">
        <f t="shared" si="15"/>
        <v>0.12413593469661478</v>
      </c>
      <c r="V18">
        <f t="shared" si="16"/>
        <v>0.55216379975020302</v>
      </c>
      <c r="W18">
        <f t="shared" si="17"/>
        <v>0.55965089109363941</v>
      </c>
      <c r="X18">
        <f t="shared" si="18"/>
        <v>7.4870913434363917E-3</v>
      </c>
    </row>
    <row r="19" spans="1:24" x14ac:dyDescent="0.2">
      <c r="A19" s="1"/>
      <c r="C19">
        <v>84.69</v>
      </c>
      <c r="D19">
        <v>0.76200000000000001</v>
      </c>
      <c r="E19">
        <f t="shared" si="0"/>
        <v>0.23799999999999999</v>
      </c>
      <c r="F19">
        <v>0.70199999999999996</v>
      </c>
      <c r="G19">
        <f t="shared" si="1"/>
        <v>0.29800000000000004</v>
      </c>
      <c r="H19">
        <f t="shared" si="2"/>
        <v>1.0377959060313324</v>
      </c>
      <c r="I19">
        <f t="shared" si="3"/>
        <v>1.3680869586337241</v>
      </c>
      <c r="J19">
        <f t="shared" si="4"/>
        <v>0.75857451858744018</v>
      </c>
      <c r="K19">
        <f t="shared" si="5"/>
        <v>1.03524148054877</v>
      </c>
      <c r="L19">
        <f t="shared" si="6"/>
        <v>1.3699492195054124</v>
      </c>
      <c r="M19">
        <f t="shared" si="7"/>
        <v>3.4634714043602299E-2</v>
      </c>
      <c r="N19">
        <f t="shared" si="8"/>
        <v>0.31477367309862686</v>
      </c>
      <c r="O19">
        <f t="shared" si="9"/>
        <v>0.75567872575781991</v>
      </c>
      <c r="P19">
        <f t="shared" si="10"/>
        <v>84.578018052918878</v>
      </c>
      <c r="Q19">
        <f t="shared" si="11"/>
        <v>0.11198194708111942</v>
      </c>
      <c r="R19">
        <f t="shared" si="12"/>
        <v>0.70119926647904673</v>
      </c>
      <c r="S19">
        <f t="shared" si="13"/>
        <v>8.0073352095322292E-4</v>
      </c>
      <c r="T19">
        <f t="shared" si="14"/>
        <v>0.10130778629869813</v>
      </c>
      <c r="U19">
        <f t="shared" si="15"/>
        <v>0.1028619322919791</v>
      </c>
      <c r="V19">
        <f t="shared" si="16"/>
        <v>0.55861281842728194</v>
      </c>
      <c r="W19">
        <f t="shared" si="17"/>
        <v>0.5671824052801071</v>
      </c>
      <c r="X19">
        <f t="shared" si="18"/>
        <v>8.5695868528251617E-3</v>
      </c>
    </row>
    <row r="20" spans="1:24" x14ac:dyDescent="0.2">
      <c r="A20" s="1"/>
      <c r="C20">
        <v>82.32</v>
      </c>
      <c r="D20">
        <v>0.84989999999999999</v>
      </c>
      <c r="E20">
        <f t="shared" si="0"/>
        <v>0.15010000000000001</v>
      </c>
      <c r="F20">
        <v>0.78869999999999996</v>
      </c>
      <c r="G20">
        <f t="shared" si="1"/>
        <v>0.21130000000000004</v>
      </c>
      <c r="H20">
        <f>F20*C20/(D20*$C$24)</f>
        <v>1.01612480404884</v>
      </c>
      <c r="I20">
        <f>G20*C20/(E20*$C$11)</f>
        <v>1.4950868774692603</v>
      </c>
      <c r="J20">
        <f t="shared" si="4"/>
        <v>0.67964264776963235</v>
      </c>
      <c r="K20">
        <f t="shared" si="5"/>
        <v>1.0141810633083064</v>
      </c>
      <c r="L20">
        <f t="shared" si="6"/>
        <v>1.4922268005357753</v>
      </c>
      <c r="M20">
        <f t="shared" si="7"/>
        <v>1.4081452648861851E-2</v>
      </c>
      <c r="N20">
        <f t="shared" si="8"/>
        <v>0.4002695013120145</v>
      </c>
      <c r="O20">
        <f t="shared" si="9"/>
        <v>0.67964270776008751</v>
      </c>
      <c r="P20">
        <f>K20*D20*$C$24+L20*E20*$C$11</f>
        <v>82.162528895818383</v>
      </c>
      <c r="Q20">
        <f>ABS(C20-P20)</f>
        <v>0.15747110418161014</v>
      </c>
      <c r="R20">
        <f>K20*D20*$C$24/P20</f>
        <v>0.78870001471000561</v>
      </c>
      <c r="S20">
        <f>ABS(F20-R20)</f>
        <v>1.4710005658002956E-8</v>
      </c>
      <c r="T20">
        <f>D20*M20+E20*N20</f>
        <v>7.2048278753201064E-2</v>
      </c>
      <c r="U20">
        <f>D20*LN(H20)+E20*LN(I20)</f>
        <v>7.3963019596303303E-2</v>
      </c>
      <c r="V20">
        <f>T20/(D20*E20)</f>
        <v>0.56477451125614309</v>
      </c>
      <c r="W20">
        <f>U20/(D20*E20)</f>
        <v>0.57978384725360022</v>
      </c>
      <c r="X20">
        <f>ABS(ABS(V20)-ABS(W20))</f>
        <v>1.5009335997457129E-2</v>
      </c>
    </row>
    <row r="21" spans="1:24" x14ac:dyDescent="0.2">
      <c r="A21" s="4"/>
      <c r="C21">
        <v>79.17</v>
      </c>
      <c r="D21">
        <v>0.92820000000000003</v>
      </c>
      <c r="E21">
        <f t="shared" si="0"/>
        <v>7.1799999999999975E-2</v>
      </c>
      <c r="F21">
        <v>0.88470000000000004</v>
      </c>
      <c r="G21">
        <f t="shared" si="1"/>
        <v>0.11529999999999996</v>
      </c>
      <c r="H21">
        <f>F21*C21/(D21*$C$24)</f>
        <v>1.0037204845675844</v>
      </c>
      <c r="I21">
        <f>G21*C21/(E21*$C$11)</f>
        <v>1.6402414064685427</v>
      </c>
      <c r="J21">
        <f t="shared" si="4"/>
        <v>0.61193460950885603</v>
      </c>
      <c r="K21">
        <f t="shared" si="5"/>
        <v>1.0032917394147673</v>
      </c>
      <c r="L21">
        <f t="shared" si="6"/>
        <v>1.6273311366623198</v>
      </c>
      <c r="M21">
        <f t="shared" si="7"/>
        <v>3.2863335005720441E-3</v>
      </c>
      <c r="N21">
        <f t="shared" si="8"/>
        <v>0.48694133344246021</v>
      </c>
      <c r="O21">
        <f t="shared" si="9"/>
        <v>0.6165258666853346</v>
      </c>
      <c r="P21">
        <f>K21*D21*$C$24+L21*E21*$C$11</f>
        <v>79.068232807306543</v>
      </c>
      <c r="Q21">
        <f>ABS(C21-P21)</f>
        <v>0.10176719269345824</v>
      </c>
      <c r="R21">
        <f>K21*D21*$C$24/P21</f>
        <v>0.88546028901192664</v>
      </c>
      <c r="S21">
        <f>ABS(F21-R21)</f>
        <v>7.6028901192659593E-4</v>
      </c>
      <c r="T21">
        <f>D21*M21+E21*N21</f>
        <v>3.8012762496399601E-2</v>
      </c>
      <c r="U21">
        <f>D21*LN(H21)+E21*LN(I21)</f>
        <v>3.897670386936427E-2</v>
      </c>
      <c r="V21">
        <f>T21/(D21*E21)</f>
        <v>0.57037886394068504</v>
      </c>
      <c r="W21">
        <f>U21/(D21*E21)</f>
        <v>0.58484273736396197</v>
      </c>
      <c r="X21">
        <f>ABS(ABS(V21)-ABS(W21))</f>
        <v>1.4463873423276929E-2</v>
      </c>
    </row>
    <row r="22" spans="1:24" x14ac:dyDescent="0.2">
      <c r="C22">
        <v>77.489999999999995</v>
      </c>
      <c r="D22" s="15">
        <v>0.96179999999999999</v>
      </c>
      <c r="E22">
        <f t="shared" si="0"/>
        <v>3.8200000000000012E-2</v>
      </c>
      <c r="F22">
        <v>0.9345</v>
      </c>
      <c r="G22">
        <f t="shared" si="1"/>
        <v>6.5500000000000003E-2</v>
      </c>
      <c r="H22">
        <f>F22*C22/(D22*$C$24)</f>
        <v>1.0014698367985309</v>
      </c>
      <c r="I22">
        <f>G22*C22/(E22*$C$11)</f>
        <v>1.7142172500595967</v>
      </c>
      <c r="J22">
        <f t="shared" si="4"/>
        <v>0.58421407016159332</v>
      </c>
      <c r="K22">
        <f t="shared" si="5"/>
        <v>1.00093864150373</v>
      </c>
      <c r="L22">
        <f t="shared" si="6"/>
        <v>1.6943757053540349</v>
      </c>
      <c r="M22">
        <f t="shared" si="7"/>
        <v>9.3820125526252558E-4</v>
      </c>
      <c r="N22">
        <f t="shared" si="8"/>
        <v>0.52731435756227985</v>
      </c>
      <c r="O22">
        <f t="shared" si="9"/>
        <v>0.59074185160993364</v>
      </c>
      <c r="P22">
        <f>K22*D22*$C$24+L22*E22*$C$11</f>
        <v>77.392841792257059</v>
      </c>
      <c r="Q22">
        <f>ABS(C22-P22)</f>
        <v>9.7158207742936042E-2</v>
      </c>
      <c r="R22">
        <f>K22*D22*$C$24/P22</f>
        <v>0.93517686634516872</v>
      </c>
      <c r="S22">
        <f>ABS(F22-R22)</f>
        <v>6.7686634516872513E-4</v>
      </c>
      <c r="T22">
        <f>D22*M22+E22*N22</f>
        <v>2.1045770426190592E-2</v>
      </c>
      <c r="U22">
        <f>D22*LN(H22)+E22*LN(I22)</f>
        <v>2.2000791790030401E-2</v>
      </c>
      <c r="V22">
        <f>T22/(D22*E22)</f>
        <v>0.57281804802596858</v>
      </c>
      <c r="W22">
        <f>U22/(D22*E22)</f>
        <v>0.59881155942420339</v>
      </c>
      <c r="X22">
        <f>ABS(ABS(V22)-ABS(W22))</f>
        <v>2.5993511398234803E-2</v>
      </c>
    </row>
    <row r="23" spans="1:24" x14ac:dyDescent="0.2">
      <c r="C23">
        <v>76.16</v>
      </c>
      <c r="D23" s="15">
        <v>0.98470000000000002</v>
      </c>
      <c r="E23">
        <f t="shared" si="0"/>
        <v>1.529999999999998E-2</v>
      </c>
      <c r="F23">
        <v>0.97250000000000003</v>
      </c>
      <c r="G23">
        <f t="shared" si="1"/>
        <v>2.7499999999999969E-2</v>
      </c>
      <c r="H23">
        <f>F23*C23/(D23*$C$24)</f>
        <v>1.0004843207852443</v>
      </c>
      <c r="I23">
        <f>G23*C23/(E23*$C$11)</f>
        <v>1.7660803623177801</v>
      </c>
      <c r="J23">
        <f t="shared" si="4"/>
        <v>0.56649988422509956</v>
      </c>
      <c r="K23">
        <f t="shared" si="5"/>
        <v>1.0001513980549066</v>
      </c>
      <c r="L23">
        <f t="shared" si="6"/>
        <v>1.7436132853453989</v>
      </c>
      <c r="M23">
        <f t="shared" si="7"/>
        <v>1.513865953776129E-4</v>
      </c>
      <c r="N23">
        <f t="shared" si="8"/>
        <v>0.55595956084458353</v>
      </c>
      <c r="O23">
        <f t="shared" si="9"/>
        <v>0.57360849820365001</v>
      </c>
      <c r="P23">
        <f>K23*D23*$C$24+L23*E23*$C$11</f>
        <v>76.108710040899766</v>
      </c>
      <c r="Q23">
        <f>ABS(C23-P23)</f>
        <v>5.1289959100230931E-2</v>
      </c>
      <c r="R23">
        <f>K23*D23*$C$24/P23</f>
        <v>0.97283154286933848</v>
      </c>
      <c r="S23">
        <f>ABS(F23-R23)</f>
        <v>3.3154286933845256E-4</v>
      </c>
      <c r="T23">
        <f>D23*M23+E23*N23</f>
        <v>8.655251661390452E-3</v>
      </c>
      <c r="U23">
        <f>D23*LN(H23)+E23*LN(I23)</f>
        <v>9.1788631038951778E-3</v>
      </c>
      <c r="V23">
        <f>T23/(D23*E23)</f>
        <v>0.57449245756747935</v>
      </c>
      <c r="W23">
        <f>U23/(D23*E23)</f>
        <v>0.6092471748400986</v>
      </c>
      <c r="X23">
        <f>ABS(ABS(V23)-ABS(W23))</f>
        <v>3.4754717272619251E-2</v>
      </c>
    </row>
    <row r="24" spans="1:24" x14ac:dyDescent="0.2">
      <c r="C24">
        <f>10^(C2-D2/(E2+B10))</f>
        <v>75.179999853108455</v>
      </c>
      <c r="D24">
        <v>0.99999990000000005</v>
      </c>
      <c r="E24">
        <f t="shared" si="0"/>
        <v>9.9999999947364415E-8</v>
      </c>
      <c r="F24">
        <v>0.99999999999900002</v>
      </c>
      <c r="G24">
        <f t="shared" si="1"/>
        <v>9.999778782798785E-13</v>
      </c>
      <c r="H24">
        <v>1</v>
      </c>
      <c r="J24" t="e">
        <f t="shared" si="4"/>
        <v>#DIV/0!</v>
      </c>
      <c r="K24">
        <f t="shared" si="5"/>
        <v>1.0000000000000064</v>
      </c>
      <c r="L24">
        <f t="shared" si="6"/>
        <v>1.7782264721564336</v>
      </c>
      <c r="M24">
        <f t="shared" si="7"/>
        <v>6.4923594504913126E-15</v>
      </c>
      <c r="N24">
        <f t="shared" si="8"/>
        <v>0.57561650364640948</v>
      </c>
      <c r="O24">
        <f t="shared" si="9"/>
        <v>0.56235806611703321</v>
      </c>
      <c r="P24">
        <f>K24*D24*$C$24+L24*E24*$C$11</f>
        <v>75.180006118142344</v>
      </c>
      <c r="Q24">
        <f>ABS(C24-P24)</f>
        <v>6.2650338890080093E-6</v>
      </c>
      <c r="R24">
        <f>K24*D24*$C$24/P24</f>
        <v>0.99999981666623761</v>
      </c>
      <c r="S24">
        <f>ABS(F24-R24)</f>
        <v>1.8333276241566665E-7</v>
      </c>
      <c r="T24">
        <f>D24*M24+E24*N24</f>
        <v>5.7561656826701839E-8</v>
      </c>
      <c r="U24" t="e">
        <f>D24*LN(H24)+E24*LN(I24)</f>
        <v>#NUM!</v>
      </c>
      <c r="V24">
        <f>T24/(D24*E24)</f>
        <v>0.57561662613166009</v>
      </c>
      <c r="X24">
        <f>ABS(ABS(V24)-ABS(W24))</f>
        <v>0.57561662613166009</v>
      </c>
    </row>
    <row r="25" spans="1:24" x14ac:dyDescent="0.2">
      <c r="P25" t="s">
        <v>10</v>
      </c>
      <c r="Q25">
        <f>AVERAGE(Q12:Q23)</f>
        <v>9.5446621519176489E-2</v>
      </c>
      <c r="S25">
        <f>AVERAGE(S12:S23)</f>
        <v>5.0485066764885519E-4</v>
      </c>
    </row>
    <row r="26" spans="1:24" x14ac:dyDescent="0.2">
      <c r="P26" t="s">
        <v>11</v>
      </c>
      <c r="Q26" s="7">
        <f>MAX(Q12:Q23)</f>
        <v>0.15747110418161014</v>
      </c>
      <c r="S26">
        <f>MAX(S12:S23)</f>
        <v>1.0601825923894914E-3</v>
      </c>
    </row>
    <row r="28" spans="1:24" x14ac:dyDescent="0.2">
      <c r="R28">
        <f>100000*S25</f>
        <v>50.485066764885516</v>
      </c>
    </row>
  </sheetData>
  <phoneticPr fontId="0" type="noConversion"/>
  <pageMargins left="0.75" right="0.75" top="1" bottom="1" header="0.5" footer="0.5"/>
  <pageSetup paperSize="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6"/>
  <sheetViews>
    <sheetView zoomScale="75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2" max="2" width="15.85546875" customWidth="1"/>
    <col min="3" max="3" width="14.140625" customWidth="1"/>
    <col min="4" max="7" width="9.28515625" bestFit="1" customWidth="1"/>
    <col min="8" max="8" width="10.5703125" customWidth="1"/>
    <col min="9" max="12" width="9.28515625" bestFit="1" customWidth="1"/>
    <col min="13" max="14" width="14.85546875" bestFit="1" customWidth="1"/>
    <col min="15" max="15" width="14.85546875" customWidth="1"/>
    <col min="16" max="16" width="9.28515625" bestFit="1" customWidth="1"/>
    <col min="17" max="17" width="9.7109375" customWidth="1"/>
    <col min="18" max="18" width="9.28515625" bestFit="1" customWidth="1"/>
    <col min="19" max="19" width="10.140625" customWidth="1"/>
    <col min="20" max="20" width="14.85546875" bestFit="1" customWidth="1"/>
    <col min="21" max="21" width="7.5703125" customWidth="1"/>
    <col min="22" max="22" width="9.5703125" customWidth="1"/>
    <col min="23" max="23" width="8.5703125" customWidth="1"/>
    <col min="27" max="28" width="10.42578125" customWidth="1"/>
    <col min="30" max="30" width="10.7109375" customWidth="1"/>
    <col min="32" max="32" width="10.42578125" customWidth="1"/>
  </cols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</row>
    <row r="2" spans="1:24" x14ac:dyDescent="0.2">
      <c r="B2" t="s">
        <v>0</v>
      </c>
      <c r="C2">
        <v>6.8801814570719353</v>
      </c>
      <c r="D2">
        <v>1196.76</v>
      </c>
      <c r="E2">
        <v>219.161</v>
      </c>
      <c r="H2">
        <v>6.8516071559295462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</row>
    <row r="3" spans="1:24" x14ac:dyDescent="0.2">
      <c r="B3" t="s">
        <v>6</v>
      </c>
      <c r="C3">
        <f>(LN(10^(C2-D2/(E2+55)))-LN(10^(C2-D2/(E2+15))))*-8.314/(1/(273.15+55)-1/(273.15+15))</f>
        <v>33744.544239110459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101.82245727124003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 s="29">
        <v>0.49868041228271959</v>
      </c>
      <c r="O5" s="29"/>
      <c r="Q5" t="s">
        <v>9</v>
      </c>
    </row>
    <row r="6" spans="1:24" ht="15.75" x14ac:dyDescent="0.25">
      <c r="M6" t="s">
        <v>51</v>
      </c>
      <c r="N6" s="30">
        <v>0.56798838756964654</v>
      </c>
      <c r="O6" s="30"/>
    </row>
    <row r="7" spans="1:24" ht="15.75" x14ac:dyDescent="0.25">
      <c r="N7" s="30">
        <f>10000*S24</f>
        <v>5.3156986383695592</v>
      </c>
      <c r="O7" s="30"/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24.91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298.06</v>
      </c>
      <c r="C11">
        <f>10^(H2-I2/(J2+B10))</f>
        <v>97.210000000000264</v>
      </c>
      <c r="D11">
        <v>9.9999999999999994E-12</v>
      </c>
      <c r="E11">
        <f t="shared" ref="E11:E22" si="0">1-D11</f>
        <v>0.99999999999</v>
      </c>
      <c r="F11">
        <v>9.9999999999999998E-13</v>
      </c>
      <c r="G11">
        <f t="shared" ref="G11:G22" si="1">1-F11</f>
        <v>0.99999999999900002</v>
      </c>
      <c r="I11" s="1">
        <v>1</v>
      </c>
      <c r="J11">
        <f>H11/I11</f>
        <v>0</v>
      </c>
      <c r="K11">
        <f>EXP(M11)</f>
        <v>1.6261957346110358</v>
      </c>
      <c r="L11">
        <f>EXP(N11)</f>
        <v>1</v>
      </c>
      <c r="M11">
        <f>$B$13*($B$14*E11/($B$13*D11+$B$14*E11))^2</f>
        <v>0.486243381870337</v>
      </c>
      <c r="N11">
        <f>$B$14*($B$13*D11/($B$13*D11+$B$14*E11))^2</f>
        <v>4.2672197572449123E-23</v>
      </c>
      <c r="O11">
        <f>K11/L11</f>
        <v>1.6261957346110358</v>
      </c>
      <c r="P11">
        <f t="shared" ref="P11:P22" si="2">K11*D11*$C$22+L11*E11*$C$11</f>
        <v>97.210000000569963</v>
      </c>
      <c r="Q11">
        <f t="shared" ref="Q11:Q22" si="3">ABS(C11-P11)</f>
        <v>5.6969895467773313E-10</v>
      </c>
      <c r="R11">
        <f t="shared" ref="R11:R22" si="4">K11*D11*$C$22/P11</f>
        <v>1.5860468840404128E-11</v>
      </c>
      <c r="S11">
        <f t="shared" ref="S11:S22" si="5">ABS(F11-R11)</f>
        <v>1.4860468840404128E-11</v>
      </c>
      <c r="T11">
        <f t="shared" ref="T11:T22" si="6">D11*M11+E11*N11</f>
        <v>4.8624338187460421E-12</v>
      </c>
      <c r="U11" t="e">
        <f t="shared" ref="U11:U22" si="7">D11*LN(H11)+E11*LN(I11)</f>
        <v>#NUM!</v>
      </c>
      <c r="V11">
        <f t="shared" ref="V11:V22" si="8">T11/(D11*E11)</f>
        <v>0.4862433818794667</v>
      </c>
      <c r="X11">
        <f t="shared" ref="X11:X22" si="9">ABS(ABS(V11)-ABS(W11))</f>
        <v>0.4862433818794667</v>
      </c>
    </row>
    <row r="12" spans="1:24" x14ac:dyDescent="0.2">
      <c r="C12">
        <v>105.69</v>
      </c>
      <c r="D12">
        <v>0.1996</v>
      </c>
      <c r="E12">
        <f t="shared" si="0"/>
        <v>0.8004</v>
      </c>
      <c r="F12">
        <v>0.24929999999999999</v>
      </c>
      <c r="G12">
        <f t="shared" si="1"/>
        <v>0.75070000000000003</v>
      </c>
      <c r="H12">
        <f t="shared" ref="H12:H19" si="10">F12*C12/(D12*$C$22)</f>
        <v>1.3923277944983925</v>
      </c>
      <c r="I12">
        <f t="shared" ref="I12:I19" si="11">G12*C12/(E12*$C$11)</f>
        <v>1.0197231777075122</v>
      </c>
      <c r="J12">
        <f t="shared" ref="J12:J22" si="12">H12/I12</f>
        <v>1.365397810833868</v>
      </c>
      <c r="K12">
        <f t="shared" ref="K12:K22" si="13">EXP(M12)</f>
        <v>1.3872257522801952</v>
      </c>
      <c r="L12">
        <f t="shared" ref="L12:L22" si="14">EXP(N12)</f>
        <v>1.0180233989524858</v>
      </c>
      <c r="M12">
        <f t="shared" ref="M12:M22" si="15">$B$13*($B$14*E12/($B$13*D12+$B$14*E12))^2</f>
        <v>0.32730589108765445</v>
      </c>
      <c r="N12">
        <f t="shared" ref="N12:N22" si="16">$B$14*($B$13*D12/($B$13*D12+$B$14*E12))^2</f>
        <v>1.7862903082726884E-2</v>
      </c>
      <c r="O12">
        <f t="shared" ref="O12:O22" si="17">K12/L12</f>
        <v>1.3626658814597061</v>
      </c>
      <c r="P12">
        <f t="shared" si="2"/>
        <v>105.46119407688963</v>
      </c>
      <c r="Q12">
        <f t="shared" si="3"/>
        <v>0.22880592311037162</v>
      </c>
      <c r="R12">
        <f t="shared" si="4"/>
        <v>0.24892535870746774</v>
      </c>
      <c r="S12">
        <f t="shared" si="5"/>
        <v>3.7464129253225731E-4</v>
      </c>
      <c r="T12">
        <f t="shared" si="6"/>
        <v>7.9627723488510424E-2</v>
      </c>
      <c r="U12">
        <f t="shared" si="7"/>
        <v>8.1695782265755912E-2</v>
      </c>
      <c r="V12">
        <f t="shared" si="8"/>
        <v>0.49842140232808463</v>
      </c>
      <c r="W12">
        <f t="shared" ref="W12:W19" si="18">U12/(D12*E12)</f>
        <v>0.51136619982691467</v>
      </c>
      <c r="X12">
        <f t="shared" si="9"/>
        <v>1.2944797498830041E-2</v>
      </c>
    </row>
    <row r="13" spans="1:24" x14ac:dyDescent="0.2">
      <c r="A13" t="s">
        <v>33</v>
      </c>
      <c r="B13">
        <v>0.48624338187887139</v>
      </c>
      <c r="C13">
        <v>108.56</v>
      </c>
      <c r="D13">
        <v>0.3427</v>
      </c>
      <c r="E13">
        <f t="shared" si="0"/>
        <v>0.6573</v>
      </c>
      <c r="F13">
        <v>0.37680000000000002</v>
      </c>
      <c r="G13">
        <f t="shared" si="1"/>
        <v>0.62319999999999998</v>
      </c>
      <c r="H13">
        <f t="shared" si="10"/>
        <v>1.2589615826495788</v>
      </c>
      <c r="I13">
        <f t="shared" si="11"/>
        <v>1.0588213843864356</v>
      </c>
      <c r="J13">
        <f t="shared" si="12"/>
        <v>1.1890216812905796</v>
      </c>
      <c r="K13">
        <f t="shared" si="13"/>
        <v>1.2571891226283383</v>
      </c>
      <c r="L13">
        <f t="shared" si="14"/>
        <v>1.0561186627265586</v>
      </c>
      <c r="M13">
        <f t="shared" si="15"/>
        <v>0.22887837384239079</v>
      </c>
      <c r="N13">
        <f t="shared" si="16"/>
        <v>5.460054897724434E-2</v>
      </c>
      <c r="O13">
        <f t="shared" si="17"/>
        <v>1.1903862387799118</v>
      </c>
      <c r="P13">
        <f t="shared" si="2"/>
        <v>108.32971685286637</v>
      </c>
      <c r="Q13">
        <f t="shared" si="3"/>
        <v>0.23028314713363329</v>
      </c>
      <c r="R13">
        <f t="shared" si="4"/>
        <v>0.37706937211870895</v>
      </c>
      <c r="S13">
        <f t="shared" si="5"/>
        <v>2.6937211870892153E-4</v>
      </c>
      <c r="T13">
        <f t="shared" si="6"/>
        <v>0.11432555955853003</v>
      </c>
      <c r="U13">
        <f t="shared" si="7"/>
        <v>0.11648833111105762</v>
      </c>
      <c r="V13">
        <f t="shared" si="8"/>
        <v>0.50753453496914713</v>
      </c>
      <c r="W13">
        <f t="shared" si="18"/>
        <v>0.5171358984647233</v>
      </c>
      <c r="X13">
        <f t="shared" si="9"/>
        <v>9.6013634955761651E-3</v>
      </c>
    </row>
    <row r="14" spans="1:24" x14ac:dyDescent="0.2">
      <c r="A14" t="s">
        <v>34</v>
      </c>
      <c r="B14">
        <v>0.55406714411687852</v>
      </c>
      <c r="C14">
        <v>109.34</v>
      </c>
      <c r="D14">
        <v>0.44159999999999999</v>
      </c>
      <c r="E14">
        <f t="shared" si="0"/>
        <v>0.55840000000000001</v>
      </c>
      <c r="F14">
        <v>0.4541</v>
      </c>
      <c r="G14">
        <f t="shared" si="1"/>
        <v>0.54590000000000005</v>
      </c>
      <c r="H14">
        <f t="shared" si="10"/>
        <v>1.1858980642444295</v>
      </c>
      <c r="I14">
        <f t="shared" si="11"/>
        <v>1.0996027343396495</v>
      </c>
      <c r="J14">
        <f t="shared" si="12"/>
        <v>1.0784786425222954</v>
      </c>
      <c r="K14">
        <f t="shared" si="13"/>
        <v>1.1846404604255101</v>
      </c>
      <c r="L14">
        <f t="shared" si="14"/>
        <v>1.0974593537823221</v>
      </c>
      <c r="M14">
        <f t="shared" si="15"/>
        <v>0.16943931962567449</v>
      </c>
      <c r="N14">
        <f t="shared" si="16"/>
        <v>9.2997830003300072E-2</v>
      </c>
      <c r="O14">
        <f t="shared" si="17"/>
        <v>1.0794390301041437</v>
      </c>
      <c r="P14">
        <f t="shared" si="2"/>
        <v>109.17099940199031</v>
      </c>
      <c r="Q14">
        <f t="shared" si="3"/>
        <v>0.16900059800968847</v>
      </c>
      <c r="R14">
        <f t="shared" si="4"/>
        <v>0.45432066019609302</v>
      </c>
      <c r="S14">
        <f t="shared" si="5"/>
        <v>2.2066019609301435E-4</v>
      </c>
      <c r="T14">
        <f t="shared" si="6"/>
        <v>0.1267543918205406</v>
      </c>
      <c r="U14">
        <f t="shared" si="7"/>
        <v>0.12831245501736566</v>
      </c>
      <c r="V14">
        <f t="shared" si="8"/>
        <v>0.51403008912523018</v>
      </c>
      <c r="W14">
        <f t="shared" si="18"/>
        <v>0.52034853973213802</v>
      </c>
      <c r="X14">
        <f t="shared" si="9"/>
        <v>6.3184506069078328E-3</v>
      </c>
    </row>
    <row r="15" spans="1:24" x14ac:dyDescent="0.2">
      <c r="A15" s="4"/>
      <c r="C15">
        <v>109.53</v>
      </c>
      <c r="D15">
        <v>0.51690000000000003</v>
      </c>
      <c r="E15">
        <f t="shared" si="0"/>
        <v>0.48309999999999997</v>
      </c>
      <c r="F15">
        <v>0.51049999999999995</v>
      </c>
      <c r="G15">
        <f t="shared" si="1"/>
        <v>0.48950000000000005</v>
      </c>
      <c r="H15">
        <f t="shared" si="10"/>
        <v>1.1409540527736584</v>
      </c>
      <c r="I15">
        <f t="shared" si="11"/>
        <v>1.14166267639657</v>
      </c>
      <c r="J15">
        <f t="shared" si="12"/>
        <v>0.99937930560614596</v>
      </c>
      <c r="K15">
        <f t="shared" si="13"/>
        <v>1.1380667926215502</v>
      </c>
      <c r="L15">
        <f t="shared" si="14"/>
        <v>1.1387567027129328</v>
      </c>
      <c r="M15">
        <f t="shared" si="15"/>
        <v>0.12933102697083296</v>
      </c>
      <c r="N15">
        <f t="shared" si="16"/>
        <v>0.12993705560143312</v>
      </c>
      <c r="O15">
        <f t="shared" si="17"/>
        <v>0.99939415496765993</v>
      </c>
      <c r="P15">
        <f t="shared" si="2"/>
        <v>109.25203243237445</v>
      </c>
      <c r="Q15">
        <f t="shared" si="3"/>
        <v>0.27796756762555219</v>
      </c>
      <c r="R15">
        <f t="shared" si="4"/>
        <v>0.51050371297971553</v>
      </c>
      <c r="S15">
        <f t="shared" si="5"/>
        <v>3.7129797155754929E-6</v>
      </c>
      <c r="T15">
        <f t="shared" si="6"/>
        <v>0.12962379940227589</v>
      </c>
      <c r="U15">
        <f t="shared" si="7"/>
        <v>0.13216475136863209</v>
      </c>
      <c r="V15">
        <f t="shared" si="8"/>
        <v>0.51908822476059902</v>
      </c>
      <c r="W15">
        <f t="shared" si="18"/>
        <v>0.52926365744734249</v>
      </c>
      <c r="X15">
        <f t="shared" si="9"/>
        <v>1.017543268674348E-2</v>
      </c>
    </row>
    <row r="16" spans="1:24" x14ac:dyDescent="0.2">
      <c r="A16" s="4"/>
      <c r="C16">
        <v>109.49</v>
      </c>
      <c r="D16">
        <v>0.53779999999999994</v>
      </c>
      <c r="E16">
        <f t="shared" si="0"/>
        <v>0.46220000000000006</v>
      </c>
      <c r="F16">
        <v>0.52600000000000002</v>
      </c>
      <c r="G16">
        <f t="shared" si="1"/>
        <v>0.47399999999999998</v>
      </c>
      <c r="H16">
        <f t="shared" si="10"/>
        <v>1.1294974517746212</v>
      </c>
      <c r="I16">
        <f t="shared" si="11"/>
        <v>1.1550795983357538</v>
      </c>
      <c r="J16">
        <f t="shared" si="12"/>
        <v>0.97785248168352079</v>
      </c>
      <c r="K16">
        <f t="shared" si="13"/>
        <v>1.1264060667284066</v>
      </c>
      <c r="L16">
        <f t="shared" si="14"/>
        <v>1.1519181961059763</v>
      </c>
      <c r="M16">
        <f t="shared" si="15"/>
        <v>0.11903209235209995</v>
      </c>
      <c r="N16">
        <f t="shared" si="16"/>
        <v>0.14142854942767374</v>
      </c>
      <c r="O16">
        <f t="shared" si="17"/>
        <v>0.97785248165728023</v>
      </c>
      <c r="P16">
        <f t="shared" si="2"/>
        <v>109.1903306677589</v>
      </c>
      <c r="Q16">
        <f t="shared" si="3"/>
        <v>0.29966933224109482</v>
      </c>
      <c r="R16">
        <f t="shared" si="4"/>
        <v>0.52599999999330949</v>
      </c>
      <c r="S16">
        <f t="shared" si="5"/>
        <v>6.6905370132985809E-12</v>
      </c>
      <c r="T16">
        <f t="shared" si="6"/>
        <v>0.12938373481243015</v>
      </c>
      <c r="U16">
        <f t="shared" si="7"/>
        <v>0.13212444330633738</v>
      </c>
      <c r="V16">
        <f t="shared" si="8"/>
        <v>0.52050984037098325</v>
      </c>
      <c r="W16">
        <f t="shared" si="18"/>
        <v>0.53153569105256371</v>
      </c>
      <c r="X16">
        <f t="shared" si="9"/>
        <v>1.1025850681580462E-2</v>
      </c>
    </row>
    <row r="17" spans="1:24" x14ac:dyDescent="0.2">
      <c r="A17" s="4"/>
      <c r="C17">
        <v>109.21</v>
      </c>
      <c r="D17">
        <v>0.58579999999999999</v>
      </c>
      <c r="E17">
        <f t="shared" si="0"/>
        <v>0.41420000000000001</v>
      </c>
      <c r="F17">
        <v>0.56189999999999996</v>
      </c>
      <c r="G17">
        <f t="shared" si="1"/>
        <v>0.43810000000000004</v>
      </c>
      <c r="H17">
        <f t="shared" si="10"/>
        <v>1.1048871565704215</v>
      </c>
      <c r="I17">
        <f t="shared" si="11"/>
        <v>1.1882686042467974</v>
      </c>
      <c r="J17">
        <f t="shared" si="12"/>
        <v>0.92982946163992231</v>
      </c>
      <c r="K17">
        <f t="shared" si="13"/>
        <v>1.1016472700618472</v>
      </c>
      <c r="L17">
        <f t="shared" si="14"/>
        <v>1.1852240449253153</v>
      </c>
      <c r="M17">
        <f t="shared" si="15"/>
        <v>9.6806577880100581E-2</v>
      </c>
      <c r="N17">
        <f t="shared" si="16"/>
        <v>0.16993182416362065</v>
      </c>
      <c r="O17">
        <f t="shared" si="17"/>
        <v>0.92948440826752332</v>
      </c>
      <c r="P17">
        <f t="shared" si="2"/>
        <v>108.9074703822177</v>
      </c>
      <c r="Q17">
        <f t="shared" si="3"/>
        <v>0.30252961778229803</v>
      </c>
      <c r="R17">
        <f t="shared" si="4"/>
        <v>0.56180862953685651</v>
      </c>
      <c r="S17">
        <f t="shared" si="5"/>
        <v>9.1370463143447544E-5</v>
      </c>
      <c r="T17">
        <f t="shared" si="6"/>
        <v>0.12709505489073461</v>
      </c>
      <c r="U17">
        <f t="shared" si="7"/>
        <v>0.12987795069265923</v>
      </c>
      <c r="V17">
        <f t="shared" si="8"/>
        <v>0.52380445899294159</v>
      </c>
      <c r="W17">
        <f t="shared" si="18"/>
        <v>0.53527377407537391</v>
      </c>
      <c r="X17">
        <f t="shared" si="9"/>
        <v>1.1469315082432319E-2</v>
      </c>
    </row>
    <row r="18" spans="1:24" x14ac:dyDescent="0.2">
      <c r="A18" s="1"/>
      <c r="C18">
        <v>108.78</v>
      </c>
      <c r="D18">
        <v>0.61539999999999995</v>
      </c>
      <c r="E18">
        <f t="shared" si="0"/>
        <v>0.38460000000000005</v>
      </c>
      <c r="F18">
        <v>0.58450000000000002</v>
      </c>
      <c r="G18">
        <f t="shared" si="1"/>
        <v>0.41549999999999998</v>
      </c>
      <c r="H18">
        <f t="shared" si="10"/>
        <v>1.0897375888564487</v>
      </c>
      <c r="I18">
        <f t="shared" si="11"/>
        <v>1.2089263942947355</v>
      </c>
      <c r="J18">
        <f t="shared" si="12"/>
        <v>0.90140937777455077</v>
      </c>
      <c r="K18">
        <f t="shared" si="13"/>
        <v>1.0877596132468361</v>
      </c>
      <c r="L18">
        <f t="shared" si="14"/>
        <v>1.2080546852472531</v>
      </c>
      <c r="M18">
        <f t="shared" si="15"/>
        <v>8.4120180315142179E-2</v>
      </c>
      <c r="N18">
        <f t="shared" si="16"/>
        <v>0.18901136773241681</v>
      </c>
      <c r="O18">
        <f t="shared" si="17"/>
        <v>0.90042249455305401</v>
      </c>
      <c r="P18">
        <f t="shared" si="2"/>
        <v>108.63200233219123</v>
      </c>
      <c r="Q18">
        <f t="shared" si="3"/>
        <v>0.14799766780876666</v>
      </c>
      <c r="R18">
        <f t="shared" si="4"/>
        <v>0.58423394143683327</v>
      </c>
      <c r="S18">
        <f t="shared" si="5"/>
        <v>2.6605856316674892E-4</v>
      </c>
      <c r="T18">
        <f t="shared" si="6"/>
        <v>0.12446133099582601</v>
      </c>
      <c r="U18">
        <f t="shared" si="7"/>
        <v>0.1258567743902512</v>
      </c>
      <c r="V18">
        <f t="shared" si="8"/>
        <v>0.5258570118383995</v>
      </c>
      <c r="W18">
        <f t="shared" si="18"/>
        <v>0.53175284862329353</v>
      </c>
      <c r="X18">
        <f t="shared" si="9"/>
        <v>5.8958367848940263E-3</v>
      </c>
    </row>
    <row r="19" spans="1:24" x14ac:dyDescent="0.2">
      <c r="A19" s="1"/>
      <c r="C19">
        <v>107.84</v>
      </c>
      <c r="D19">
        <v>0.68479999999999996</v>
      </c>
      <c r="E19">
        <f t="shared" si="0"/>
        <v>0.31520000000000004</v>
      </c>
      <c r="F19">
        <v>0.6391</v>
      </c>
      <c r="G19">
        <f t="shared" si="1"/>
        <v>0.3609</v>
      </c>
      <c r="H19">
        <f t="shared" si="10"/>
        <v>1.0615263976058353</v>
      </c>
      <c r="I19">
        <f t="shared" si="11"/>
        <v>1.2701926907939602</v>
      </c>
      <c r="J19">
        <f t="shared" si="12"/>
        <v>0.83572075740910323</v>
      </c>
      <c r="K19">
        <f t="shared" si="13"/>
        <v>1.0592418371003873</v>
      </c>
      <c r="L19">
        <f t="shared" si="14"/>
        <v>1.269224551443864</v>
      </c>
      <c r="M19">
        <f t="shared" si="15"/>
        <v>5.7553404193575033E-2</v>
      </c>
      <c r="N19">
        <f t="shared" si="16"/>
        <v>0.23840612457058852</v>
      </c>
      <c r="O19">
        <f t="shared" si="17"/>
        <v>0.83455826307125769</v>
      </c>
      <c r="P19">
        <f t="shared" si="2"/>
        <v>107.66200851766862</v>
      </c>
      <c r="Q19">
        <f t="shared" si="3"/>
        <v>0.17799148233137885</v>
      </c>
      <c r="R19">
        <f t="shared" si="4"/>
        <v>0.63877887685151002</v>
      </c>
      <c r="S19">
        <f t="shared" si="5"/>
        <v>3.2112314848997681E-4</v>
      </c>
      <c r="T19">
        <f t="shared" si="6"/>
        <v>0.11455818165640969</v>
      </c>
      <c r="U19">
        <f t="shared" si="7"/>
        <v>0.11627389655057765</v>
      </c>
      <c r="V19">
        <f t="shared" si="8"/>
        <v>0.53073307212788834</v>
      </c>
      <c r="W19">
        <f t="shared" si="18"/>
        <v>0.53868175482790215</v>
      </c>
      <c r="X19">
        <f t="shared" si="9"/>
        <v>7.9486827000138094E-3</v>
      </c>
    </row>
    <row r="20" spans="1:24" x14ac:dyDescent="0.2">
      <c r="A20" s="1"/>
      <c r="C20">
        <v>105.65</v>
      </c>
      <c r="D20">
        <v>0.78059999999999996</v>
      </c>
      <c r="E20">
        <f t="shared" si="0"/>
        <v>0.21940000000000004</v>
      </c>
      <c r="F20">
        <v>0.72209999999999996</v>
      </c>
      <c r="G20">
        <f t="shared" si="1"/>
        <v>0.27790000000000004</v>
      </c>
      <c r="H20">
        <f>F20*C20/(D20*$C$22)</f>
        <v>1.0308231252747808</v>
      </c>
      <c r="I20">
        <f>G20*C20/(E20*$C$11)</f>
        <v>1.3766086108723223</v>
      </c>
      <c r="J20">
        <f t="shared" si="12"/>
        <v>0.74881350961590609</v>
      </c>
      <c r="K20">
        <f t="shared" si="13"/>
        <v>1.0290261548441346</v>
      </c>
      <c r="L20">
        <f t="shared" si="14"/>
        <v>1.3741846269104159</v>
      </c>
      <c r="M20">
        <f t="shared" si="15"/>
        <v>2.8612874258853067E-2</v>
      </c>
      <c r="N20">
        <f t="shared" si="16"/>
        <v>0.31786055661471219</v>
      </c>
      <c r="O20">
        <f t="shared" si="17"/>
        <v>0.74882671126782852</v>
      </c>
      <c r="P20">
        <f>K20*D20*$C$22+L20*E20*$C$11</f>
        <v>105.46531015512947</v>
      </c>
      <c r="Q20">
        <f>ABS(C20-P20)</f>
        <v>0.18468984487053319</v>
      </c>
      <c r="R20">
        <f>K20*D20*$C$22/P20</f>
        <v>0.72210353781378434</v>
      </c>
      <c r="S20">
        <f>ABS(F20-R20)</f>
        <v>3.5378137843711244E-6</v>
      </c>
      <c r="T20">
        <f>D20*M20+E20*N20</f>
        <v>9.2073815767728565E-2</v>
      </c>
      <c r="U20">
        <f>D20*LN(H20)+E20*LN(I20)</f>
        <v>9.3822443360033064E-2</v>
      </c>
      <c r="V20">
        <f>T20/(D20*E20)</f>
        <v>0.53761449755317914</v>
      </c>
      <c r="W20">
        <f>U20/(D20*E20)</f>
        <v>0.54782464836104761</v>
      </c>
      <c r="X20">
        <f>ABS(ABS(V20)-ABS(W20))</f>
        <v>1.0210150807868468E-2</v>
      </c>
    </row>
    <row r="21" spans="1:24" x14ac:dyDescent="0.2">
      <c r="A21" s="4"/>
      <c r="C21">
        <v>101.9</v>
      </c>
      <c r="D21">
        <v>0.88319999999999999</v>
      </c>
      <c r="E21">
        <f t="shared" si="0"/>
        <v>0.11680000000000001</v>
      </c>
      <c r="F21">
        <v>0.82979999999999998</v>
      </c>
      <c r="G21">
        <f t="shared" si="1"/>
        <v>0.17020000000000002</v>
      </c>
      <c r="H21">
        <f>F21*C21/(D21*$C$22)</f>
        <v>1.009797770598404</v>
      </c>
      <c r="I21">
        <f>G21*C21/(E21*$C$11)</f>
        <v>1.5274955505169532</v>
      </c>
      <c r="J21">
        <f t="shared" si="12"/>
        <v>0.66108066256340736</v>
      </c>
      <c r="K21">
        <f t="shared" si="13"/>
        <v>1.0083739805090983</v>
      </c>
      <c r="L21">
        <f t="shared" si="14"/>
        <v>1.5196044021670772</v>
      </c>
      <c r="M21">
        <f t="shared" si="15"/>
        <v>8.33911325091111E-3</v>
      </c>
      <c r="N21">
        <f t="shared" si="16"/>
        <v>0.41845003925203672</v>
      </c>
      <c r="O21">
        <f t="shared" si="17"/>
        <v>0.66357663815074275</v>
      </c>
      <c r="P21">
        <f>K21*D21*$C$22+L21*E21*$C$11</f>
        <v>101.69118013128274</v>
      </c>
      <c r="Q21">
        <f>ABS(C21-P21)</f>
        <v>0.20881986871727065</v>
      </c>
      <c r="R21">
        <f>K21*D21*$C$22/P21</f>
        <v>0.83033156986383694</v>
      </c>
      <c r="S21">
        <f>ABS(F21-R21)</f>
        <v>5.3156986383695592E-4</v>
      </c>
      <c r="T21">
        <f>D21*M21+E21*N21</f>
        <v>5.6240069407842583E-2</v>
      </c>
      <c r="U21">
        <f>D21*LN(H21)+E21*LN(I21)</f>
        <v>5.8091199401187378E-2</v>
      </c>
      <c r="V21">
        <f>T21/(D21*E21)</f>
        <v>0.54518505837895836</v>
      </c>
      <c r="W21">
        <f>U21/(D21*E21)</f>
        <v>0.56312970930337547</v>
      </c>
      <c r="X21">
        <f>ABS(ABS(V21)-ABS(W21))</f>
        <v>1.7944650924417105E-2</v>
      </c>
    </row>
    <row r="22" spans="1:24" x14ac:dyDescent="0.2">
      <c r="C22">
        <f>10^(C2-D2/(E2+B10))</f>
        <v>94.810000000000116</v>
      </c>
      <c r="D22">
        <v>0.99999990000000005</v>
      </c>
      <c r="E22">
        <f t="shared" si="0"/>
        <v>9.9999999947364415E-8</v>
      </c>
      <c r="F22">
        <v>0.99999999999900002</v>
      </c>
      <c r="G22">
        <f t="shared" si="1"/>
        <v>9.999778782798785E-13</v>
      </c>
      <c r="H22">
        <v>1</v>
      </c>
      <c r="J22" t="e">
        <f t="shared" si="12"/>
        <v>#DIV/0!</v>
      </c>
      <c r="K22">
        <f t="shared" si="13"/>
        <v>1.0000000000000062</v>
      </c>
      <c r="L22">
        <f t="shared" si="14"/>
        <v>1.7403165428285527</v>
      </c>
      <c r="M22">
        <f t="shared" si="15"/>
        <v>6.3135130007591963E-15</v>
      </c>
      <c r="N22">
        <f t="shared" si="16"/>
        <v>0.55406701784662393</v>
      </c>
      <c r="O22">
        <f t="shared" si="17"/>
        <v>0.57460811030084036</v>
      </c>
      <c r="P22">
        <f t="shared" si="2"/>
        <v>94.810007436617809</v>
      </c>
      <c r="Q22">
        <f t="shared" si="3"/>
        <v>7.436617693201697E-6</v>
      </c>
      <c r="R22">
        <f t="shared" si="4"/>
        <v>0.99999982156295986</v>
      </c>
      <c r="S22">
        <f t="shared" si="5"/>
        <v>1.7843604016576364E-7</v>
      </c>
      <c r="T22">
        <f t="shared" si="6"/>
        <v>5.5406708069011117E-8</v>
      </c>
      <c r="U22" t="e">
        <f t="shared" si="7"/>
        <v>#NUM!</v>
      </c>
      <c r="V22">
        <f t="shared" si="8"/>
        <v>0.55406713638846117</v>
      </c>
      <c r="X22">
        <f t="shared" si="9"/>
        <v>0.55406713638846117</v>
      </c>
    </row>
    <row r="23" spans="1:24" x14ac:dyDescent="0.2">
      <c r="P23" t="s">
        <v>10</v>
      </c>
      <c r="Q23">
        <f>AVERAGE(Q12:Q21)</f>
        <v>0.22277550496305878</v>
      </c>
      <c r="S23">
        <f>AVERAGE(S12:S21)</f>
        <v>2.0820464461618061E-4</v>
      </c>
    </row>
    <row r="24" spans="1:24" x14ac:dyDescent="0.2">
      <c r="P24" t="s">
        <v>11</v>
      </c>
      <c r="Q24" s="7">
        <f>MAX(Q12:Q21)</f>
        <v>0.30252961778229803</v>
      </c>
      <c r="S24">
        <f>MAX(S12:S21)</f>
        <v>5.3156986383695592E-4</v>
      </c>
    </row>
    <row r="26" spans="1:24" x14ac:dyDescent="0.2">
      <c r="R26">
        <f>100000*S23</f>
        <v>20.820464461618062</v>
      </c>
    </row>
  </sheetData>
  <phoneticPr fontId="0" type="noConversion"/>
  <pageMargins left="0.75" right="0.75" top="1" bottom="1" header="0.5" footer="0.5"/>
  <pageSetup paperSize="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7"/>
  <sheetViews>
    <sheetView zoomScale="75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2" max="2" width="15.85546875" customWidth="1"/>
    <col min="3" max="3" width="14.140625" customWidth="1"/>
    <col min="8" max="8" width="10.5703125" customWidth="1"/>
    <col min="9" max="12" width="9.28515625" bestFit="1" customWidth="1"/>
    <col min="13" max="13" width="14.85546875" bestFit="1" customWidth="1"/>
    <col min="14" max="14" width="9.28515625" bestFit="1" customWidth="1"/>
    <col min="15" max="15" width="9.28515625" customWidth="1"/>
    <col min="16" max="16" width="9.28515625" bestFit="1" customWidth="1"/>
    <col min="17" max="17" width="9.7109375" customWidth="1"/>
    <col min="19" max="19" width="10.140625" customWidth="1"/>
    <col min="21" max="21" width="7.5703125" customWidth="1"/>
    <col min="22" max="22" width="9.5703125" customWidth="1"/>
    <col min="23" max="23" width="8.5703125" customWidth="1"/>
    <col min="27" max="28" width="10.42578125" customWidth="1"/>
    <col min="30" max="30" width="10.7109375" customWidth="1"/>
    <col min="32" max="32" width="10.42578125" customWidth="1"/>
  </cols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</row>
    <row r="2" spans="1:24" x14ac:dyDescent="0.2">
      <c r="B2" t="s">
        <v>0</v>
      </c>
      <c r="C2">
        <v>6.8794720199567898</v>
      </c>
      <c r="D2">
        <v>1196.76</v>
      </c>
      <c r="E2">
        <v>219.161</v>
      </c>
      <c r="H2">
        <v>6.8509139000677548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</row>
    <row r="3" spans="1:24" x14ac:dyDescent="0.2">
      <c r="B3" t="s">
        <v>6</v>
      </c>
      <c r="C3">
        <f>(LN(10^(C2-D2/(E2+55)))-LN(10^(C2-D2/(E2+15))))*-8.314/(1/(273.15+55)-1/(273.15+15))</f>
        <v>33744.544239110459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99.455173101429423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>
        <v>0.4370900760756985</v>
      </c>
      <c r="Q5" t="s">
        <v>9</v>
      </c>
    </row>
    <row r="6" spans="1:24" x14ac:dyDescent="0.2">
      <c r="M6" t="s">
        <v>51</v>
      </c>
      <c r="N6">
        <v>0.50741355125443477</v>
      </c>
    </row>
    <row r="7" spans="1:24" x14ac:dyDescent="0.2">
      <c r="N7">
        <f>10000*S26</f>
        <v>0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25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298.14999999999998</v>
      </c>
      <c r="C11">
        <f>10^(H2-I2/(J2+B10))</f>
        <v>97.44999999999996</v>
      </c>
      <c r="D11">
        <v>9.9999999999999994E-12</v>
      </c>
      <c r="E11">
        <f t="shared" ref="E11:E23" si="0">1-D11</f>
        <v>0.99999999999</v>
      </c>
      <c r="F11">
        <v>9.9999999999999998E-13</v>
      </c>
      <c r="G11">
        <f t="shared" ref="G11:G23" si="1">1-F11</f>
        <v>0.99999999999900002</v>
      </c>
      <c r="I11" s="1">
        <v>1</v>
      </c>
      <c r="J11">
        <f>H11/I11</f>
        <v>0</v>
      </c>
      <c r="K11">
        <f>EXP(M11)</f>
        <v>1.5417766464646392</v>
      </c>
      <c r="L11">
        <f>EXP(N11)</f>
        <v>1</v>
      </c>
      <c r="M11">
        <f>$B$13*($B$14*E11/($B$13*D11+$B$14*E11))^2</f>
        <v>0.43293541799916063</v>
      </c>
      <c r="N11">
        <f>$B$14*($B$13*D11/($B$13*D11+$B$14*E11))^2</f>
        <v>3.7305195923174497E-23</v>
      </c>
      <c r="O11">
        <f>K11/L11</f>
        <v>1.5417766464646392</v>
      </c>
      <c r="P11">
        <f t="shared" ref="P11:P23" si="2">K11*D11*$C$23+L11*E11*$C$11</f>
        <v>97.450000000490917</v>
      </c>
      <c r="Q11">
        <f t="shared" ref="Q11:Q23" si="3">ABS(C11-P11)</f>
        <v>4.9095660870079882E-10</v>
      </c>
      <c r="R11">
        <f t="shared" ref="R11:R23" si="4">K11*D11*$C$23/P11</f>
        <v>1.5038057490582384E-11</v>
      </c>
      <c r="S11">
        <f t="shared" ref="S11:S23" si="5">ABS(F11-R11)</f>
        <v>1.4038057490582385E-11</v>
      </c>
      <c r="T11">
        <f t="shared" ref="T11:T23" si="6">D11*M11+E11*N11</f>
        <v>4.3293541800289115E-12</v>
      </c>
      <c r="U11" t="e">
        <f t="shared" ref="U11:U23" si="7">D11*LN(H11)+E11*LN(I11)</f>
        <v>#NUM!</v>
      </c>
      <c r="V11">
        <f t="shared" ref="V11:V23" si="8">T11/(D11*E11)</f>
        <v>0.43293541800722052</v>
      </c>
      <c r="X11">
        <f t="shared" ref="X11:X23" si="9">ABS(ABS(V11)-ABS(W11))</f>
        <v>0.43293541800722052</v>
      </c>
    </row>
    <row r="12" spans="1:24" x14ac:dyDescent="0.2">
      <c r="C12">
        <v>102.05</v>
      </c>
      <c r="D12">
        <v>0.10349999999999999</v>
      </c>
      <c r="E12">
        <f t="shared" si="0"/>
        <v>0.89649999999999996</v>
      </c>
      <c r="F12">
        <v>0.13750000000000001</v>
      </c>
      <c r="G12">
        <f t="shared" si="1"/>
        <v>0.86250000000000004</v>
      </c>
      <c r="H12">
        <f t="shared" ref="H12:H22" si="10">F12*C12/(D12*$C$23)</f>
        <v>1.4263405733570214</v>
      </c>
      <c r="I12">
        <f t="shared" ref="I12:I22" si="11">G12*C12/(E12*$C$11)</f>
        <v>1.007488216675247</v>
      </c>
      <c r="J12">
        <f t="shared" ref="J12:J23" si="12">H12/I12</f>
        <v>1.4157392113865157</v>
      </c>
      <c r="K12">
        <f t="shared" ref="K12:K23" si="13">EXP(M12)</f>
        <v>1.4306606275996057</v>
      </c>
      <c r="L12">
        <f t="shared" ref="L12:L23" si="14">EXP(N12)</f>
        <v>1.0041216218788915</v>
      </c>
      <c r="M12">
        <f t="shared" ref="M12:M23" si="15">$B$13*($B$14*E12/($B$13*D12+$B$14*E12))^2</f>
        <v>0.35813631493551923</v>
      </c>
      <c r="N12">
        <f t="shared" ref="N12:N23" si="16">$B$14*($B$13*D12/($B$13*D12+$B$14*E12))^2</f>
        <v>4.1131512625768255E-3</v>
      </c>
      <c r="O12">
        <f t="shared" ref="O12:O23" si="17">K12/L12</f>
        <v>1.4247881894252841</v>
      </c>
      <c r="P12">
        <f t="shared" si="2"/>
        <v>101.79838035432672</v>
      </c>
      <c r="Q12">
        <f t="shared" si="3"/>
        <v>0.25161964567327288</v>
      </c>
      <c r="R12">
        <f t="shared" si="4"/>
        <v>0.13825734987759766</v>
      </c>
      <c r="S12">
        <f t="shared" si="5"/>
        <v>7.5734987759765171E-4</v>
      </c>
      <c r="T12">
        <f t="shared" si="6"/>
        <v>4.0754548702726358E-2</v>
      </c>
      <c r="U12">
        <f t="shared" si="7"/>
        <v>4.3442281038072482E-2</v>
      </c>
      <c r="V12">
        <f t="shared" si="8"/>
        <v>0.43922337488220548</v>
      </c>
      <c r="W12">
        <f t="shared" ref="W12:W22" si="18">U12/(D12*E12)</f>
        <v>0.46818983150332333</v>
      </c>
      <c r="X12">
        <f t="shared" si="9"/>
        <v>2.8966456621117853E-2</v>
      </c>
    </row>
    <row r="13" spans="1:24" x14ac:dyDescent="0.2">
      <c r="A13" t="s">
        <v>33</v>
      </c>
      <c r="B13">
        <v>0.43293541800662166</v>
      </c>
      <c r="C13">
        <v>104.5</v>
      </c>
      <c r="D13">
        <v>0.17499999999999999</v>
      </c>
      <c r="E13">
        <f t="shared" si="0"/>
        <v>0.82499999999999996</v>
      </c>
      <c r="F13">
        <v>0.217</v>
      </c>
      <c r="G13">
        <f t="shared" si="1"/>
        <v>0.78300000000000003</v>
      </c>
      <c r="H13">
        <f t="shared" si="10"/>
        <v>1.3632824829037382</v>
      </c>
      <c r="I13">
        <f t="shared" si="11"/>
        <v>1.017752693689072</v>
      </c>
      <c r="J13">
        <f t="shared" si="12"/>
        <v>1.3395027017439929</v>
      </c>
      <c r="K13">
        <f t="shared" si="13"/>
        <v>1.3626989142797927</v>
      </c>
      <c r="L13">
        <f t="shared" si="14"/>
        <v>1.0120708300206946</v>
      </c>
      <c r="M13">
        <f t="shared" si="15"/>
        <v>0.30946722903140583</v>
      </c>
      <c r="N13">
        <f t="shared" si="16"/>
        <v>1.1998558555104625E-2</v>
      </c>
      <c r="O13">
        <f t="shared" si="17"/>
        <v>1.3464461911741181</v>
      </c>
      <c r="P13">
        <f t="shared" si="2"/>
        <v>104.03349253345267</v>
      </c>
      <c r="Q13">
        <f t="shared" si="3"/>
        <v>0.466507466547327</v>
      </c>
      <c r="R13">
        <f t="shared" si="4"/>
        <v>0.21787976653876909</v>
      </c>
      <c r="S13">
        <f t="shared" si="5"/>
        <v>8.7976653876908895E-4</v>
      </c>
      <c r="T13">
        <f t="shared" si="6"/>
        <v>6.4055575888457325E-2</v>
      </c>
      <c r="U13">
        <f t="shared" si="7"/>
        <v>6.8749179828911058E-2</v>
      </c>
      <c r="V13">
        <f t="shared" si="8"/>
        <v>0.44367498450879539</v>
      </c>
      <c r="W13">
        <f t="shared" si="18"/>
        <v>0.476184795351765</v>
      </c>
      <c r="X13">
        <f t="shared" si="9"/>
        <v>3.2509810842969611E-2</v>
      </c>
    </row>
    <row r="14" spans="1:24" x14ac:dyDescent="0.2">
      <c r="A14" t="s">
        <v>34</v>
      </c>
      <c r="B14">
        <v>0.50243155551597241</v>
      </c>
      <c r="C14">
        <v>106.75</v>
      </c>
      <c r="D14" s="15">
        <v>0.27600000000000002</v>
      </c>
      <c r="E14">
        <f t="shared" si="0"/>
        <v>0.72399999999999998</v>
      </c>
      <c r="F14">
        <v>0.313</v>
      </c>
      <c r="G14">
        <f t="shared" si="1"/>
        <v>0.68700000000000006</v>
      </c>
      <c r="H14">
        <f t="shared" si="10"/>
        <v>1.273652692328221</v>
      </c>
      <c r="I14">
        <f t="shared" si="11"/>
        <v>1.0394514540676767</v>
      </c>
      <c r="J14">
        <f t="shared" si="12"/>
        <v>1.2253123388726299</v>
      </c>
      <c r="K14">
        <f t="shared" si="13"/>
        <v>1.2780130837120607</v>
      </c>
      <c r="L14">
        <f t="shared" si="14"/>
        <v>1.0311949231698814</v>
      </c>
      <c r="M14">
        <f t="shared" si="15"/>
        <v>0.2453065935493085</v>
      </c>
      <c r="N14">
        <f t="shared" si="16"/>
        <v>3.0718249405237937E-2</v>
      </c>
      <c r="O14">
        <f t="shared" si="17"/>
        <v>1.2393516055950538</v>
      </c>
      <c r="P14">
        <f t="shared" si="2"/>
        <v>106.28186000582852</v>
      </c>
      <c r="Q14">
        <f t="shared" si="3"/>
        <v>0.46813999417148011</v>
      </c>
      <c r="R14">
        <f t="shared" si="4"/>
        <v>0.31545495754070113</v>
      </c>
      <c r="S14">
        <f t="shared" si="5"/>
        <v>2.4549575407011304E-3</v>
      </c>
      <c r="T14">
        <f t="shared" si="6"/>
        <v>8.9944632389001411E-2</v>
      </c>
      <c r="U14">
        <f t="shared" si="7"/>
        <v>9.477516182531677E-2</v>
      </c>
      <c r="V14">
        <f t="shared" si="8"/>
        <v>0.45011926689987897</v>
      </c>
      <c r="W14">
        <f t="shared" si="18"/>
        <v>0.47429318713125934</v>
      </c>
      <c r="X14">
        <f t="shared" si="9"/>
        <v>2.4173920231380375E-2</v>
      </c>
    </row>
    <row r="15" spans="1:24" x14ac:dyDescent="0.2">
      <c r="A15" s="4"/>
      <c r="C15">
        <v>108.1</v>
      </c>
      <c r="D15">
        <v>0.377</v>
      </c>
      <c r="E15">
        <f t="shared" si="0"/>
        <v>0.623</v>
      </c>
      <c r="F15">
        <v>0.40150000000000002</v>
      </c>
      <c r="G15">
        <f t="shared" si="1"/>
        <v>0.59850000000000003</v>
      </c>
      <c r="H15">
        <f t="shared" si="10"/>
        <v>1.2112053268069187</v>
      </c>
      <c r="I15">
        <f t="shared" si="11"/>
        <v>1.0656631750076391</v>
      </c>
      <c r="J15">
        <f t="shared" si="12"/>
        <v>1.1365742527400708</v>
      </c>
      <c r="K15">
        <f t="shared" si="13"/>
        <v>1.2056663069324449</v>
      </c>
      <c r="L15">
        <f t="shared" si="14"/>
        <v>1.0607921863301129</v>
      </c>
      <c r="M15">
        <f t="shared" si="15"/>
        <v>0.18703236593225583</v>
      </c>
      <c r="N15">
        <f t="shared" si="16"/>
        <v>5.9015974594762266E-2</v>
      </c>
      <c r="O15">
        <f t="shared" si="17"/>
        <v>1.1365716324735899</v>
      </c>
      <c r="P15">
        <f t="shared" si="2"/>
        <v>107.60579129422375</v>
      </c>
      <c r="Q15">
        <f t="shared" si="3"/>
        <v>0.49420870577624498</v>
      </c>
      <c r="R15">
        <f t="shared" si="4"/>
        <v>0.401499446015321</v>
      </c>
      <c r="S15">
        <f t="shared" si="5"/>
        <v>5.5398467901923709E-7</v>
      </c>
      <c r="T15">
        <f t="shared" si="6"/>
        <v>0.10727815412899734</v>
      </c>
      <c r="U15">
        <f t="shared" si="7"/>
        <v>0.11186035357592435</v>
      </c>
      <c r="V15">
        <f t="shared" si="8"/>
        <v>0.45675351205128495</v>
      </c>
      <c r="W15">
        <f t="shared" si="18"/>
        <v>0.47626294253409041</v>
      </c>
      <c r="X15">
        <f t="shared" si="9"/>
        <v>1.9509430482805457E-2</v>
      </c>
    </row>
    <row r="16" spans="1:24" x14ac:dyDescent="0.2">
      <c r="A16" s="4"/>
      <c r="C16">
        <v>108.45</v>
      </c>
      <c r="D16">
        <v>0.433</v>
      </c>
      <c r="E16">
        <f t="shared" si="0"/>
        <v>0.56699999999999995</v>
      </c>
      <c r="F16">
        <v>0.44600000000000001</v>
      </c>
      <c r="G16">
        <f t="shared" si="1"/>
        <v>0.55400000000000005</v>
      </c>
      <c r="H16">
        <f t="shared" si="10"/>
        <v>1.1752341359172849</v>
      </c>
      <c r="I16">
        <f t="shared" si="11"/>
        <v>1.0873626686864251</v>
      </c>
      <c r="J16">
        <f t="shared" si="12"/>
        <v>1.0808115541956318</v>
      </c>
      <c r="K16">
        <f t="shared" si="13"/>
        <v>1.170561036559558</v>
      </c>
      <c r="L16">
        <f t="shared" si="14"/>
        <v>1.0823546454833795</v>
      </c>
      <c r="M16">
        <f t="shared" si="15"/>
        <v>0.1574831523044164</v>
      </c>
      <c r="N16">
        <f t="shared" si="16"/>
        <v>7.9138895188867228E-2</v>
      </c>
      <c r="O16">
        <f t="shared" si="17"/>
        <v>1.0814949069089879</v>
      </c>
      <c r="P16">
        <f t="shared" si="2"/>
        <v>107.98095682005426</v>
      </c>
      <c r="Q16">
        <f t="shared" si="3"/>
        <v>0.46904317994574285</v>
      </c>
      <c r="R16">
        <f t="shared" si="4"/>
        <v>0.44615617701557064</v>
      </c>
      <c r="S16">
        <f t="shared" si="5"/>
        <v>1.5617701557063546E-4</v>
      </c>
      <c r="T16">
        <f t="shared" si="6"/>
        <v>0.11306195851990002</v>
      </c>
      <c r="U16">
        <f t="shared" si="7"/>
        <v>0.11740457608028312</v>
      </c>
      <c r="V16">
        <f t="shared" si="8"/>
        <v>0.46051687508869266</v>
      </c>
      <c r="W16">
        <f t="shared" si="18"/>
        <v>0.47820495244727584</v>
      </c>
      <c r="X16">
        <f t="shared" si="9"/>
        <v>1.7688077358583187E-2</v>
      </c>
    </row>
    <row r="17" spans="1:24" x14ac:dyDescent="0.2">
      <c r="A17" s="4"/>
      <c r="C17">
        <v>108.65</v>
      </c>
      <c r="D17">
        <v>0.50900000000000001</v>
      </c>
      <c r="E17">
        <f t="shared" si="0"/>
        <v>0.49099999999999999</v>
      </c>
      <c r="F17">
        <v>0.505</v>
      </c>
      <c r="G17">
        <f t="shared" si="1"/>
        <v>0.495</v>
      </c>
      <c r="H17">
        <f t="shared" si="10"/>
        <v>1.1340996208179159</v>
      </c>
      <c r="I17">
        <f t="shared" si="11"/>
        <v>1.1240136724770866</v>
      </c>
      <c r="J17">
        <f t="shared" si="12"/>
        <v>1.0089731544978471</v>
      </c>
      <c r="K17">
        <f t="shared" si="13"/>
        <v>1.128377652742693</v>
      </c>
      <c r="L17">
        <f t="shared" si="14"/>
        <v>1.1183396373134502</v>
      </c>
      <c r="M17">
        <f t="shared" si="15"/>
        <v>0.12078089557410131</v>
      </c>
      <c r="N17">
        <f t="shared" si="16"/>
        <v>0.11184511868163026</v>
      </c>
      <c r="O17">
        <f t="shared" si="17"/>
        <v>1.0089758201304182</v>
      </c>
      <c r="P17">
        <f t="shared" si="2"/>
        <v>108.10167765882716</v>
      </c>
      <c r="Q17">
        <f t="shared" si="3"/>
        <v>0.54832234117284884</v>
      </c>
      <c r="R17">
        <f t="shared" si="4"/>
        <v>0.50500066041461078</v>
      </c>
      <c r="S17">
        <f t="shared" si="5"/>
        <v>6.6041461077581687E-7</v>
      </c>
      <c r="T17">
        <f t="shared" si="6"/>
        <v>0.11639342911989803</v>
      </c>
      <c r="U17">
        <f t="shared" si="7"/>
        <v>0.1214528812226677</v>
      </c>
      <c r="V17">
        <f t="shared" si="8"/>
        <v>0.46572461125363829</v>
      </c>
      <c r="W17">
        <f t="shared" si="18"/>
        <v>0.48596897883981488</v>
      </c>
      <c r="X17">
        <f t="shared" si="9"/>
        <v>2.0244367586176593E-2</v>
      </c>
    </row>
    <row r="18" spans="1:24" x14ac:dyDescent="0.2">
      <c r="A18" s="1"/>
      <c r="C18">
        <v>108.3</v>
      </c>
      <c r="D18">
        <v>0.58299999999999996</v>
      </c>
      <c r="E18">
        <f t="shared" si="0"/>
        <v>0.41700000000000004</v>
      </c>
      <c r="F18">
        <v>0.56200000000000006</v>
      </c>
      <c r="G18">
        <f t="shared" si="1"/>
        <v>0.43799999999999994</v>
      </c>
      <c r="H18">
        <f t="shared" si="10"/>
        <v>1.098358451767286</v>
      </c>
      <c r="I18">
        <f t="shared" si="11"/>
        <v>1.1673058679787829</v>
      </c>
      <c r="J18">
        <f t="shared" si="12"/>
        <v>0.940934575844392</v>
      </c>
      <c r="K18">
        <f t="shared" si="13"/>
        <v>1.0931555784923874</v>
      </c>
      <c r="L18">
        <f t="shared" si="14"/>
        <v>1.1618520134255672</v>
      </c>
      <c r="M18">
        <f t="shared" si="15"/>
        <v>8.9068539863069993E-2</v>
      </c>
      <c r="N18">
        <f t="shared" si="16"/>
        <v>0.15001529526392582</v>
      </c>
      <c r="O18">
        <f t="shared" si="17"/>
        <v>0.94087333486591174</v>
      </c>
      <c r="P18">
        <f t="shared" si="2"/>
        <v>107.79006082128384</v>
      </c>
      <c r="Q18">
        <f t="shared" si="3"/>
        <v>0.50993917871615224</v>
      </c>
      <c r="R18">
        <f t="shared" si="4"/>
        <v>0.56198397828487545</v>
      </c>
      <c r="S18">
        <f t="shared" si="5"/>
        <v>1.6021715124603375E-5</v>
      </c>
      <c r="T18">
        <f t="shared" si="6"/>
        <v>0.11448333686522688</v>
      </c>
      <c r="U18">
        <f t="shared" si="7"/>
        <v>0.11920440417809304</v>
      </c>
      <c r="V18">
        <f t="shared" si="8"/>
        <v>0.47090973615026421</v>
      </c>
      <c r="W18">
        <f t="shared" si="18"/>
        <v>0.4903291261115007</v>
      </c>
      <c r="X18">
        <f t="shared" si="9"/>
        <v>1.9419389961236488E-2</v>
      </c>
    </row>
    <row r="19" spans="1:24" x14ac:dyDescent="0.2">
      <c r="A19" s="1"/>
      <c r="C19">
        <v>106.9</v>
      </c>
      <c r="D19">
        <v>0.69399999999999995</v>
      </c>
      <c r="E19">
        <f t="shared" si="0"/>
        <v>0.30600000000000005</v>
      </c>
      <c r="F19">
        <v>0.65049999999999997</v>
      </c>
      <c r="G19">
        <f t="shared" si="1"/>
        <v>0.34950000000000003</v>
      </c>
      <c r="H19">
        <f>F19*C19/(D19*$C$23)</f>
        <v>1.0541767036005647</v>
      </c>
      <c r="I19">
        <f>G19*C19/(E19*$C$11)</f>
        <v>1.2529150192657879</v>
      </c>
      <c r="J19">
        <f t="shared" si="12"/>
        <v>0.84137925349343767</v>
      </c>
      <c r="K19">
        <f t="shared" si="13"/>
        <v>1.0508556511040932</v>
      </c>
      <c r="L19">
        <f t="shared" si="14"/>
        <v>1.2459018091117688</v>
      </c>
      <c r="M19">
        <f t="shared" si="15"/>
        <v>4.9604738127386701E-2</v>
      </c>
      <c r="N19">
        <f t="shared" si="16"/>
        <v>0.21985961237377236</v>
      </c>
      <c r="O19">
        <f t="shared" si="17"/>
        <v>0.84344981556232879</v>
      </c>
      <c r="P19">
        <f>K19*D19*$C$23+L19*E19*$C$11</f>
        <v>106.47179594555621</v>
      </c>
      <c r="Q19">
        <f>ABS(C19-P19)</f>
        <v>0.42820405444379617</v>
      </c>
      <c r="R19">
        <f>K19*D19*$C$23/P19</f>
        <v>0.65105859399452704</v>
      </c>
      <c r="S19">
        <f>ABS(F19-R19)</f>
        <v>5.5859399452706793E-4</v>
      </c>
      <c r="T19">
        <f>D19*M19+E19*N19</f>
        <v>0.10170272964678073</v>
      </c>
      <c r="U19">
        <f>D19*LN(H19)+E19*LN(I19)</f>
        <v>0.10561019271083735</v>
      </c>
      <c r="V19">
        <f>T19/(D19*E19)</f>
        <v>0.47890758154292029</v>
      </c>
      <c r="W19">
        <f>U19/(D19*E19)</f>
        <v>0.49730741891675301</v>
      </c>
      <c r="X19">
        <f>ABS(ABS(V19)-ABS(W19))</f>
        <v>1.8399837373832717E-2</v>
      </c>
    </row>
    <row r="20" spans="1:24" x14ac:dyDescent="0.2">
      <c r="A20" s="1"/>
      <c r="C20">
        <v>104.5</v>
      </c>
      <c r="D20">
        <v>0.79449999999999998</v>
      </c>
      <c r="E20">
        <f t="shared" si="0"/>
        <v>0.20550000000000002</v>
      </c>
      <c r="F20">
        <v>0.74099999999999999</v>
      </c>
      <c r="G20">
        <f t="shared" si="1"/>
        <v>0.25900000000000001</v>
      </c>
      <c r="H20">
        <f>F20*C20/(D20*$C$23)</f>
        <v>1.0253885785660184</v>
      </c>
      <c r="I20">
        <f>G20*C20/(E20*$C$11)</f>
        <v>1.3515197137717394</v>
      </c>
      <c r="J20">
        <f t="shared" si="12"/>
        <v>0.75869302394740956</v>
      </c>
      <c r="K20">
        <f t="shared" si="13"/>
        <v>1.0233445114188717</v>
      </c>
      <c r="L20">
        <f t="shared" si="14"/>
        <v>1.3461082332306011</v>
      </c>
      <c r="M20">
        <f t="shared" si="15"/>
        <v>2.3076196081962021E-2</v>
      </c>
      <c r="N20">
        <f t="shared" si="16"/>
        <v>0.29721763900802067</v>
      </c>
      <c r="O20">
        <f t="shared" si="17"/>
        <v>0.76022453927266265</v>
      </c>
      <c r="P20">
        <f>K20*D20*$C$23+L20*E20*$C$11</f>
        <v>104.23726754730399</v>
      </c>
      <c r="Q20">
        <f>ABS(C20-P20)</f>
        <v>0.26273245269601375</v>
      </c>
      <c r="R20">
        <f>K20*D20*$C$23/P20</f>
        <v>0.74138683351674839</v>
      </c>
      <c r="S20">
        <f>ABS(F20-R20)</f>
        <v>3.8683351674839717E-4</v>
      </c>
      <c r="T20">
        <f>D20*M20+E20*N20</f>
        <v>7.9412262603267086E-2</v>
      </c>
      <c r="U20">
        <f>D20*LN(H20)+E20*LN(I20)</f>
        <v>8.1822117247542278E-2</v>
      </c>
      <c r="V20">
        <f>T20/(D20*E20)</f>
        <v>0.48638686960240385</v>
      </c>
      <c r="W20">
        <f>U20/(D20*E20)</f>
        <v>0.50114682755098394</v>
      </c>
      <c r="X20">
        <f>ABS(ABS(V20)-ABS(W20))</f>
        <v>1.4759957948580094E-2</v>
      </c>
    </row>
    <row r="21" spans="1:24" x14ac:dyDescent="0.2">
      <c r="A21" s="4"/>
      <c r="C21">
        <v>100.6</v>
      </c>
      <c r="D21">
        <v>0.90049999999999997</v>
      </c>
      <c r="E21">
        <f t="shared" si="0"/>
        <v>9.9500000000000033E-2</v>
      </c>
      <c r="F21">
        <v>0.85650000000000004</v>
      </c>
      <c r="G21">
        <f t="shared" si="1"/>
        <v>0.14349999999999996</v>
      </c>
      <c r="H21">
        <f>F21*C21/(D21*$C$23)</f>
        <v>1.0066755245274071</v>
      </c>
      <c r="I21">
        <f>G21*C21/(E21*$C$11)</f>
        <v>1.488829473173976</v>
      </c>
      <c r="J21">
        <f t="shared" si="12"/>
        <v>0.67615233488178861</v>
      </c>
      <c r="K21">
        <f t="shared" si="13"/>
        <v>1.0056082623711322</v>
      </c>
      <c r="L21">
        <f t="shared" si="14"/>
        <v>1.4839574135707156</v>
      </c>
      <c r="M21">
        <f t="shared" si="15"/>
        <v>5.5925946196653175E-3</v>
      </c>
      <c r="N21">
        <f t="shared" si="16"/>
        <v>0.39471244727864652</v>
      </c>
      <c r="O21">
        <f t="shared" si="17"/>
        <v>0.67765304662714398</v>
      </c>
      <c r="P21">
        <f>K21*D21*$C$23+L21*E21*$C$11</f>
        <v>100.46140950747787</v>
      </c>
      <c r="Q21">
        <f>ABS(C21-P21)</f>
        <v>0.13859049252212685</v>
      </c>
      <c r="R21">
        <f>K21*D21*$C$23/P21</f>
        <v>0.85677227463945393</v>
      </c>
      <c r="S21">
        <f>ABS(F21-R21)</f>
        <v>2.7227463945389552E-4</v>
      </c>
      <c r="T21">
        <f>D21*M21+E21*N21</f>
        <v>4.4310019959233962E-2</v>
      </c>
      <c r="U21">
        <f>D21*LN(H21)+E21*LN(I21)</f>
        <v>4.5591361525715975E-2</v>
      </c>
      <c r="V21">
        <f>T21/(D21*E21)</f>
        <v>0.49453285259427571</v>
      </c>
      <c r="W21">
        <f>U21/(D21*E21)</f>
        <v>0.50883357962177311</v>
      </c>
      <c r="X21">
        <f>ABS(ABS(V21)-ABS(W21))</f>
        <v>1.4300727027497406E-2</v>
      </c>
    </row>
    <row r="22" spans="1:24" x14ac:dyDescent="0.2">
      <c r="C22">
        <v>98.15</v>
      </c>
      <c r="D22" s="15">
        <v>0.95</v>
      </c>
      <c r="E22">
        <f t="shared" si="0"/>
        <v>5.0000000000000044E-2</v>
      </c>
      <c r="F22">
        <v>0.92200000000000004</v>
      </c>
      <c r="G22">
        <f t="shared" si="1"/>
        <v>7.7999999999999958E-2</v>
      </c>
      <c r="H22">
        <f t="shared" si="10"/>
        <v>1.0021794623328468</v>
      </c>
      <c r="I22">
        <f t="shared" si="11"/>
        <v>1.571205746536684</v>
      </c>
      <c r="J22">
        <f t="shared" si="12"/>
        <v>0.63784101130096538</v>
      </c>
      <c r="K22">
        <f t="shared" si="13"/>
        <v>1.001435617222902</v>
      </c>
      <c r="L22">
        <f t="shared" si="14"/>
        <v>1.5624457005306092</v>
      </c>
      <c r="M22">
        <f t="shared" si="15"/>
        <v>1.4345877097035114E-3</v>
      </c>
      <c r="N22">
        <f t="shared" si="16"/>
        <v>0.4462523503641565</v>
      </c>
      <c r="O22">
        <f t="shared" si="17"/>
        <v>0.64094106878902268</v>
      </c>
      <c r="P22">
        <f t="shared" si="2"/>
        <v>98.040149322020156</v>
      </c>
      <c r="Q22">
        <f t="shared" si="3"/>
        <v>0.10985067797984982</v>
      </c>
      <c r="R22">
        <f t="shared" si="4"/>
        <v>0.92234796939333619</v>
      </c>
      <c r="S22">
        <f t="shared" si="5"/>
        <v>3.4796939333614496E-4</v>
      </c>
      <c r="T22">
        <f t="shared" si="6"/>
        <v>2.3675475842426179E-2</v>
      </c>
      <c r="U22">
        <f t="shared" si="7"/>
        <v>2.4660402014057003E-2</v>
      </c>
      <c r="V22">
        <f t="shared" si="8"/>
        <v>0.49843107036686646</v>
      </c>
      <c r="W22">
        <f t="shared" si="18"/>
        <v>0.51916635819067325</v>
      </c>
      <c r="X22">
        <f t="shared" si="9"/>
        <v>2.0735287823806792E-2</v>
      </c>
    </row>
    <row r="23" spans="1:24" x14ac:dyDescent="0.2">
      <c r="C23">
        <f>10^(C2-D2/(E2+B10))</f>
        <v>95.04999999999977</v>
      </c>
      <c r="D23">
        <v>0.99999990000000005</v>
      </c>
      <c r="E23">
        <f t="shared" si="0"/>
        <v>9.9999999947364415E-8</v>
      </c>
      <c r="F23">
        <v>0.99999999999900002</v>
      </c>
      <c r="G23">
        <f t="shared" si="1"/>
        <v>9.999778782798785E-13</v>
      </c>
      <c r="H23">
        <v>1</v>
      </c>
      <c r="J23" t="e">
        <f t="shared" si="12"/>
        <v>#DIV/0!</v>
      </c>
      <c r="K23">
        <f t="shared" si="13"/>
        <v>1.0000000000000058</v>
      </c>
      <c r="L23">
        <f t="shared" si="14"/>
        <v>1.652734913217724</v>
      </c>
      <c r="M23">
        <f t="shared" si="15"/>
        <v>5.8308340946174508E-15</v>
      </c>
      <c r="N23">
        <f t="shared" si="16"/>
        <v>0.50243143889929531</v>
      </c>
      <c r="O23">
        <f t="shared" si="17"/>
        <v>0.60505770889361621</v>
      </c>
      <c r="P23">
        <f t="shared" si="2"/>
        <v>95.050006600902051</v>
      </c>
      <c r="Q23">
        <f t="shared" si="3"/>
        <v>6.600902281661547E-6</v>
      </c>
      <c r="R23">
        <f t="shared" si="4"/>
        <v>0.99999983055338659</v>
      </c>
      <c r="S23">
        <f t="shared" si="5"/>
        <v>1.6944561342935316E-7</v>
      </c>
      <c r="T23">
        <f t="shared" si="6"/>
        <v>5.0243149694317274E-8</v>
      </c>
      <c r="U23" t="e">
        <f t="shared" si="7"/>
        <v>#NUM!</v>
      </c>
      <c r="V23">
        <f t="shared" si="8"/>
        <v>0.50243154745078522</v>
      </c>
      <c r="X23">
        <f t="shared" si="9"/>
        <v>0.50243154745078522</v>
      </c>
    </row>
    <row r="24" spans="1:24" x14ac:dyDescent="0.2">
      <c r="P24" t="s">
        <v>10</v>
      </c>
      <c r="Q24">
        <f>AVERAGE(Q12:Q22)</f>
        <v>0.37701438087680506</v>
      </c>
      <c r="S24">
        <f>AVERAGE(S12:S22)</f>
        <v>5.3010533010167365E-4</v>
      </c>
    </row>
    <row r="25" spans="1:24" x14ac:dyDescent="0.2">
      <c r="P25" t="s">
        <v>11</v>
      </c>
      <c r="Q25" s="7">
        <f>MAX(Q12:Q22)</f>
        <v>0.54832234117284884</v>
      </c>
      <c r="S25">
        <f>MAX(S12:S22)</f>
        <v>2.4549575407011304E-3</v>
      </c>
    </row>
    <row r="27" spans="1:24" x14ac:dyDescent="0.2">
      <c r="R27">
        <f>10000*S24</f>
        <v>5.3010533010167364</v>
      </c>
    </row>
  </sheetData>
  <phoneticPr fontId="0" type="noConversion"/>
  <pageMargins left="0.75" right="0.75" top="1" bottom="1" header="0.5" footer="0.5"/>
  <pageSetup paperSize="5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31"/>
  <sheetViews>
    <sheetView zoomScale="75"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2" max="2" width="15.85546875" customWidth="1"/>
    <col min="3" max="3" width="14.140625" customWidth="1"/>
    <col min="8" max="8" width="10.5703125" customWidth="1"/>
    <col min="17" max="17" width="9.7109375" customWidth="1"/>
    <col min="19" max="19" width="10.140625" customWidth="1"/>
    <col min="20" max="20" width="14.85546875" bestFit="1" customWidth="1"/>
    <col min="21" max="21" width="7.5703125" customWidth="1"/>
    <col min="22" max="22" width="9.5703125" customWidth="1"/>
    <col min="23" max="23" width="8.5703125" customWidth="1"/>
    <col min="24" max="24" width="9.28515625" bestFit="1" customWidth="1"/>
    <col min="27" max="28" width="10.42578125" customWidth="1"/>
    <col min="30" max="30" width="10.7109375" customWidth="1"/>
    <col min="32" max="32" width="10.42578125" customWidth="1"/>
  </cols>
  <sheetData>
    <row r="1" spans="1:24" ht="18" x14ac:dyDescent="0.25">
      <c r="A1" s="6"/>
      <c r="C1" t="s">
        <v>42</v>
      </c>
      <c r="H1" t="s">
        <v>43</v>
      </c>
      <c r="M1" t="s">
        <v>44</v>
      </c>
      <c r="N1" s="22">
        <f>C5</f>
        <v>89.370709382151034</v>
      </c>
      <c r="O1" s="22"/>
    </row>
    <row r="2" spans="1:24" x14ac:dyDescent="0.2">
      <c r="B2" t="s">
        <v>0</v>
      </c>
      <c r="C2">
        <v>6.8798006325753045</v>
      </c>
      <c r="D2">
        <v>1196.76</v>
      </c>
      <c r="E2">
        <v>219.161</v>
      </c>
      <c r="H2">
        <v>6.8518104179940291</v>
      </c>
      <c r="I2">
        <v>1206.47</v>
      </c>
      <c r="J2">
        <v>223.136</v>
      </c>
      <c r="M2" t="s">
        <v>46</v>
      </c>
      <c r="N2" s="22">
        <f>H5</f>
        <v>108.0359435173299</v>
      </c>
      <c r="O2" s="22"/>
    </row>
    <row r="3" spans="1:24" x14ac:dyDescent="0.2">
      <c r="B3" t="s">
        <v>6</v>
      </c>
      <c r="C3">
        <f>(LN(10^(C2-D2/(E2+55)))-LN(10^(C2-D2/(E2+15))))*-8.314/(1/(273.15+55)-1/(273.15+15))</f>
        <v>33744.544239110481</v>
      </c>
      <c r="H3">
        <f>(LN(10^(H2-I2/(J2+55)))-LN(10^(H2-I2/(J2+15))))*-8.314/(1/(273.15+55)-1/(273.15+15))</f>
        <v>32972.434150153604</v>
      </c>
      <c r="M3" t="s">
        <v>48</v>
      </c>
      <c r="N3">
        <v>1109.4131585814071</v>
      </c>
    </row>
    <row r="4" spans="1:24" x14ac:dyDescent="0.2">
      <c r="M4" t="s">
        <v>49</v>
      </c>
      <c r="N4">
        <v>99.728232632665552</v>
      </c>
    </row>
    <row r="5" spans="1:24" ht="14.25" x14ac:dyDescent="0.2">
      <c r="B5" t="s">
        <v>7</v>
      </c>
      <c r="C5" s="22">
        <v>89.370709382151034</v>
      </c>
      <c r="D5" t="s">
        <v>30</v>
      </c>
      <c r="H5" s="22">
        <v>108.0359435173299</v>
      </c>
      <c r="I5" t="s">
        <v>30</v>
      </c>
      <c r="M5" t="s">
        <v>50</v>
      </c>
      <c r="N5">
        <v>0.42813402904958048</v>
      </c>
      <c r="Q5" t="s">
        <v>9</v>
      </c>
    </row>
    <row r="6" spans="1:24" x14ac:dyDescent="0.2">
      <c r="M6" t="s">
        <v>51</v>
      </c>
      <c r="N6">
        <v>0.49130453670260144</v>
      </c>
    </row>
    <row r="7" spans="1:24" x14ac:dyDescent="0.2">
      <c r="N7">
        <f>10000*S34</f>
        <v>0</v>
      </c>
    </row>
    <row r="9" spans="1:24" ht="14.25" x14ac:dyDescent="0.2">
      <c r="A9" t="s">
        <v>8</v>
      </c>
      <c r="B9">
        <f>8.314</f>
        <v>8.3140000000000001</v>
      </c>
      <c r="T9" t="s">
        <v>19</v>
      </c>
      <c r="V9" t="s">
        <v>28</v>
      </c>
    </row>
    <row r="10" spans="1:24" ht="15.75" x14ac:dyDescent="0.3">
      <c r="A10" t="s">
        <v>1</v>
      </c>
      <c r="B10">
        <v>40</v>
      </c>
      <c r="C10" t="s">
        <v>12</v>
      </c>
      <c r="D10" t="s">
        <v>13</v>
      </c>
      <c r="E10" t="s">
        <v>14</v>
      </c>
      <c r="F10" t="s">
        <v>15</v>
      </c>
      <c r="G10" t="s">
        <v>16</v>
      </c>
      <c r="H10" s="1" t="s">
        <v>17</v>
      </c>
      <c r="I10" s="1" t="s">
        <v>18</v>
      </c>
      <c r="J10" s="1" t="s">
        <v>52</v>
      </c>
      <c r="K10" s="1" t="s">
        <v>20</v>
      </c>
      <c r="L10" s="1" t="s">
        <v>21</v>
      </c>
      <c r="M10" t="s">
        <v>22</v>
      </c>
      <c r="N10" t="s">
        <v>23</v>
      </c>
      <c r="O10" s="1" t="s">
        <v>52</v>
      </c>
      <c r="P10" t="s">
        <v>24</v>
      </c>
      <c r="Q10" t="s">
        <v>25</v>
      </c>
      <c r="R10" t="s">
        <v>26</v>
      </c>
      <c r="S10" t="s">
        <v>27</v>
      </c>
      <c r="T10" t="s">
        <v>2</v>
      </c>
      <c r="U10" t="s">
        <v>3</v>
      </c>
      <c r="V10" t="s">
        <v>2</v>
      </c>
      <c r="W10" t="s">
        <v>3</v>
      </c>
      <c r="X10" t="s">
        <v>32</v>
      </c>
    </row>
    <row r="11" spans="1:24" x14ac:dyDescent="0.2">
      <c r="A11" t="s">
        <v>4</v>
      </c>
      <c r="B11">
        <f>B10+273.15</f>
        <v>313.14999999999998</v>
      </c>
      <c r="C11">
        <f>10^(H2-I2/(J2+B10))</f>
        <v>184.85999999999981</v>
      </c>
      <c r="D11">
        <v>9.9999999999999994E-12</v>
      </c>
      <c r="E11">
        <f t="shared" ref="E11:E27" si="0">1-D11</f>
        <v>0.99999999999</v>
      </c>
      <c r="F11">
        <v>9.9999999999999998E-13</v>
      </c>
      <c r="G11">
        <f t="shared" ref="G11:G27" si="1">1-F11</f>
        <v>0.99999999999900002</v>
      </c>
      <c r="I11" s="1">
        <v>1</v>
      </c>
      <c r="J11">
        <f>H11/I11</f>
        <v>0</v>
      </c>
      <c r="K11">
        <f>EXP(M11)</f>
        <v>1.5274570190093575</v>
      </c>
      <c r="L11">
        <f>EXP(N11)</f>
        <v>1</v>
      </c>
      <c r="M11">
        <f>$B$13*($B$14*E11/($B$13*D11+$B$14*E11))^2</f>
        <v>0.42360427353964852</v>
      </c>
      <c r="N11">
        <f>$B$14*($B$13*D11/($B$13*D11+$B$14*E11))^2</f>
        <v>3.6647569097413952E-23</v>
      </c>
      <c r="O11">
        <f>K11/L11</f>
        <v>1.5274570190093575</v>
      </c>
      <c r="P11">
        <f>K11*D11*$C$27+L11*E11*$C$11</f>
        <v>184.86000000094342</v>
      </c>
      <c r="Q11">
        <f t="shared" ref="Q11:Q27" si="2">ABS(C11-P11)</f>
        <v>9.4360075308941305E-10</v>
      </c>
      <c r="R11">
        <f>K11*D11*$C$27/P11</f>
        <v>1.5104356976819536E-11</v>
      </c>
      <c r="S11">
        <f t="shared" ref="S11:S27" si="3">ABS(F11-R11)</f>
        <v>1.4104356976819536E-11</v>
      </c>
      <c r="T11">
        <f t="shared" ref="T11:T27" si="4">D11*M11+E11*N11</f>
        <v>4.2360427354331319E-12</v>
      </c>
      <c r="U11" t="e">
        <f t="shared" ref="U11:U27" si="5">D11*LN(H11)+E11*LN(I11)</f>
        <v>#NUM!</v>
      </c>
      <c r="V11">
        <f t="shared" ref="V11:V27" si="6">T11/(D11*E11)</f>
        <v>0.42360427354754926</v>
      </c>
      <c r="X11">
        <f t="shared" ref="X11:X27" si="7">ABS(ABS(V11)-ABS(W11))</f>
        <v>0.42360427354754926</v>
      </c>
    </row>
    <row r="12" spans="1:24" x14ac:dyDescent="0.2">
      <c r="C12" s="31">
        <v>190.47</v>
      </c>
      <c r="D12" s="32">
        <v>6.4600000000000005E-2</v>
      </c>
      <c r="E12">
        <f t="shared" si="0"/>
        <v>0.93540000000000001</v>
      </c>
      <c r="F12" s="32">
        <v>8.9899999999999994E-2</v>
      </c>
      <c r="G12">
        <f t="shared" si="1"/>
        <v>0.91010000000000002</v>
      </c>
      <c r="H12">
        <f>F12*C12/(D12*$C$27)</f>
        <v>1.4500319251275291</v>
      </c>
      <c r="I12">
        <f t="shared" ref="I12:I26" si="8">G12*C12/(E12*$C$11)</f>
        <v>1.0024792265172753</v>
      </c>
      <c r="J12">
        <f t="shared" ref="J12:J27" si="9">H12/I12</f>
        <v>1.4464458582000765</v>
      </c>
      <c r="K12">
        <f t="shared" ref="K12:K27" si="10">EXP(M12)</f>
        <v>1.4581754264079296</v>
      </c>
      <c r="L12">
        <f t="shared" ref="L12:L27" si="11">EXP(N12)</f>
        <v>1.0015575738624121</v>
      </c>
      <c r="M12">
        <f t="shared" ref="M12:M27" si="12">$B$13*($B$14*E12/($B$13*D12+$B$14*E12))^2</f>
        <v>0.37718594624430768</v>
      </c>
      <c r="N12">
        <f t="shared" ref="N12:N27" si="13">$B$14*($B$13*D12/($B$13*D12+$B$14*E12))^2</f>
        <v>1.5563621023508896E-3</v>
      </c>
      <c r="O12">
        <f t="shared" ref="O12:O27" si="14">K12/L12</f>
        <v>1.4559077425620317</v>
      </c>
      <c r="P12">
        <f>K12*D12*$C$27+L12*E12*$C$11</f>
        <v>190.40679525507375</v>
      </c>
      <c r="Q12">
        <f t="shared" si="2"/>
        <v>6.3204744926252943E-2</v>
      </c>
      <c r="R12">
        <f>K12*D12*$C$27/P12</f>
        <v>9.0434895489588635E-2</v>
      </c>
      <c r="S12">
        <f t="shared" si="3"/>
        <v>5.3489548958864097E-4</v>
      </c>
      <c r="T12">
        <f t="shared" si="4"/>
        <v>2.5822033237921298E-2</v>
      </c>
      <c r="U12">
        <f t="shared" si="5"/>
        <v>2.6320626528191018E-2</v>
      </c>
      <c r="V12">
        <f t="shared" si="6"/>
        <v>0.42732721482575126</v>
      </c>
      <c r="W12">
        <f>U12/(D12*E12)</f>
        <v>0.43557840403686537</v>
      </c>
      <c r="X12">
        <f t="shared" si="7"/>
        <v>8.2511892111141183E-3</v>
      </c>
    </row>
    <row r="13" spans="1:24" x14ac:dyDescent="0.2">
      <c r="A13" t="s">
        <v>33</v>
      </c>
      <c r="B13">
        <v>0.42360427354697805</v>
      </c>
      <c r="C13" s="31">
        <v>191.95</v>
      </c>
      <c r="D13" s="32">
        <v>8.3500000000000005E-2</v>
      </c>
      <c r="E13">
        <f t="shared" si="0"/>
        <v>0.91649999999999998</v>
      </c>
      <c r="F13" s="32">
        <v>0.1147</v>
      </c>
      <c r="G13">
        <f t="shared" si="1"/>
        <v>0.88529999999999998</v>
      </c>
      <c r="H13">
        <f>F13*C13/(D13*$C$27)</f>
        <v>1.4424104744559001</v>
      </c>
      <c r="I13">
        <f t="shared" si="8"/>
        <v>1.0030051493827423</v>
      </c>
      <c r="J13">
        <f t="shared" si="9"/>
        <v>1.4380888027779035</v>
      </c>
      <c r="K13">
        <f t="shared" si="10"/>
        <v>1.4390267166219517</v>
      </c>
      <c r="L13">
        <f t="shared" si="11"/>
        <v>1.0026171133555972</v>
      </c>
      <c r="M13">
        <f t="shared" si="12"/>
        <v>0.36396699383569847</v>
      </c>
      <c r="N13">
        <f t="shared" si="13"/>
        <v>2.613694677851542E-3</v>
      </c>
      <c r="O13">
        <f t="shared" si="14"/>
        <v>1.4352704511553389</v>
      </c>
      <c r="P13">
        <f>K13*D13*$C$27+L13*E13*$C$11</f>
        <v>191.83260830758422</v>
      </c>
      <c r="Q13">
        <f t="shared" si="2"/>
        <v>0.11739169241576519</v>
      </c>
      <c r="R13">
        <f>K13*D13*$C$27/P13</f>
        <v>0.11450095054723695</v>
      </c>
      <c r="S13">
        <f t="shared" si="3"/>
        <v>1.9904945276304209E-4</v>
      </c>
      <c r="T13">
        <f t="shared" si="4"/>
        <v>3.2786695157531763E-2</v>
      </c>
      <c r="U13">
        <f t="shared" si="5"/>
        <v>3.3337446429200154E-2</v>
      </c>
      <c r="V13">
        <f t="shared" si="6"/>
        <v>0.4284288399636963</v>
      </c>
      <c r="W13">
        <f>U13/(D13*E13)</f>
        <v>0.4356255924053713</v>
      </c>
      <c r="X13">
        <f t="shared" si="7"/>
        <v>7.1967524416750028E-3</v>
      </c>
    </row>
    <row r="14" spans="1:24" x14ac:dyDescent="0.2">
      <c r="A14" t="s">
        <v>34</v>
      </c>
      <c r="B14">
        <v>0.48963842619621184</v>
      </c>
      <c r="C14">
        <v>194.9</v>
      </c>
      <c r="D14">
        <v>0.12620000000000001</v>
      </c>
      <c r="E14">
        <f t="shared" si="0"/>
        <v>0.87380000000000002</v>
      </c>
      <c r="F14">
        <v>0.16569999999999999</v>
      </c>
      <c r="G14">
        <f t="shared" si="1"/>
        <v>0.83430000000000004</v>
      </c>
      <c r="H14">
        <f t="shared" ref="H14:H21" si="15">F14*C14/(D14*$C$27)</f>
        <v>1.3999057624485445</v>
      </c>
      <c r="I14">
        <f t="shared" ref="I14:I21" si="16">G14*C14/(E14*$C$11)</f>
        <v>1.0066513809006234</v>
      </c>
      <c r="J14">
        <f t="shared" si="9"/>
        <v>1.3906559798249987</v>
      </c>
      <c r="K14">
        <f t="shared" si="10"/>
        <v>1.3975631726551645</v>
      </c>
      <c r="L14">
        <f t="shared" si="11"/>
        <v>1.0060587999884467</v>
      </c>
      <c r="M14">
        <f t="shared" si="12"/>
        <v>0.33473012907207433</v>
      </c>
      <c r="N14">
        <f t="shared" si="13"/>
        <v>6.0405192621447844E-3</v>
      </c>
      <c r="O14">
        <f t="shared" si="14"/>
        <v>1.3891466111833759</v>
      </c>
      <c r="P14">
        <f t="shared" ref="P14:P21" si="17">K14*D14*$C$27+L14*E14*$C$11</f>
        <v>194.75023796213623</v>
      </c>
      <c r="Q14">
        <f t="shared" ref="Q14:Q21" si="18">ABS(C14-P14)</f>
        <v>0.14976203786378051</v>
      </c>
      <c r="R14">
        <f t="shared" ref="R14:R21" si="19">K14*D14*$C$27/P14</f>
        <v>0.16554992841134566</v>
      </c>
      <c r="S14">
        <f t="shared" ref="S14:S21" si="20">ABS(F14-R14)</f>
        <v>1.5007158865432135E-4</v>
      </c>
      <c r="T14">
        <f t="shared" ref="T14:T21" si="21">D14*M14+E14*N14</f>
        <v>4.7521148020157895E-2</v>
      </c>
      <c r="U14">
        <f t="shared" ref="U14:U21" si="22">D14*LN(H14)+E14*LN(I14)</f>
        <v>4.824703421299071E-2</v>
      </c>
      <c r="V14">
        <f t="shared" ref="V14:V21" si="23">T14/(D14*E14)</f>
        <v>0.43093873109889524</v>
      </c>
      <c r="W14">
        <f t="shared" ref="W14:W21" si="24">U14/(D14*E14)</f>
        <v>0.43752132617275352</v>
      </c>
      <c r="X14">
        <f t="shared" ref="X14:X21" si="25">ABS(ABS(V14)-ABS(W14))</f>
        <v>6.5825950738582772E-3</v>
      </c>
    </row>
    <row r="15" spans="1:24" x14ac:dyDescent="0.2">
      <c r="A15" s="4"/>
      <c r="C15">
        <v>198.36</v>
      </c>
      <c r="D15">
        <v>0.1835</v>
      </c>
      <c r="E15">
        <f t="shared" si="0"/>
        <v>0.8165</v>
      </c>
      <c r="F15">
        <v>0.2273</v>
      </c>
      <c r="G15">
        <f t="shared" si="1"/>
        <v>0.77269999999999994</v>
      </c>
      <c r="H15">
        <f t="shared" si="15"/>
        <v>1.344130003160046</v>
      </c>
      <c r="I15">
        <f t="shared" si="16"/>
        <v>1.0154671392309671</v>
      </c>
      <c r="J15">
        <f t="shared" si="9"/>
        <v>1.3236568188488913</v>
      </c>
      <c r="K15">
        <f t="shared" si="10"/>
        <v>1.3457067235931319</v>
      </c>
      <c r="L15">
        <f t="shared" si="11"/>
        <v>1.0130588047869997</v>
      </c>
      <c r="M15">
        <f t="shared" si="12"/>
        <v>0.29691932010654559</v>
      </c>
      <c r="N15">
        <f t="shared" si="13"/>
        <v>1.2974273716944073E-2</v>
      </c>
      <c r="O15">
        <f t="shared" si="14"/>
        <v>1.3283599305729079</v>
      </c>
      <c r="P15">
        <f t="shared" si="17"/>
        <v>198.04937955297629</v>
      </c>
      <c r="Q15">
        <f t="shared" si="18"/>
        <v>0.31062044702372305</v>
      </c>
      <c r="R15">
        <f t="shared" si="19"/>
        <v>0.22792354763620359</v>
      </c>
      <c r="S15">
        <f t="shared" si="20"/>
        <v>6.2354763620359188E-4</v>
      </c>
      <c r="T15">
        <f t="shared" si="21"/>
        <v>6.5078189729435951E-2</v>
      </c>
      <c r="U15">
        <f t="shared" si="22"/>
        <v>6.6801816353359161E-2</v>
      </c>
      <c r="V15">
        <f t="shared" si="23"/>
        <v>0.43435338066169948</v>
      </c>
      <c r="W15">
        <f t="shared" si="24"/>
        <v>0.4458574353106094</v>
      </c>
      <c r="X15">
        <f t="shared" si="25"/>
        <v>1.1504054648909912E-2</v>
      </c>
    </row>
    <row r="16" spans="1:24" x14ac:dyDescent="0.2">
      <c r="A16" s="4"/>
      <c r="C16">
        <v>201.29</v>
      </c>
      <c r="D16">
        <v>0.24590000000000001</v>
      </c>
      <c r="E16">
        <f t="shared" si="0"/>
        <v>0.75409999999999999</v>
      </c>
      <c r="F16">
        <v>0.28949999999999998</v>
      </c>
      <c r="G16">
        <f t="shared" si="1"/>
        <v>0.71050000000000002</v>
      </c>
      <c r="H16">
        <f t="shared" si="15"/>
        <v>1.2963911207256316</v>
      </c>
      <c r="I16">
        <f t="shared" si="16"/>
        <v>1.0259221173019004</v>
      </c>
      <c r="J16">
        <f t="shared" si="9"/>
        <v>1.2636350253711701</v>
      </c>
      <c r="K16">
        <f t="shared" si="10"/>
        <v>1.2939483662951405</v>
      </c>
      <c r="L16">
        <f t="shared" si="11"/>
        <v>1.0239890685961084</v>
      </c>
      <c r="M16">
        <f t="shared" si="12"/>
        <v>0.25769829288315921</v>
      </c>
      <c r="N16">
        <f t="shared" si="13"/>
        <v>2.3705851361222698E-2</v>
      </c>
      <c r="O16">
        <f t="shared" si="14"/>
        <v>1.2636349410146996</v>
      </c>
      <c r="P16">
        <f t="shared" si="17"/>
        <v>200.91072427242921</v>
      </c>
      <c r="Q16">
        <f t="shared" si="18"/>
        <v>0.37927572757078565</v>
      </c>
      <c r="R16">
        <f t="shared" si="19"/>
        <v>0.2894999862687711</v>
      </c>
      <c r="S16">
        <f t="shared" si="20"/>
        <v>1.3731228876157076E-8</v>
      </c>
      <c r="T16">
        <f t="shared" si="21"/>
        <v>8.1244592731466891E-2</v>
      </c>
      <c r="U16">
        <f t="shared" si="22"/>
        <v>8.3130592590652391E-2</v>
      </c>
      <c r="V16">
        <f t="shared" si="23"/>
        <v>0.43813404025173103</v>
      </c>
      <c r="W16">
        <f t="shared" si="24"/>
        <v>0.44830481852063481</v>
      </c>
      <c r="X16">
        <f t="shared" si="25"/>
        <v>1.017077826890378E-2</v>
      </c>
    </row>
    <row r="17" spans="1:24" x14ac:dyDescent="0.2">
      <c r="A17" s="4"/>
      <c r="C17">
        <v>204.36</v>
      </c>
      <c r="D17" s="15">
        <v>0.35510000000000003</v>
      </c>
      <c r="E17">
        <f t="shared" si="0"/>
        <v>0.64490000000000003</v>
      </c>
      <c r="F17">
        <v>0.38490000000000002</v>
      </c>
      <c r="G17">
        <f t="shared" si="1"/>
        <v>0.61509999999999998</v>
      </c>
      <c r="H17">
        <f t="shared" si="15"/>
        <v>1.2117609179649813</v>
      </c>
      <c r="I17">
        <f t="shared" si="16"/>
        <v>1.0544021805624537</v>
      </c>
      <c r="J17">
        <f t="shared" si="9"/>
        <v>1.1492397685659064</v>
      </c>
      <c r="K17">
        <f t="shared" si="10"/>
        <v>1.2145137815938916</v>
      </c>
      <c r="L17">
        <f t="shared" si="11"/>
        <v>1.0522984288578703</v>
      </c>
      <c r="M17">
        <f t="shared" si="12"/>
        <v>0.19434381694110997</v>
      </c>
      <c r="N17">
        <f t="shared" si="13"/>
        <v>5.0976751708179169E-2</v>
      </c>
      <c r="O17">
        <f t="shared" si="14"/>
        <v>1.1541533734988889</v>
      </c>
      <c r="P17">
        <f t="shared" si="17"/>
        <v>204.28789334126515</v>
      </c>
      <c r="Q17">
        <f t="shared" si="18"/>
        <v>7.2106658734867324E-2</v>
      </c>
      <c r="R17">
        <f t="shared" si="19"/>
        <v>0.38591057632076031</v>
      </c>
      <c r="S17">
        <f t="shared" si="20"/>
        <v>1.0105763207602925E-3</v>
      </c>
      <c r="T17">
        <f t="shared" si="21"/>
        <v>0.1018863965723929</v>
      </c>
      <c r="U17">
        <f t="shared" si="22"/>
        <v>0.10236859468978614</v>
      </c>
      <c r="V17">
        <f t="shared" si="23"/>
        <v>0.44491101038192782</v>
      </c>
      <c r="W17">
        <f t="shared" si="24"/>
        <v>0.44701664232918442</v>
      </c>
      <c r="X17">
        <f t="shared" si="25"/>
        <v>2.1056319472566032E-3</v>
      </c>
    </row>
    <row r="18" spans="1:24" x14ac:dyDescent="0.2">
      <c r="A18" s="1"/>
      <c r="C18">
        <v>205.73</v>
      </c>
      <c r="D18">
        <v>0.41389999999999999</v>
      </c>
      <c r="E18">
        <f t="shared" si="0"/>
        <v>0.58610000000000007</v>
      </c>
      <c r="F18">
        <v>0.43309999999999998</v>
      </c>
      <c r="G18">
        <f t="shared" si="1"/>
        <v>0.56689999999999996</v>
      </c>
      <c r="H18">
        <f t="shared" si="15"/>
        <v>1.1776444563454933</v>
      </c>
      <c r="I18">
        <f t="shared" si="16"/>
        <v>1.076438972442161</v>
      </c>
      <c r="J18">
        <f t="shared" si="9"/>
        <v>1.0940187846169516</v>
      </c>
      <c r="K18">
        <f t="shared" si="10"/>
        <v>1.177304805970198</v>
      </c>
      <c r="L18">
        <f t="shared" si="11"/>
        <v>1.0729639937850199</v>
      </c>
      <c r="M18">
        <f t="shared" si="12"/>
        <v>0.16322776329040165</v>
      </c>
      <c r="N18">
        <f t="shared" si="13"/>
        <v>7.0424906501202339E-2</v>
      </c>
      <c r="O18">
        <f t="shared" si="14"/>
        <v>1.0972453994631286</v>
      </c>
      <c r="P18">
        <f t="shared" si="17"/>
        <v>205.32780015269969</v>
      </c>
      <c r="Q18">
        <f t="shared" si="18"/>
        <v>0.40219984730029523</v>
      </c>
      <c r="R18">
        <f t="shared" si="19"/>
        <v>0.43382320695922383</v>
      </c>
      <c r="S18">
        <f t="shared" si="20"/>
        <v>7.2320695922384326E-4</v>
      </c>
      <c r="T18">
        <f t="shared" si="21"/>
        <v>0.10883600892625193</v>
      </c>
      <c r="U18">
        <f t="shared" si="22"/>
        <v>0.11085051972586366</v>
      </c>
      <c r="V18">
        <f t="shared" si="23"/>
        <v>0.44864771460248071</v>
      </c>
      <c r="W18">
        <f t="shared" si="24"/>
        <v>0.45695200355247556</v>
      </c>
      <c r="X18">
        <f t="shared" si="25"/>
        <v>8.3042889499948536E-3</v>
      </c>
    </row>
    <row r="19" spans="1:24" x14ac:dyDescent="0.2">
      <c r="A19" s="1"/>
      <c r="C19">
        <v>206.26</v>
      </c>
      <c r="D19">
        <v>0.52310000000000001</v>
      </c>
      <c r="E19">
        <f t="shared" si="0"/>
        <v>0.47689999999999999</v>
      </c>
      <c r="F19">
        <v>0.51970000000000005</v>
      </c>
      <c r="G19">
        <f t="shared" si="1"/>
        <v>0.48029999999999995</v>
      </c>
      <c r="H19">
        <f t="shared" si="15"/>
        <v>1.1210031134873009</v>
      </c>
      <c r="I19">
        <f t="shared" si="16"/>
        <v>1.1237179776427193</v>
      </c>
      <c r="J19">
        <f t="shared" si="9"/>
        <v>0.99758403424219166</v>
      </c>
      <c r="K19">
        <f t="shared" si="10"/>
        <v>1.1179781822020667</v>
      </c>
      <c r="L19">
        <f t="shared" si="11"/>
        <v>1.1230863870608059</v>
      </c>
      <c r="M19">
        <f t="shared" si="12"/>
        <v>0.11152185951750168</v>
      </c>
      <c r="N19">
        <f t="shared" si="13"/>
        <v>0.11608059805221252</v>
      </c>
      <c r="O19">
        <f t="shared" si="14"/>
        <v>0.99545163674175796</v>
      </c>
      <c r="P19">
        <f t="shared" si="17"/>
        <v>205.91506710599165</v>
      </c>
      <c r="Q19">
        <f t="shared" si="18"/>
        <v>0.3449328940083376</v>
      </c>
      <c r="R19">
        <f t="shared" si="19"/>
        <v>0.51916584573513902</v>
      </c>
      <c r="S19">
        <f t="shared" si="20"/>
        <v>5.341542648610309E-4</v>
      </c>
      <c r="T19">
        <f t="shared" si="21"/>
        <v>0.11369592192470529</v>
      </c>
      <c r="U19">
        <f t="shared" si="22"/>
        <v>0.11537748962792591</v>
      </c>
      <c r="V19">
        <f t="shared" si="23"/>
        <v>0.45575647254407814</v>
      </c>
      <c r="W19">
        <f t="shared" si="24"/>
        <v>0.46249713088775568</v>
      </c>
      <c r="X19">
        <f t="shared" si="25"/>
        <v>6.7406583436775414E-3</v>
      </c>
    </row>
    <row r="20" spans="1:24" x14ac:dyDescent="0.2">
      <c r="A20" s="1"/>
      <c r="C20">
        <v>204.81</v>
      </c>
      <c r="D20">
        <v>0.64649999999999996</v>
      </c>
      <c r="E20">
        <f t="shared" si="0"/>
        <v>0.35350000000000004</v>
      </c>
      <c r="F20">
        <v>0.6159</v>
      </c>
      <c r="G20">
        <f t="shared" si="1"/>
        <v>0.3841</v>
      </c>
      <c r="H20">
        <f t="shared" si="15"/>
        <v>1.0673740525062563</v>
      </c>
      <c r="I20">
        <f t="shared" si="16"/>
        <v>1.2038242786582187</v>
      </c>
      <c r="J20">
        <f t="shared" si="9"/>
        <v>0.88665270457574608</v>
      </c>
      <c r="K20">
        <f t="shared" si="10"/>
        <v>1.0655912307812725</v>
      </c>
      <c r="L20">
        <f t="shared" si="11"/>
        <v>1.2018135854173622</v>
      </c>
      <c r="M20">
        <f t="shared" si="12"/>
        <v>6.3529791398197241E-2</v>
      </c>
      <c r="N20">
        <f t="shared" si="13"/>
        <v>0.18383173707859615</v>
      </c>
      <c r="O20">
        <f t="shared" si="14"/>
        <v>0.8866526753491617</v>
      </c>
      <c r="P20">
        <f t="shared" si="17"/>
        <v>204.46791096996668</v>
      </c>
      <c r="Q20">
        <f t="shared" si="18"/>
        <v>0.34208903003332125</v>
      </c>
      <c r="R20">
        <f t="shared" si="19"/>
        <v>0.61589999220207525</v>
      </c>
      <c r="S20">
        <f t="shared" si="20"/>
        <v>7.7979247503634497E-9</v>
      </c>
      <c r="T20">
        <f t="shared" si="21"/>
        <v>0.10605652919621827</v>
      </c>
      <c r="U20">
        <f t="shared" si="22"/>
        <v>0.107728201704993</v>
      </c>
      <c r="V20">
        <f t="shared" si="23"/>
        <v>0.46406569241282136</v>
      </c>
      <c r="W20">
        <f t="shared" si="24"/>
        <v>0.47138033740593405</v>
      </c>
      <c r="X20">
        <f t="shared" si="25"/>
        <v>7.3146449931126845E-3</v>
      </c>
    </row>
    <row r="21" spans="1:24" x14ac:dyDescent="0.2">
      <c r="A21" s="4"/>
      <c r="C21">
        <v>204.23</v>
      </c>
      <c r="D21">
        <v>0.67020000000000002</v>
      </c>
      <c r="E21">
        <f t="shared" si="0"/>
        <v>0.32979999999999998</v>
      </c>
      <c r="F21">
        <v>0.63070000000000004</v>
      </c>
      <c r="G21">
        <f t="shared" si="1"/>
        <v>0.36929999999999996</v>
      </c>
      <c r="H21">
        <f t="shared" si="15"/>
        <v>1.0513849437151572</v>
      </c>
      <c r="I21">
        <f t="shared" si="16"/>
        <v>1.2371012479114063</v>
      </c>
      <c r="J21">
        <f t="shared" si="9"/>
        <v>0.84987784588384074</v>
      </c>
      <c r="K21">
        <f t="shared" si="10"/>
        <v>1.0572657341661769</v>
      </c>
      <c r="L21">
        <f t="shared" si="11"/>
        <v>1.2201182099816945</v>
      </c>
      <c r="M21">
        <f t="shared" si="12"/>
        <v>5.5686079422103185E-2</v>
      </c>
      <c r="N21">
        <f t="shared" si="13"/>
        <v>0.19894774747891872</v>
      </c>
      <c r="O21">
        <f t="shared" si="14"/>
        <v>0.86652729671335627</v>
      </c>
      <c r="P21">
        <f t="shared" si="17"/>
        <v>203.91506874059974</v>
      </c>
      <c r="Q21">
        <f t="shared" si="18"/>
        <v>0.31493125940025379</v>
      </c>
      <c r="R21">
        <f t="shared" si="19"/>
        <v>0.63520725806561595</v>
      </c>
      <c r="S21">
        <f t="shared" si="20"/>
        <v>4.5072580656159156E-3</v>
      </c>
      <c r="T21">
        <f t="shared" si="21"/>
        <v>0.10293377754724095</v>
      </c>
      <c r="U21">
        <f t="shared" si="22"/>
        <v>0.10375443122681548</v>
      </c>
      <c r="V21">
        <f t="shared" si="23"/>
        <v>0.4656963524516588</v>
      </c>
      <c r="W21">
        <f t="shared" si="24"/>
        <v>0.46940918058553832</v>
      </c>
      <c r="X21">
        <f t="shared" si="25"/>
        <v>3.7128281338795199E-3</v>
      </c>
    </row>
    <row r="22" spans="1:24" x14ac:dyDescent="0.2">
      <c r="C22">
        <v>201.45</v>
      </c>
      <c r="D22">
        <v>0.74950000000000006</v>
      </c>
      <c r="E22">
        <f t="shared" si="0"/>
        <v>0.25049999999999994</v>
      </c>
      <c r="F22">
        <v>0.70430000000000004</v>
      </c>
      <c r="G22">
        <f t="shared" si="1"/>
        <v>0.29569999999999996</v>
      </c>
      <c r="H22">
        <f>F22*C22/(D22*$C$27)</f>
        <v>1.0355644463194267</v>
      </c>
      <c r="I22">
        <f t="shared" si="8"/>
        <v>1.2863759660166858</v>
      </c>
      <c r="J22">
        <f t="shared" si="9"/>
        <v>0.80502471569497136</v>
      </c>
      <c r="K22">
        <f t="shared" si="10"/>
        <v>1.0334423124081238</v>
      </c>
      <c r="L22">
        <f t="shared" si="11"/>
        <v>1.2901633089836178</v>
      </c>
      <c r="M22">
        <f t="shared" si="12"/>
        <v>3.2895280882859153E-2</v>
      </c>
      <c r="N22">
        <f t="shared" si="13"/>
        <v>0.25476880647230082</v>
      </c>
      <c r="O22">
        <f t="shared" si="14"/>
        <v>0.8010166660391721</v>
      </c>
      <c r="P22">
        <f t="shared" ref="P22:P27" si="26">K22*D22*$C$27+L22*E22*$C$11</f>
        <v>201.33463152312703</v>
      </c>
      <c r="Q22">
        <f t="shared" si="2"/>
        <v>0.11536847687295904</v>
      </c>
      <c r="R22">
        <f t="shared" ref="R22:R27" si="27">K22*D22*$C$27/P22</f>
        <v>0.70325946079244472</v>
      </c>
      <c r="S22">
        <f t="shared" si="3"/>
        <v>1.0405392075553133E-3</v>
      </c>
      <c r="T22">
        <f t="shared" si="4"/>
        <v>8.8474599043014274E-2</v>
      </c>
      <c r="U22">
        <f t="shared" si="5"/>
        <v>8.9275652802726674E-2</v>
      </c>
      <c r="V22">
        <f t="shared" si="6"/>
        <v>0.47123684075752054</v>
      </c>
      <c r="W22">
        <f>U22/(D22*E22)</f>
        <v>0.4755034443599882</v>
      </c>
      <c r="X22">
        <f t="shared" si="7"/>
        <v>4.2666036024676668E-3</v>
      </c>
    </row>
    <row r="23" spans="1:24" x14ac:dyDescent="0.2">
      <c r="C23">
        <v>199.89</v>
      </c>
      <c r="D23">
        <v>0.78710000000000002</v>
      </c>
      <c r="E23">
        <f t="shared" si="0"/>
        <v>0.21289999999999998</v>
      </c>
      <c r="F23">
        <v>0.7379</v>
      </c>
      <c r="G23">
        <f t="shared" si="1"/>
        <v>0.2621</v>
      </c>
      <c r="H23">
        <f>F23*C23/(D23*$C$27)</f>
        <v>1.0251383356959181</v>
      </c>
      <c r="I23">
        <f t="shared" si="8"/>
        <v>1.3311882598675604</v>
      </c>
      <c r="J23">
        <f t="shared" si="9"/>
        <v>0.77009268080377213</v>
      </c>
      <c r="K23">
        <f t="shared" si="10"/>
        <v>1.0243227086339228</v>
      </c>
      <c r="L23">
        <f t="shared" si="11"/>
        <v>1.3286572191517936</v>
      </c>
      <c r="M23">
        <f t="shared" si="12"/>
        <v>2.4031622119829038E-2</v>
      </c>
      <c r="N23">
        <f t="shared" si="13"/>
        <v>0.2841688225742281</v>
      </c>
      <c r="O23">
        <f t="shared" si="14"/>
        <v>0.77094580443242089</v>
      </c>
      <c r="P23">
        <f t="shared" si="26"/>
        <v>199.67303264998927</v>
      </c>
      <c r="Q23">
        <f t="shared" si="2"/>
        <v>0.21696735001071943</v>
      </c>
      <c r="R23">
        <f t="shared" si="27"/>
        <v>0.73811408125046662</v>
      </c>
      <c r="S23">
        <f t="shared" si="3"/>
        <v>2.1408125046662452E-4</v>
      </c>
      <c r="T23">
        <f t="shared" si="4"/>
        <v>7.941483209657059E-2</v>
      </c>
      <c r="U23">
        <f t="shared" si="5"/>
        <v>8.0446499324303977E-2</v>
      </c>
      <c r="V23">
        <f t="shared" si="6"/>
        <v>0.47391019131696466</v>
      </c>
      <c r="W23">
        <f>U23/(D23*E23)</f>
        <v>0.48006669382868733</v>
      </c>
      <c r="X23">
        <f t="shared" si="7"/>
        <v>6.1565025117226724E-3</v>
      </c>
    </row>
    <row r="24" spans="1:24" x14ac:dyDescent="0.2">
      <c r="C24">
        <v>192.94</v>
      </c>
      <c r="D24">
        <v>0.89610000000000001</v>
      </c>
      <c r="E24">
        <f t="shared" si="0"/>
        <v>0.10389999999999999</v>
      </c>
      <c r="F24">
        <v>0.85429999999999995</v>
      </c>
      <c r="G24">
        <f t="shared" si="1"/>
        <v>0.14570000000000005</v>
      </c>
      <c r="H24">
        <f>F24*C24/(D24*$C$27)</f>
        <v>1.0062363726891401</v>
      </c>
      <c r="I24">
        <f t="shared" si="8"/>
        <v>1.4636031304078743</v>
      </c>
      <c r="J24">
        <f t="shared" si="9"/>
        <v>0.68750629988658474</v>
      </c>
      <c r="K24">
        <f t="shared" si="10"/>
        <v>1.0059340563248234</v>
      </c>
      <c r="L24">
        <f t="shared" si="11"/>
        <v>1.4633728131802364</v>
      </c>
      <c r="M24">
        <f t="shared" si="12"/>
        <v>5.9165191560888158E-3</v>
      </c>
      <c r="N24">
        <f t="shared" si="13"/>
        <v>0.38074391744927194</v>
      </c>
      <c r="O24">
        <f t="shared" si="14"/>
        <v>0.68740791633179499</v>
      </c>
      <c r="P24">
        <f t="shared" si="26"/>
        <v>192.88605474672841</v>
      </c>
      <c r="Q24">
        <f t="shared" si="2"/>
        <v>5.3945253271592719E-2</v>
      </c>
      <c r="R24">
        <f t="shared" si="27"/>
        <v>0.85428218569502323</v>
      </c>
      <c r="S24">
        <f t="shared" si="3"/>
        <v>1.7814304976715434E-5</v>
      </c>
      <c r="T24">
        <f t="shared" si="4"/>
        <v>4.4861085838750536E-2</v>
      </c>
      <c r="U24">
        <f t="shared" si="5"/>
        <v>4.5146704306402496E-2</v>
      </c>
      <c r="V24">
        <f t="shared" si="6"/>
        <v>0.48183434857380097</v>
      </c>
      <c r="W24">
        <f>U24/(D24*E24)</f>
        <v>0.48490205827651295</v>
      </c>
      <c r="X24">
        <f t="shared" si="7"/>
        <v>3.0677097027119737E-3</v>
      </c>
    </row>
    <row r="25" spans="1:24" x14ac:dyDescent="0.2">
      <c r="C25">
        <v>190.56</v>
      </c>
      <c r="D25">
        <v>0.92330000000000001</v>
      </c>
      <c r="E25">
        <f t="shared" si="0"/>
        <v>7.669999999999999E-2</v>
      </c>
      <c r="F25">
        <v>0.88790000000000002</v>
      </c>
      <c r="G25">
        <f t="shared" si="1"/>
        <v>0.11209999999999998</v>
      </c>
      <c r="H25">
        <f>F25*C25/(D25*$C$27)</f>
        <v>1.002482438006</v>
      </c>
      <c r="I25">
        <f t="shared" si="8"/>
        <v>1.5066037500312099</v>
      </c>
      <c r="J25">
        <f t="shared" si="9"/>
        <v>0.66539223600447905</v>
      </c>
      <c r="K25">
        <f t="shared" si="10"/>
        <v>1.0032565961598467</v>
      </c>
      <c r="L25">
        <f t="shared" si="11"/>
        <v>1.5032104292891149</v>
      </c>
      <c r="M25">
        <f t="shared" si="12"/>
        <v>3.2513049350487897E-3</v>
      </c>
      <c r="N25">
        <f t="shared" si="13"/>
        <v>0.40760310715126935</v>
      </c>
      <c r="O25">
        <f t="shared" si="14"/>
        <v>0.66740928389799559</v>
      </c>
      <c r="P25">
        <f t="shared" si="26"/>
        <v>190.64254873765424</v>
      </c>
      <c r="Q25">
        <f t="shared" si="2"/>
        <v>8.2548737654235538E-2</v>
      </c>
      <c r="R25">
        <f t="shared" si="27"/>
        <v>0.88820091289202086</v>
      </c>
      <c r="S25">
        <f t="shared" si="3"/>
        <v>3.009128920208326E-4</v>
      </c>
      <c r="T25">
        <f t="shared" si="4"/>
        <v>3.4265088165032903E-2</v>
      </c>
      <c r="U25">
        <f t="shared" si="5"/>
        <v>3.372529921095356E-2</v>
      </c>
      <c r="V25">
        <f t="shared" si="6"/>
        <v>0.48385324062268154</v>
      </c>
      <c r="W25">
        <f>U25/(D25*E25)</f>
        <v>0.47623094490799706</v>
      </c>
      <c r="X25">
        <f t="shared" si="7"/>
        <v>7.6222957146844794E-3</v>
      </c>
    </row>
    <row r="26" spans="1:24" x14ac:dyDescent="0.2">
      <c r="C26">
        <v>189.14</v>
      </c>
      <c r="D26">
        <v>0.93959999999999999</v>
      </c>
      <c r="E26">
        <f t="shared" si="0"/>
        <v>6.0400000000000009E-2</v>
      </c>
      <c r="F26">
        <v>0.9093</v>
      </c>
      <c r="G26">
        <f t="shared" si="1"/>
        <v>9.0700000000000003E-2</v>
      </c>
      <c r="H26">
        <f>F26*C26/(D26*$C$27)</f>
        <v>1.0013165083517064</v>
      </c>
      <c r="I26">
        <f t="shared" si="8"/>
        <v>1.5364229454471734</v>
      </c>
      <c r="J26">
        <f t="shared" si="9"/>
        <v>0.65171931421544527</v>
      </c>
      <c r="K26">
        <f t="shared" si="10"/>
        <v>1.0020284516455196</v>
      </c>
      <c r="L26">
        <f t="shared" si="11"/>
        <v>1.5284431881563874</v>
      </c>
      <c r="M26">
        <f t="shared" si="12"/>
        <v>2.0263971153548295E-3</v>
      </c>
      <c r="N26">
        <f t="shared" si="13"/>
        <v>0.42424969329448958</v>
      </c>
      <c r="O26">
        <f t="shared" si="14"/>
        <v>0.65558763283453747</v>
      </c>
      <c r="P26">
        <f t="shared" si="26"/>
        <v>189.17318425162921</v>
      </c>
      <c r="Q26">
        <f t="shared" si="2"/>
        <v>3.3184251629222672E-2</v>
      </c>
      <c r="R26">
        <f t="shared" si="27"/>
        <v>0.90978689851644012</v>
      </c>
      <c r="S26">
        <f t="shared" si="3"/>
        <v>4.8689851644012627E-4</v>
      </c>
      <c r="T26">
        <f t="shared" si="4"/>
        <v>2.7528684204574574E-2</v>
      </c>
      <c r="U26">
        <f t="shared" si="5"/>
        <v>2.7175377603188972E-2</v>
      </c>
      <c r="V26">
        <f t="shared" si="6"/>
        <v>0.48507121891685928</v>
      </c>
      <c r="W26">
        <f>U26/(D26*E26)</f>
        <v>0.47884575377977118</v>
      </c>
      <c r="X26">
        <f t="shared" si="7"/>
        <v>6.2254651370881042E-3</v>
      </c>
    </row>
    <row r="27" spans="1:24" x14ac:dyDescent="0.2">
      <c r="C27">
        <f>10^(C2-D2/(E2+B10))</f>
        <v>182.80000000000024</v>
      </c>
      <c r="D27">
        <v>0.99999990000000005</v>
      </c>
      <c r="E27">
        <f t="shared" si="0"/>
        <v>9.9999999947364415E-8</v>
      </c>
      <c r="F27">
        <v>0.99999999999900002</v>
      </c>
      <c r="G27">
        <f t="shared" si="1"/>
        <v>9.999778782798785E-13</v>
      </c>
      <c r="H27">
        <v>1</v>
      </c>
      <c r="J27" t="e">
        <f t="shared" si="9"/>
        <v>#DIV/0!</v>
      </c>
      <c r="K27">
        <f t="shared" si="10"/>
        <v>1.0000000000000056</v>
      </c>
      <c r="L27">
        <f t="shared" si="11"/>
        <v>1.6317259391584085</v>
      </c>
      <c r="M27">
        <f t="shared" si="12"/>
        <v>5.659663880947834E-15</v>
      </c>
      <c r="N27">
        <f t="shared" si="13"/>
        <v>0.48963831300293892</v>
      </c>
      <c r="O27">
        <f t="shared" si="14"/>
        <v>0.61284801326120564</v>
      </c>
      <c r="P27">
        <f t="shared" si="26"/>
        <v>182.80001188408696</v>
      </c>
      <c r="Q27">
        <f t="shared" si="2"/>
        <v>1.1884086717373066E-5</v>
      </c>
      <c r="R27">
        <f t="shared" si="27"/>
        <v>0.99999983498860101</v>
      </c>
      <c r="S27">
        <f t="shared" si="3"/>
        <v>1.6501039901140047E-7</v>
      </c>
      <c r="T27">
        <f t="shared" si="4"/>
        <v>4.8963836934184811E-8</v>
      </c>
      <c r="U27" t="e">
        <f t="shared" si="5"/>
        <v>#NUM!</v>
      </c>
      <c r="V27">
        <f t="shared" si="6"/>
        <v>0.48963841856341395</v>
      </c>
      <c r="X27">
        <f t="shared" si="7"/>
        <v>0.48963841856341395</v>
      </c>
    </row>
    <row r="28" spans="1:24" x14ac:dyDescent="0.2">
      <c r="P28" t="s">
        <v>10</v>
      </c>
      <c r="Q28">
        <f>AVERAGE(Q12:Q26)</f>
        <v>0.19990189391440746</v>
      </c>
      <c r="S28">
        <f>AVERAGE(S12:S26)</f>
        <v>6.8953516521892786E-4</v>
      </c>
    </row>
    <row r="29" spans="1:24" x14ac:dyDescent="0.2">
      <c r="P29" t="s">
        <v>11</v>
      </c>
      <c r="Q29" s="7">
        <f>MAX(Q12:Q26)</f>
        <v>0.40219984730029523</v>
      </c>
      <c r="S29">
        <f>MAX(S12:S26)</f>
        <v>4.5072580656159156E-3</v>
      </c>
    </row>
    <row r="31" spans="1:24" x14ac:dyDescent="0.2">
      <c r="R31">
        <f>100000*S28</f>
        <v>68.95351652189278</v>
      </c>
    </row>
  </sheetData>
  <phoneticPr fontId="0" type="noConversion"/>
  <pageMargins left="0.75" right="0.75" top="1" bottom="1" header="0.5" footer="0.5"/>
  <pageSetup paperSize="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Alpha</vt:lpstr>
      <vt:lpstr>8</vt:lpstr>
      <vt:lpstr>10</vt:lpstr>
      <vt:lpstr>14</vt:lpstr>
      <vt:lpstr>20</vt:lpstr>
      <vt:lpstr>24.91</vt:lpstr>
      <vt:lpstr>25</vt:lpstr>
      <vt:lpstr>40</vt:lpstr>
      <vt:lpstr>45</vt:lpstr>
      <vt:lpstr>55</vt:lpstr>
      <vt:lpstr>60</vt:lpstr>
      <vt:lpstr>70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Badenhorst</dc:creator>
  <cp:lastModifiedBy>User</cp:lastModifiedBy>
  <cp:lastPrinted>2002-06-25T07:15:17Z</cp:lastPrinted>
  <dcterms:created xsi:type="dcterms:W3CDTF">2000-12-21T21:21:40Z</dcterms:created>
  <dcterms:modified xsi:type="dcterms:W3CDTF">2016-04-07T06:57:42Z</dcterms:modified>
</cp:coreProperties>
</file>