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25" yWindow="270" windowWidth="6405" windowHeight="7470"/>
  </bookViews>
  <sheets>
    <sheet name="Exp" sheetId="1" r:id="rId1"/>
    <sheet name="Pred" sheetId="2" r:id="rId2"/>
    <sheet name="Sheet3" sheetId="3" r:id="rId3"/>
  </sheets>
  <externalReferences>
    <externalReference r:id="rId4"/>
    <externalReference r:id="rId5"/>
  </externalReferences>
  <definedNames>
    <definedName name="solver_adj" localSheetId="0" hidden="1">Exp!$J$9:$J$11</definedName>
    <definedName name="solver_adj" localSheetId="2" hidden="1">Sheet3!$E$4:$E$5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st" localSheetId="0" hidden="1">1</definedName>
    <definedName name="solver_est" localSheetId="2" hidden="1">1</definedName>
    <definedName name="solver_itr" localSheetId="0" hidden="1">100</definedName>
    <definedName name="solver_itr" localSheetId="2" hidden="1">100</definedName>
    <definedName name="solver_lin" localSheetId="0" hidden="1">2</definedName>
    <definedName name="solver_lin" localSheetId="2" hidden="1">2</definedName>
    <definedName name="solver_neg" localSheetId="0" hidden="1">2</definedName>
    <definedName name="solver_neg" localSheetId="2" hidden="1">2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Exp!$J$13</definedName>
    <definedName name="solver_opt" localSheetId="2" hidden="1">Sheet3!$I$13</definedName>
    <definedName name="solver_pre" localSheetId="0" hidden="1">0.000001</definedName>
    <definedName name="solver_pre" localSheetId="2" hidden="1">0.000001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tim" localSheetId="0" hidden="1">100</definedName>
    <definedName name="solver_tim" localSheetId="2" hidden="1">100</definedName>
    <definedName name="solver_tol" localSheetId="0" hidden="1">0.05</definedName>
    <definedName name="solver_tol" localSheetId="2" hidden="1">0.05</definedName>
    <definedName name="solver_typ" localSheetId="0" hidden="1">3</definedName>
    <definedName name="solver_typ" localSheetId="2" hidden="1">3</definedName>
    <definedName name="solver_val" localSheetId="0" hidden="1">0</definedName>
    <definedName name="solver_val" localSheetId="2" hidden="1">0</definedName>
  </definedNames>
  <calcPr calcId="145621"/>
</workbook>
</file>

<file path=xl/calcChain.xml><?xml version="1.0" encoding="utf-8"?>
<calcChain xmlns="http://schemas.openxmlformats.org/spreadsheetml/2006/main">
  <c r="I9" i="1" l="1"/>
  <c r="I10" i="1"/>
  <c r="I11" i="1"/>
  <c r="A14" i="1"/>
  <c r="H14" i="1"/>
  <c r="I14" i="1"/>
  <c r="J14" i="1" s="1"/>
  <c r="K14" i="1" s="1"/>
  <c r="A15" i="1"/>
  <c r="H15" i="1"/>
  <c r="I15" i="1"/>
  <c r="A16" i="1"/>
  <c r="A16" i="3" s="1"/>
  <c r="H16" i="1"/>
  <c r="J16" i="1" s="1"/>
  <c r="K16" i="1" s="1"/>
  <c r="I16" i="1"/>
  <c r="A17" i="1"/>
  <c r="H17" i="1"/>
  <c r="I17" i="1"/>
  <c r="J17" i="1"/>
  <c r="K17" i="1" s="1"/>
  <c r="A18" i="1"/>
  <c r="H18" i="1"/>
  <c r="I18" i="1"/>
  <c r="J18" i="1" s="1"/>
  <c r="K18" i="1" s="1"/>
  <c r="A19" i="1"/>
  <c r="H19" i="1"/>
  <c r="I19" i="1"/>
  <c r="A20" i="1"/>
  <c r="H20" i="1"/>
  <c r="J20" i="1" s="1"/>
  <c r="I20" i="1"/>
  <c r="K20" i="1"/>
  <c r="A21" i="1"/>
  <c r="H21" i="1"/>
  <c r="I21" i="1"/>
  <c r="J21" i="1"/>
  <c r="K21" i="1" s="1"/>
  <c r="A22" i="1"/>
  <c r="H22" i="1"/>
  <c r="I22" i="1"/>
  <c r="J22" i="1" s="1"/>
  <c r="K22" i="1" s="1"/>
  <c r="A23" i="1"/>
  <c r="H23" i="1"/>
  <c r="I23" i="1"/>
  <c r="A24" i="1"/>
  <c r="A24" i="3" s="1"/>
  <c r="H24" i="1"/>
  <c r="J24" i="1" s="1"/>
  <c r="K24" i="1" s="1"/>
  <c r="I24" i="1"/>
  <c r="A25" i="1"/>
  <c r="H25" i="1"/>
  <c r="I25" i="1"/>
  <c r="J25" i="1"/>
  <c r="K25" i="1" s="1"/>
  <c r="A26" i="1"/>
  <c r="H26" i="1"/>
  <c r="I26" i="1"/>
  <c r="J26" i="1" s="1"/>
  <c r="K26" i="1" s="1"/>
  <c r="A27" i="1"/>
  <c r="H27" i="1"/>
  <c r="I27" i="1"/>
  <c r="A28" i="1"/>
  <c r="H28" i="1"/>
  <c r="J28" i="1" s="1"/>
  <c r="I28" i="1"/>
  <c r="K28" i="1"/>
  <c r="A29" i="1"/>
  <c r="H29" i="1"/>
  <c r="I29" i="1"/>
  <c r="J29" i="1"/>
  <c r="K29" i="1" s="1"/>
  <c r="A30" i="1"/>
  <c r="H30" i="1"/>
  <c r="I30" i="1"/>
  <c r="J30" i="1" s="1"/>
  <c r="K30" i="1" s="1"/>
  <c r="A31" i="1"/>
  <c r="H31" i="1"/>
  <c r="I31" i="1"/>
  <c r="A32" i="1"/>
  <c r="H32" i="1"/>
  <c r="J32" i="1" s="1"/>
  <c r="K32" i="1" s="1"/>
  <c r="I32" i="1"/>
  <c r="A33" i="1"/>
  <c r="H33" i="1"/>
  <c r="I33" i="1"/>
  <c r="J33" i="1"/>
  <c r="K33" i="1" s="1"/>
  <c r="A34" i="1"/>
  <c r="H34" i="1"/>
  <c r="I34" i="1"/>
  <c r="J34" i="1" s="1"/>
  <c r="K34" i="1" s="1"/>
  <c r="A35" i="1"/>
  <c r="H35" i="1"/>
  <c r="I35" i="1"/>
  <c r="A36" i="1"/>
  <c r="H36" i="1"/>
  <c r="J36" i="1" s="1"/>
  <c r="I36" i="1"/>
  <c r="K36" i="1"/>
  <c r="A37" i="1"/>
  <c r="H37" i="1"/>
  <c r="I37" i="1"/>
  <c r="J37" i="1"/>
  <c r="K37" i="1" s="1"/>
  <c r="A38" i="1"/>
  <c r="H38" i="1"/>
  <c r="I38" i="1"/>
  <c r="J38" i="1" s="1"/>
  <c r="K38" i="1" s="1"/>
  <c r="A39" i="1"/>
  <c r="H39" i="1"/>
  <c r="I39" i="1"/>
  <c r="A40" i="1"/>
  <c r="H40" i="1"/>
  <c r="J40" i="1" s="1"/>
  <c r="K40" i="1" s="1"/>
  <c r="I40" i="1"/>
  <c r="B43" i="1"/>
  <c r="I43" i="1" s="1"/>
  <c r="I2" i="2"/>
  <c r="I4" i="2"/>
  <c r="B7" i="2"/>
  <c r="C7" i="2"/>
  <c r="D7" i="2"/>
  <c r="E7" i="2"/>
  <c r="B12" i="2"/>
  <c r="B14" i="2"/>
  <c r="C14" i="2"/>
  <c r="I14" i="2"/>
  <c r="B15" i="2"/>
  <c r="C15" i="2" s="1"/>
  <c r="F15" i="2"/>
  <c r="B16" i="2"/>
  <c r="C16" i="2" s="1"/>
  <c r="E16" i="2"/>
  <c r="I16" i="2"/>
  <c r="B17" i="2"/>
  <c r="C17" i="2" s="1"/>
  <c r="D17" i="2" s="1"/>
  <c r="I17" i="2"/>
  <c r="B18" i="2"/>
  <c r="C18" i="2"/>
  <c r="I18" i="2"/>
  <c r="B19" i="2"/>
  <c r="C19" i="2" s="1"/>
  <c r="F19" i="2" s="1"/>
  <c r="B20" i="2"/>
  <c r="C20" i="2" s="1"/>
  <c r="I20" i="2"/>
  <c r="B21" i="2"/>
  <c r="C21" i="2" s="1"/>
  <c r="D21" i="2"/>
  <c r="I21" i="2"/>
  <c r="B22" i="2"/>
  <c r="C22" i="2"/>
  <c r="I22" i="2"/>
  <c r="B23" i="2"/>
  <c r="C23" i="2" s="1"/>
  <c r="F23" i="2"/>
  <c r="B24" i="2"/>
  <c r="C24" i="2" s="1"/>
  <c r="E24" i="2"/>
  <c r="I24" i="2"/>
  <c r="B25" i="2"/>
  <c r="C25" i="2" s="1"/>
  <c r="D25" i="2" s="1"/>
  <c r="I25" i="2"/>
  <c r="B26" i="2"/>
  <c r="C26" i="2"/>
  <c r="I26" i="2"/>
  <c r="B27" i="2"/>
  <c r="C27" i="2" s="1"/>
  <c r="F27" i="2" s="1"/>
  <c r="B28" i="2"/>
  <c r="C28" i="2" s="1"/>
  <c r="I28" i="2"/>
  <c r="B29" i="2"/>
  <c r="C29" i="2" s="1"/>
  <c r="D29" i="2"/>
  <c r="I29" i="2"/>
  <c r="B30" i="2"/>
  <c r="C30" i="2"/>
  <c r="I30" i="2"/>
  <c r="B31" i="2"/>
  <c r="C31" i="2" s="1"/>
  <c r="F31" i="2"/>
  <c r="B32" i="2"/>
  <c r="C32" i="2" s="1"/>
  <c r="E32" i="2"/>
  <c r="I32" i="2"/>
  <c r="B33" i="2"/>
  <c r="C33" i="2" s="1"/>
  <c r="D33" i="2" s="1"/>
  <c r="I33" i="2"/>
  <c r="B34" i="2"/>
  <c r="C34" i="2"/>
  <c r="I34" i="2"/>
  <c r="B35" i="2"/>
  <c r="C35" i="2" s="1"/>
  <c r="F35" i="2" s="1"/>
  <c r="B36" i="2"/>
  <c r="C36" i="2" s="1"/>
  <c r="I36" i="2"/>
  <c r="B37" i="2"/>
  <c r="C37" i="2" s="1"/>
  <c r="D37" i="2"/>
  <c r="I37" i="2"/>
  <c r="B38" i="2"/>
  <c r="C38" i="2"/>
  <c r="I38" i="2"/>
  <c r="B39" i="2"/>
  <c r="C39" i="2" s="1"/>
  <c r="F39" i="2"/>
  <c r="B40" i="2"/>
  <c r="C40" i="2" s="1"/>
  <c r="E40" i="2"/>
  <c r="I40" i="2"/>
  <c r="B42" i="2"/>
  <c r="C42" i="2" s="1"/>
  <c r="D42" i="2" s="1"/>
  <c r="I42" i="2"/>
  <c r="B1" i="3"/>
  <c r="A3" i="3"/>
  <c r="E3" i="3"/>
  <c r="H3" i="3"/>
  <c r="A4" i="3"/>
  <c r="A5" i="3"/>
  <c r="H5" i="3"/>
  <c r="A6" i="3"/>
  <c r="A12" i="3"/>
  <c r="B12" i="3"/>
  <c r="C12" i="3"/>
  <c r="H12" i="3"/>
  <c r="I12" i="3"/>
  <c r="G13" i="3"/>
  <c r="H13" i="3"/>
  <c r="A14" i="3"/>
  <c r="B14" i="3"/>
  <c r="D14" i="3"/>
  <c r="E14" i="3"/>
  <c r="H14" i="3" s="1"/>
  <c r="I14" i="3" s="1"/>
  <c r="G14" i="3"/>
  <c r="A15" i="3"/>
  <c r="B15" i="3"/>
  <c r="D15" i="3"/>
  <c r="E15" i="3"/>
  <c r="G15" i="3"/>
  <c r="B16" i="3"/>
  <c r="D16" i="3" s="1"/>
  <c r="E16" i="3"/>
  <c r="G16" i="3"/>
  <c r="A17" i="3"/>
  <c r="B17" i="3"/>
  <c r="D17" i="3" s="1"/>
  <c r="E17" i="3" s="1"/>
  <c r="G17" i="3"/>
  <c r="A18" i="3"/>
  <c r="B18" i="3"/>
  <c r="D18" i="3"/>
  <c r="E18" i="3"/>
  <c r="H18" i="3" s="1"/>
  <c r="I18" i="3" s="1"/>
  <c r="G18" i="3"/>
  <c r="A19" i="3"/>
  <c r="B19" i="3"/>
  <c r="D19" i="3"/>
  <c r="E19" i="3"/>
  <c r="G19" i="3"/>
  <c r="A20" i="3"/>
  <c r="B20" i="3"/>
  <c r="D20" i="3" s="1"/>
  <c r="E20" i="3"/>
  <c r="G20" i="3"/>
  <c r="A21" i="3"/>
  <c r="B21" i="3"/>
  <c r="D21" i="3" s="1"/>
  <c r="E21" i="3" s="1"/>
  <c r="G21" i="3"/>
  <c r="A22" i="3"/>
  <c r="B22" i="3"/>
  <c r="D22" i="3"/>
  <c r="E22" i="3"/>
  <c r="H22" i="3" s="1"/>
  <c r="I22" i="3" s="1"/>
  <c r="G22" i="3"/>
  <c r="A23" i="3"/>
  <c r="B23" i="3"/>
  <c r="D23" i="3"/>
  <c r="E23" i="3"/>
  <c r="G23" i="3"/>
  <c r="B24" i="3"/>
  <c r="D24" i="3" s="1"/>
  <c r="E24" i="3"/>
  <c r="G24" i="3"/>
  <c r="A25" i="3"/>
  <c r="B25" i="3"/>
  <c r="D25" i="3" s="1"/>
  <c r="E25" i="3" s="1"/>
  <c r="G25" i="3"/>
  <c r="A26" i="3"/>
  <c r="B26" i="3"/>
  <c r="D26" i="3"/>
  <c r="E26" i="3"/>
  <c r="H26" i="3" s="1"/>
  <c r="I26" i="3" s="1"/>
  <c r="G26" i="3"/>
  <c r="A27" i="3"/>
  <c r="B27" i="3"/>
  <c r="D27" i="3"/>
  <c r="E27" i="3"/>
  <c r="G27" i="3"/>
  <c r="A28" i="3"/>
  <c r="B28" i="3"/>
  <c r="D28" i="3" s="1"/>
  <c r="E28" i="3"/>
  <c r="G28" i="3"/>
  <c r="A29" i="3"/>
  <c r="B29" i="3"/>
  <c r="D29" i="3" s="1"/>
  <c r="E29" i="3" s="1"/>
  <c r="H29" i="3" s="1"/>
  <c r="G29" i="3"/>
  <c r="A30" i="3"/>
  <c r="B30" i="3"/>
  <c r="D30" i="3"/>
  <c r="E30" i="3" s="1"/>
  <c r="H30" i="3" s="1"/>
  <c r="I30" i="3" s="1"/>
  <c r="G30" i="3"/>
  <c r="A31" i="3"/>
  <c r="B31" i="3"/>
  <c r="D31" i="3"/>
  <c r="E31" i="3"/>
  <c r="H31" i="3" s="1"/>
  <c r="I31" i="3" s="1"/>
  <c r="G31" i="3"/>
  <c r="A32" i="3"/>
  <c r="B32" i="3"/>
  <c r="D32" i="3"/>
  <c r="E32" i="3"/>
  <c r="H32" i="3" s="1"/>
  <c r="G32" i="3"/>
  <c r="A33" i="3"/>
  <c r="B33" i="3"/>
  <c r="D33" i="3" s="1"/>
  <c r="E33" i="3" s="1"/>
  <c r="H33" i="3" s="1"/>
  <c r="G33" i="3"/>
  <c r="I33" i="3" s="1"/>
  <c r="A34" i="3"/>
  <c r="B34" i="3"/>
  <c r="D34" i="3"/>
  <c r="E34" i="3" s="1"/>
  <c r="H34" i="3" s="1"/>
  <c r="I34" i="3" s="1"/>
  <c r="G34" i="3"/>
  <c r="A35" i="3"/>
  <c r="B35" i="3"/>
  <c r="D35" i="3"/>
  <c r="E35" i="3"/>
  <c r="H35" i="3" s="1"/>
  <c r="A36" i="3"/>
  <c r="B36" i="3"/>
  <c r="D36" i="3"/>
  <c r="E36" i="3"/>
  <c r="H36" i="3" s="1"/>
  <c r="G36" i="3"/>
  <c r="A37" i="3"/>
  <c r="B37" i="3"/>
  <c r="D37" i="3" s="1"/>
  <c r="E37" i="3" s="1"/>
  <c r="H37" i="3" s="1"/>
  <c r="G37" i="3"/>
  <c r="I37" i="3" s="1"/>
  <c r="A38" i="3"/>
  <c r="B38" i="3"/>
  <c r="D38" i="3"/>
  <c r="E38" i="3" s="1"/>
  <c r="H38" i="3" s="1"/>
  <c r="I38" i="3" s="1"/>
  <c r="G38" i="3"/>
  <c r="A39" i="3"/>
  <c r="B39" i="3"/>
  <c r="D39" i="3"/>
  <c r="E39" i="3"/>
  <c r="H39" i="3" s="1"/>
  <c r="I39" i="3" s="1"/>
  <c r="G39" i="3"/>
  <c r="A40" i="3"/>
  <c r="B40" i="3"/>
  <c r="D40" i="3"/>
  <c r="E40" i="3"/>
  <c r="H40" i="3" s="1"/>
  <c r="G40" i="3"/>
  <c r="I40" i="3" s="1"/>
  <c r="I36" i="3" l="1"/>
  <c r="I32" i="3"/>
  <c r="I29" i="3"/>
  <c r="D38" i="2"/>
  <c r="E38" i="2"/>
  <c r="F38" i="2"/>
  <c r="F36" i="2"/>
  <c r="D36" i="2"/>
  <c r="D22" i="2"/>
  <c r="E22" i="2"/>
  <c r="F22" i="2"/>
  <c r="H15" i="3"/>
  <c r="I15" i="3" s="1"/>
  <c r="D39" i="2"/>
  <c r="E39" i="2"/>
  <c r="D31" i="2"/>
  <c r="E31" i="2"/>
  <c r="H28" i="3"/>
  <c r="I28" i="3" s="1"/>
  <c r="H24" i="3"/>
  <c r="H20" i="3"/>
  <c r="I20" i="3" s="1"/>
  <c r="H16" i="3"/>
  <c r="F40" i="2"/>
  <c r="D40" i="2"/>
  <c r="D34" i="2"/>
  <c r="E34" i="2"/>
  <c r="F34" i="2"/>
  <c r="F32" i="2"/>
  <c r="D32" i="2"/>
  <c r="G32" i="2" s="1"/>
  <c r="H32" i="2" s="1"/>
  <c r="J32" i="2" s="1"/>
  <c r="D26" i="2"/>
  <c r="E26" i="2"/>
  <c r="F26" i="2"/>
  <c r="F24" i="2"/>
  <c r="D24" i="2"/>
  <c r="D18" i="2"/>
  <c r="E18" i="2"/>
  <c r="F18" i="2"/>
  <c r="F16" i="2"/>
  <c r="D16" i="2"/>
  <c r="G16" i="2" s="1"/>
  <c r="H16" i="2" s="1"/>
  <c r="J16" i="2" s="1"/>
  <c r="D30" i="2"/>
  <c r="G30" i="2" s="1"/>
  <c r="H30" i="2" s="1"/>
  <c r="J30" i="2" s="1"/>
  <c r="E30" i="2"/>
  <c r="F30" i="2"/>
  <c r="F28" i="2"/>
  <c r="D28" i="2"/>
  <c r="F20" i="2"/>
  <c r="D20" i="2"/>
  <c r="D14" i="2"/>
  <c r="G14" i="2" s="1"/>
  <c r="H14" i="2" s="1"/>
  <c r="J14" i="2" s="1"/>
  <c r="E14" i="2"/>
  <c r="F14" i="2"/>
  <c r="H25" i="3"/>
  <c r="I25" i="3" s="1"/>
  <c r="H21" i="3"/>
  <c r="I21" i="3" s="1"/>
  <c r="H17" i="3"/>
  <c r="I17" i="3" s="1"/>
  <c r="E37" i="2"/>
  <c r="G37" i="2" s="1"/>
  <c r="H37" i="2" s="1"/>
  <c r="J37" i="2" s="1"/>
  <c r="F37" i="2"/>
  <c r="E29" i="2"/>
  <c r="G29" i="2" s="1"/>
  <c r="H29" i="2" s="1"/>
  <c r="J29" i="2" s="1"/>
  <c r="F29" i="2"/>
  <c r="D23" i="2"/>
  <c r="G23" i="2" s="1"/>
  <c r="H23" i="2" s="1"/>
  <c r="J23" i="2" s="1"/>
  <c r="E23" i="2"/>
  <c r="E21" i="2"/>
  <c r="G21" i="2" s="1"/>
  <c r="H21" i="2" s="1"/>
  <c r="J21" i="2" s="1"/>
  <c r="F21" i="2"/>
  <c r="D15" i="2"/>
  <c r="G15" i="2" s="1"/>
  <c r="H15" i="2" s="1"/>
  <c r="J15" i="2" s="1"/>
  <c r="E15" i="2"/>
  <c r="J35" i="1"/>
  <c r="K35" i="1" s="1"/>
  <c r="I35" i="2"/>
  <c r="J27" i="1"/>
  <c r="K27" i="1" s="1"/>
  <c r="I27" i="2"/>
  <c r="J19" i="1"/>
  <c r="K19" i="1" s="1"/>
  <c r="I19" i="2"/>
  <c r="G35" i="3"/>
  <c r="I35" i="3" s="1"/>
  <c r="I24" i="3"/>
  <c r="I16" i="3"/>
  <c r="E42" i="2"/>
  <c r="G42" i="2" s="1"/>
  <c r="H42" i="2" s="1"/>
  <c r="J42" i="2" s="1"/>
  <c r="F42" i="2"/>
  <c r="E36" i="2"/>
  <c r="D35" i="2"/>
  <c r="G35" i="2" s="1"/>
  <c r="H35" i="2" s="1"/>
  <c r="J35" i="2" s="1"/>
  <c r="E35" i="2"/>
  <c r="E33" i="2"/>
  <c r="G33" i="2" s="1"/>
  <c r="H33" i="2" s="1"/>
  <c r="J33" i="2" s="1"/>
  <c r="F33" i="2"/>
  <c r="E28" i="2"/>
  <c r="D27" i="2"/>
  <c r="E27" i="2"/>
  <c r="E25" i="2"/>
  <c r="F25" i="2"/>
  <c r="G25" i="2" s="1"/>
  <c r="H25" i="2" s="1"/>
  <c r="J25" i="2" s="1"/>
  <c r="E20" i="2"/>
  <c r="D19" i="2"/>
  <c r="G19" i="2" s="1"/>
  <c r="H19" i="2" s="1"/>
  <c r="J19" i="2" s="1"/>
  <c r="E19" i="2"/>
  <c r="E17" i="2"/>
  <c r="G17" i="2" s="1"/>
  <c r="H17" i="2" s="1"/>
  <c r="J17" i="2" s="1"/>
  <c r="F17" i="2"/>
  <c r="J39" i="1"/>
  <c r="K39" i="1" s="1"/>
  <c r="I39" i="2"/>
  <c r="J31" i="1"/>
  <c r="K31" i="1" s="1"/>
  <c r="I31" i="2"/>
  <c r="J23" i="1"/>
  <c r="K23" i="1" s="1"/>
  <c r="I23" i="2"/>
  <c r="J15" i="1"/>
  <c r="I15" i="2"/>
  <c r="H27" i="3"/>
  <c r="I27" i="3" s="1"/>
  <c r="H23" i="3"/>
  <c r="I23" i="3" s="1"/>
  <c r="H19" i="3"/>
  <c r="I19" i="3" s="1"/>
  <c r="I13" i="3" l="1"/>
  <c r="K15" i="1"/>
  <c r="K13" i="1" s="1"/>
  <c r="J13" i="1"/>
  <c r="G18" i="2"/>
  <c r="H18" i="2" s="1"/>
  <c r="J18" i="2" s="1"/>
  <c r="J12" i="2" s="1"/>
  <c r="G24" i="2"/>
  <c r="H24" i="2" s="1"/>
  <c r="J24" i="2" s="1"/>
  <c r="G26" i="2"/>
  <c r="H26" i="2" s="1"/>
  <c r="J26" i="2" s="1"/>
  <c r="G39" i="2"/>
  <c r="H39" i="2" s="1"/>
  <c r="J39" i="2" s="1"/>
  <c r="G22" i="2"/>
  <c r="H22" i="2" s="1"/>
  <c r="J22" i="2" s="1"/>
  <c r="G28" i="2"/>
  <c r="H28" i="2" s="1"/>
  <c r="J28" i="2" s="1"/>
  <c r="G34" i="2"/>
  <c r="H34" i="2" s="1"/>
  <c r="J34" i="2" s="1"/>
  <c r="G27" i="2"/>
  <c r="H27" i="2" s="1"/>
  <c r="J27" i="2" s="1"/>
  <c r="G20" i="2"/>
  <c r="H20" i="2" s="1"/>
  <c r="J20" i="2" s="1"/>
  <c r="G40" i="2"/>
  <c r="H40" i="2" s="1"/>
  <c r="J40" i="2" s="1"/>
  <c r="G31" i="2"/>
  <c r="H31" i="2" s="1"/>
  <c r="J31" i="2" s="1"/>
  <c r="G36" i="2"/>
  <c r="H36" i="2" s="1"/>
  <c r="J36" i="2" s="1"/>
  <c r="G38" i="2"/>
  <c r="H38" i="2" s="1"/>
  <c r="J38" i="2" s="1"/>
</calcChain>
</file>

<file path=xl/sharedStrings.xml><?xml version="1.0" encoding="utf-8"?>
<sst xmlns="http://schemas.openxmlformats.org/spreadsheetml/2006/main" count="80" uniqueCount="55">
  <si>
    <t>T, K</t>
  </si>
  <si>
    <r>
      <t>B, 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</si>
  <si>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r>
      <t xml:space="preserve">T,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</si>
  <si>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JH Dymond and EB Smith, The Virial Coefficients of Gases: A Critical Compilation, Clarendon Press, Oxford, 1969.</t>
  </si>
  <si>
    <t xml:space="preserve">A = </t>
  </si>
  <si>
    <t xml:space="preserve">B = </t>
  </si>
  <si>
    <t xml:space="preserve">C = </t>
  </si>
  <si>
    <t>Error:</t>
  </si>
  <si>
    <t>Predicted</t>
  </si>
  <si>
    <t>Ref 1</t>
  </si>
  <si>
    <t>Ref 2</t>
  </si>
  <si>
    <t>Ref 3</t>
  </si>
  <si>
    <t>Ref 4</t>
  </si>
  <si>
    <t>% Error</t>
  </si>
  <si>
    <r>
      <t xml:space="preserve">JD Cox et all, </t>
    </r>
    <r>
      <rPr>
        <i/>
        <sz val="10"/>
        <rFont val="Arial"/>
        <family val="2"/>
      </rPr>
      <t>Trans. Faraday. Soc.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53</t>
    </r>
    <r>
      <rPr>
        <sz val="10"/>
        <rFont val="Arial"/>
        <family val="2"/>
      </rPr>
      <t xml:space="preserve"> (1961) 1674; Trans. Faraday. Soc. 54 (1958) 1622; Trans. Faraday. Soc. 56 (1960) 484</t>
    </r>
    <r>
      <rPr>
        <sz val="10"/>
        <rFont val="Arial"/>
        <family val="2"/>
      </rPr>
      <t/>
    </r>
  </si>
  <si>
    <t>B(T) = A - B exp(C/T)</t>
  </si>
  <si>
    <r>
      <t xml:space="preserve">JD Lambert et all, </t>
    </r>
    <r>
      <rPr>
        <i/>
        <sz val="10"/>
        <rFont val="Arial"/>
        <family val="2"/>
      </rPr>
      <t>Proc. Royal Soc.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A196</t>
    </r>
    <r>
      <rPr>
        <sz val="10"/>
        <rFont val="Arial"/>
        <family val="2"/>
      </rPr>
      <t xml:space="preserve"> (1949) 113</t>
    </r>
    <r>
      <rPr>
        <sz val="10"/>
        <rFont val="Arial"/>
        <family val="2"/>
      </rPr>
      <t/>
    </r>
  </si>
  <si>
    <r>
      <t xml:space="preserve">GA Botomley and TA Remmington et all, </t>
    </r>
    <r>
      <rPr>
        <i/>
        <sz val="10"/>
        <rFont val="Arial"/>
        <family val="2"/>
      </rPr>
      <t>J. Chem. Soc.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3800</t>
    </r>
    <r>
      <rPr>
        <sz val="10"/>
        <rFont val="Arial"/>
        <family val="2"/>
      </rPr>
      <t xml:space="preserve"> (1961)</t>
    </r>
    <r>
      <rPr>
        <sz val="10"/>
        <rFont val="Arial"/>
        <family val="2"/>
      </rPr>
      <t/>
    </r>
  </si>
  <si>
    <r>
      <t xml:space="preserve">FG Waelbroek, </t>
    </r>
    <r>
      <rPr>
        <i/>
        <sz val="10"/>
        <rFont val="Arial"/>
        <family val="2"/>
      </rPr>
      <t>J. Chem. Phys.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23</t>
    </r>
    <r>
      <rPr>
        <sz val="10"/>
        <rFont val="Arial"/>
        <family val="2"/>
      </rPr>
      <t xml:space="preserve"> (1955) 749; J. Chim. Phys. 54 (1957) 710.</t>
    </r>
  </si>
  <si>
    <t>Ref 5</t>
  </si>
  <si>
    <r>
      <t xml:space="preserve">GA Bottomley and IH Coopes, </t>
    </r>
    <r>
      <rPr>
        <i/>
        <sz val="10"/>
        <rFont val="Arial"/>
        <family val="2"/>
      </rPr>
      <t>Nature (London)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193</t>
    </r>
    <r>
      <rPr>
        <sz val="10"/>
        <rFont val="Arial"/>
        <family val="2"/>
      </rPr>
      <t xml:space="preserve"> (1962) 268.</t>
    </r>
  </si>
  <si>
    <t>Cyclohexane</t>
  </si>
  <si>
    <t>w</t>
  </si>
  <si>
    <t>K</t>
  </si>
  <si>
    <t>bar</t>
  </si>
  <si>
    <t>mmHg</t>
  </si>
  <si>
    <r>
      <t>B</t>
    </r>
    <r>
      <rPr>
        <vertAlign val="superscript"/>
        <sz val="10"/>
        <rFont val="Arial"/>
        <family val="2"/>
      </rPr>
      <t>(0)</t>
    </r>
  </si>
  <si>
    <r>
      <t>B</t>
    </r>
    <r>
      <rPr>
        <vertAlign val="superscript"/>
        <sz val="10"/>
        <rFont val="Arial"/>
        <family val="2"/>
      </rPr>
      <t>(1)</t>
    </r>
  </si>
  <si>
    <t xml:space="preserve">R = </t>
  </si>
  <si>
    <t>J/mol/K</t>
  </si>
  <si>
    <t>Experimental</t>
  </si>
  <si>
    <r>
      <t>B</t>
    </r>
    <r>
      <rPr>
        <vertAlign val="superscript"/>
        <sz val="10"/>
        <rFont val="Arial"/>
        <family val="2"/>
      </rPr>
      <t>(2)</t>
    </r>
  </si>
  <si>
    <t xml:space="preserve">a = </t>
  </si>
  <si>
    <t xml:space="preserve">b = </t>
  </si>
  <si>
    <r>
      <t>T</t>
    </r>
    <r>
      <rPr>
        <vertAlign val="subscript"/>
        <sz val="10"/>
        <rFont val="Arial"/>
        <family val="2"/>
      </rPr>
      <t>c</t>
    </r>
  </si>
  <si>
    <r>
      <t>P</t>
    </r>
    <r>
      <rPr>
        <vertAlign val="subscript"/>
        <sz val="10"/>
        <rFont val="Arial"/>
        <family val="2"/>
      </rPr>
      <t>c</t>
    </r>
  </si>
  <si>
    <r>
      <t>z</t>
    </r>
    <r>
      <rPr>
        <vertAlign val="subscript"/>
        <sz val="10"/>
        <rFont val="Arial"/>
        <family val="2"/>
      </rPr>
      <t>c</t>
    </r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</si>
  <si>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.atm/(mol.K)</t>
    </r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</si>
  <si>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.mmHg/(mol.K)</t>
    </r>
  </si>
  <si>
    <r>
      <t>T</t>
    </r>
    <r>
      <rPr>
        <vertAlign val="subscript"/>
        <sz val="10"/>
        <rFont val="Arial"/>
        <family val="2"/>
      </rPr>
      <t>r</t>
    </r>
  </si>
  <si>
    <r>
      <t>BP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/(RT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</si>
  <si>
    <r>
      <t>B</t>
    </r>
    <r>
      <rPr>
        <vertAlign val="subscript"/>
        <sz val="10"/>
        <rFont val="Arial"/>
        <family val="2"/>
      </rPr>
      <t>pred</t>
    </r>
  </si>
  <si>
    <r>
      <t>B</t>
    </r>
    <r>
      <rPr>
        <vertAlign val="subscript"/>
        <sz val="10"/>
        <rFont val="Arial"/>
        <family val="2"/>
      </rPr>
      <t>exp</t>
    </r>
  </si>
  <si>
    <t>JM Prausnitz RN Lichtenthaler and EG de Azevedo</t>
  </si>
  <si>
    <t>Molecular Thermodyanmics of Flui-Phase Equilibria</t>
  </si>
  <si>
    <t>Prentice-HallPTR, Upper Sadle River 1999</t>
  </si>
  <si>
    <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= </t>
    </r>
  </si>
  <si>
    <r>
      <t>D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= </t>
    </r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</si>
  <si>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</si>
  <si>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t>kJ/mol</t>
  </si>
  <si>
    <t>kJ/mol.K</t>
  </si>
  <si>
    <t>lnK</t>
  </si>
  <si>
    <t>pp 181-186</t>
  </si>
  <si>
    <t>(Van der Waals)</t>
  </si>
  <si>
    <r>
      <t>ln K = -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/RT +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/R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</si>
</sst>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1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4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/>
    <xf numFmtId="164" fontId="0" fillId="0" borderId="0" xfId="0" applyNumberForma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3222245785725"/>
          <c:y val="5.8189655172413791E-2"/>
          <c:w val="0.77754317724524258"/>
          <c:h val="0.795258620689655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Exp!$C$13</c:f>
              <c:strCache>
                <c:ptCount val="1"/>
                <c:pt idx="0">
                  <c:v>Ref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Exp!$B$14:$B$41</c:f>
              <c:numCache>
                <c:formatCode>General</c:formatCode>
                <c:ptCount val="28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Exp!$C$14:$C$41</c:f>
              <c:numCache>
                <c:formatCode>General</c:formatCode>
                <c:ptCount val="28"/>
                <c:pt idx="7">
                  <c:v>-1320</c:v>
                </c:pt>
                <c:pt idx="10">
                  <c:v>-1250</c:v>
                </c:pt>
                <c:pt idx="12">
                  <c:v>-1270</c:v>
                </c:pt>
                <c:pt idx="13">
                  <c:v>-1120</c:v>
                </c:pt>
                <c:pt idx="15">
                  <c:v>-1140</c:v>
                </c:pt>
                <c:pt idx="18">
                  <c:v>-1080</c:v>
                </c:pt>
                <c:pt idx="20">
                  <c:v>-1100</c:v>
                </c:pt>
                <c:pt idx="21">
                  <c:v>-930</c:v>
                </c:pt>
                <c:pt idx="22">
                  <c:v>-840</c:v>
                </c:pt>
                <c:pt idx="24">
                  <c:v>-900</c:v>
                </c:pt>
                <c:pt idx="25">
                  <c:v>-750</c:v>
                </c:pt>
                <c:pt idx="26">
                  <c:v>-800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Exp!$D$13</c:f>
              <c:strCache>
                <c:ptCount val="1"/>
                <c:pt idx="0">
                  <c:v>Ref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Exp!$B$14:$B$41</c:f>
              <c:numCache>
                <c:formatCode>General</c:formatCode>
                <c:ptCount val="28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Exp!$D$14:$D$41</c:f>
              <c:numCache>
                <c:formatCode>General</c:formatCode>
                <c:ptCount val="28"/>
                <c:pt idx="3">
                  <c:v>-1518</c:v>
                </c:pt>
                <c:pt idx="4">
                  <c:v>-1435</c:v>
                </c:pt>
                <c:pt idx="5">
                  <c:v>-1382</c:v>
                </c:pt>
                <c:pt idx="7">
                  <c:v>-1292</c:v>
                </c:pt>
                <c:pt idx="8">
                  <c:v>-1355</c:v>
                </c:pt>
                <c:pt idx="9">
                  <c:v>-1301</c:v>
                </c:pt>
                <c:pt idx="11">
                  <c:v>-1268</c:v>
                </c:pt>
                <c:pt idx="14">
                  <c:v>-1236</c:v>
                </c:pt>
                <c:pt idx="16">
                  <c:v>-1180</c:v>
                </c:pt>
                <c:pt idx="19">
                  <c:v>-1171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Exp!$E$13</c:f>
              <c:strCache>
                <c:ptCount val="1"/>
                <c:pt idx="0">
                  <c:v>Ref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Exp!$B$14:$B$41</c:f>
              <c:numCache>
                <c:formatCode>General</c:formatCode>
                <c:ptCount val="28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Exp!$E$14:$E$41</c:f>
              <c:numCache>
                <c:formatCode>General</c:formatCode>
                <c:ptCount val="28"/>
                <c:pt idx="0">
                  <c:v>-1631</c:v>
                </c:pt>
                <c:pt idx="1">
                  <c:v>-1519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Exp!$F$13</c:f>
              <c:strCache>
                <c:ptCount val="1"/>
                <c:pt idx="0">
                  <c:v>Ref 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Exp!$B$14:$B$40</c:f>
              <c:numCache>
                <c:formatCode>General</c:formatCode>
                <c:ptCount val="27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Exp!$F$14:$F$40</c:f>
              <c:numCache>
                <c:formatCode>General</c:formatCode>
                <c:ptCount val="27"/>
                <c:pt idx="23">
                  <c:v>-910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Exp!$I$13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Exp!$B$14:$B$40</c:f>
              <c:numCache>
                <c:formatCode>General</c:formatCode>
                <c:ptCount val="27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Exp!$I$14:$I$40</c:f>
              <c:numCache>
                <c:formatCode>0</c:formatCode>
                <c:ptCount val="27"/>
                <c:pt idx="0">
                  <c:v>-1718.0829945345072</c:v>
                </c:pt>
                <c:pt idx="1">
                  <c:v>-1519.0013391732391</c:v>
                </c:pt>
                <c:pt idx="2">
                  <c:v>-1519.0013391732391</c:v>
                </c:pt>
                <c:pt idx="3">
                  <c:v>-1428.3224593845093</c:v>
                </c:pt>
                <c:pt idx="4">
                  <c:v>-1368.9183822467407</c:v>
                </c:pt>
                <c:pt idx="5">
                  <c:v>-1335.3567550343018</c:v>
                </c:pt>
                <c:pt idx="6">
                  <c:v>-1334.9192583580186</c:v>
                </c:pt>
                <c:pt idx="7">
                  <c:v>-1322.988372483459</c:v>
                </c:pt>
                <c:pt idx="8">
                  <c:v>-1282.604119697987</c:v>
                </c:pt>
                <c:pt idx="9">
                  <c:v>-1252.7314205675225</c:v>
                </c:pt>
                <c:pt idx="10">
                  <c:v>-1252.3416762669467</c:v>
                </c:pt>
                <c:pt idx="11">
                  <c:v>-1233.5115098180111</c:v>
                </c:pt>
                <c:pt idx="12">
                  <c:v>-1223.7287325988309</c:v>
                </c:pt>
                <c:pt idx="13">
                  <c:v>-1193.6086182319484</c:v>
                </c:pt>
                <c:pt idx="14">
                  <c:v>-1187.747617239691</c:v>
                </c:pt>
                <c:pt idx="15">
                  <c:v>-1158.0401141285665</c:v>
                </c:pt>
                <c:pt idx="16">
                  <c:v>-1145.0173929352829</c:v>
                </c:pt>
                <c:pt idx="17">
                  <c:v>-1144.6870525445222</c:v>
                </c:pt>
                <c:pt idx="18">
                  <c:v>-1138.1172511887173</c:v>
                </c:pt>
                <c:pt idx="19">
                  <c:v>-1105.0574469240164</c:v>
                </c:pt>
                <c:pt idx="20">
                  <c:v>-1084.2484883995221</c:v>
                </c:pt>
                <c:pt idx="21">
                  <c:v>-1005.7340460615109</c:v>
                </c:pt>
                <c:pt idx="22">
                  <c:v>-955.84500210175747</c:v>
                </c:pt>
                <c:pt idx="23">
                  <c:v>-939.12962132560085</c:v>
                </c:pt>
                <c:pt idx="24">
                  <c:v>-899.99993820628754</c:v>
                </c:pt>
                <c:pt idx="25">
                  <c:v>-836.95561325539984</c:v>
                </c:pt>
                <c:pt idx="26">
                  <c:v>-790.95684711917625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Exp!$G$13</c:f>
              <c:strCache>
                <c:ptCount val="1"/>
                <c:pt idx="0">
                  <c:v>Ref 5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Exp!$B$14:$B$40</c:f>
              <c:numCache>
                <c:formatCode>General</c:formatCode>
                <c:ptCount val="27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Exp!$G$14:$G$40</c:f>
              <c:numCache>
                <c:formatCode>General</c:formatCode>
                <c:ptCount val="27"/>
                <c:pt idx="2">
                  <c:v>-1457</c:v>
                </c:pt>
                <c:pt idx="6">
                  <c:v>-1309</c:v>
                </c:pt>
                <c:pt idx="17">
                  <c:v>-1121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49024"/>
        <c:axId val="165252480"/>
      </c:scatterChart>
      <c:valAx>
        <c:axId val="165249024"/>
        <c:scaling>
          <c:orientation val="minMax"/>
          <c:max val="41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T, K</a:t>
                </a:r>
              </a:p>
            </c:rich>
          </c:tx>
          <c:layout>
            <c:manualLayout>
              <c:xMode val="edge"/>
              <c:yMode val="edge"/>
              <c:x val="0.54237344243809837"/>
              <c:y val="0.92887931034482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52480"/>
        <c:crossesAt val="-2500"/>
        <c:crossBetween val="midCat"/>
        <c:majorUnit val="20"/>
        <c:minorUnit val="10"/>
      </c:valAx>
      <c:valAx>
        <c:axId val="165252480"/>
        <c:scaling>
          <c:orientation val="minMax"/>
          <c:max val="-600"/>
          <c:min val="-18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B, cm</a:t>
                </a:r>
                <a:r>
                  <a:rPr lang="en-GB" sz="9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GB" sz="9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/mol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30510885476204E-2"/>
              <c:y val="0.377155172413793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49024"/>
        <c:crosses val="autoZero"/>
        <c:crossBetween val="midCat"/>
        <c:majorUnit val="3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18710915476563"/>
          <c:y val="0.51724137931034486"/>
          <c:w val="0.26906807495952539"/>
          <c:h val="0.22844827586206898"/>
        </c:manualLayout>
      </c:layout>
      <c:overlay val="0"/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37313432835822"/>
          <c:y val="4.5741360149287869E-2"/>
          <c:w val="0.78731343283582089"/>
          <c:h val="0.8296536358112214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Pred!$H$13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none"/>
          </c:marker>
          <c:xVal>
            <c:numRef>
              <c:f>Pred!$B$14:$B$40</c:f>
              <c:numCache>
                <c:formatCode>General</c:formatCode>
                <c:ptCount val="27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Pred!$H$14:$H$40</c:f>
              <c:numCache>
                <c:formatCode>0</c:formatCode>
                <c:ptCount val="27"/>
                <c:pt idx="0">
                  <c:v>-1949.0012685708818</c:v>
                </c:pt>
                <c:pt idx="1">
                  <c:v>-1689.0529615153264</c:v>
                </c:pt>
                <c:pt idx="2">
                  <c:v>-1689.0529615153264</c:v>
                </c:pt>
                <c:pt idx="3">
                  <c:v>-1574.0710134898195</c:v>
                </c:pt>
                <c:pt idx="4">
                  <c:v>-1499.8111132231388</c:v>
                </c:pt>
                <c:pt idx="5">
                  <c:v>-1458.2064243750081</c:v>
                </c:pt>
                <c:pt idx="6">
                  <c:v>-1457.6656879284353</c:v>
                </c:pt>
                <c:pt idx="7">
                  <c:v>-1442.934982306082</c:v>
                </c:pt>
                <c:pt idx="8">
                  <c:v>-1393.2915858857025</c:v>
                </c:pt>
                <c:pt idx="9">
                  <c:v>-1356.7768615955915</c:v>
                </c:pt>
                <c:pt idx="10">
                  <c:v>-1356.3015759670582</c:v>
                </c:pt>
                <c:pt idx="11">
                  <c:v>-1333.3717222208168</c:v>
                </c:pt>
                <c:pt idx="12">
                  <c:v>-1321.48418920874</c:v>
                </c:pt>
                <c:pt idx="13">
                  <c:v>-1284.9870726341153</c:v>
                </c:pt>
                <c:pt idx="14">
                  <c:v>-1277.9026510306935</c:v>
                </c:pt>
                <c:pt idx="15">
                  <c:v>-1242.0765186296696</c:v>
                </c:pt>
                <c:pt idx="16">
                  <c:v>-1226.4129857254011</c:v>
                </c:pt>
                <c:pt idx="17">
                  <c:v>-1226.0159703099564</c:v>
                </c:pt>
                <c:pt idx="18">
                  <c:v>-1218.1232810871975</c:v>
                </c:pt>
                <c:pt idx="19">
                  <c:v>-1178.4930058302887</c:v>
                </c:pt>
                <c:pt idx="20">
                  <c:v>-1153.6163254631272</c:v>
                </c:pt>
                <c:pt idx="21">
                  <c:v>-1060.1261730395549</c:v>
                </c:pt>
                <c:pt idx="22">
                  <c:v>-1000.9212882209981</c:v>
                </c:pt>
                <c:pt idx="23">
                  <c:v>-981.09923863521658</c:v>
                </c:pt>
                <c:pt idx="24">
                  <c:v>-934.69287979541377</c:v>
                </c:pt>
                <c:pt idx="25">
                  <c:v>-859.78902409222519</c:v>
                </c:pt>
                <c:pt idx="26">
                  <c:v>-804.89588591995755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Pred!$I$13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33CC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Pred!$B$14:$B$40</c:f>
              <c:numCache>
                <c:formatCode>General</c:formatCode>
                <c:ptCount val="27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Pred!$I$14:$I$40</c:f>
              <c:numCache>
                <c:formatCode>0</c:formatCode>
                <c:ptCount val="27"/>
                <c:pt idx="0">
                  <c:v>-1631</c:v>
                </c:pt>
                <c:pt idx="1">
                  <c:v>-1519</c:v>
                </c:pt>
                <c:pt idx="2">
                  <c:v>-1457</c:v>
                </c:pt>
                <c:pt idx="3">
                  <c:v>-1518</c:v>
                </c:pt>
                <c:pt idx="4">
                  <c:v>-1435</c:v>
                </c:pt>
                <c:pt idx="5">
                  <c:v>-1382</c:v>
                </c:pt>
                <c:pt idx="6">
                  <c:v>-1309</c:v>
                </c:pt>
                <c:pt idx="7">
                  <c:v>-1292</c:v>
                </c:pt>
                <c:pt idx="8">
                  <c:v>-1355</c:v>
                </c:pt>
                <c:pt idx="9">
                  <c:v>-1301</c:v>
                </c:pt>
                <c:pt idx="10">
                  <c:v>-1250</c:v>
                </c:pt>
                <c:pt idx="11">
                  <c:v>-1268</c:v>
                </c:pt>
                <c:pt idx="12">
                  <c:v>-1270</c:v>
                </c:pt>
                <c:pt idx="13">
                  <c:v>-1120</c:v>
                </c:pt>
                <c:pt idx="14">
                  <c:v>-1236</c:v>
                </c:pt>
                <c:pt idx="15">
                  <c:v>-1140</c:v>
                </c:pt>
                <c:pt idx="16">
                  <c:v>-1180</c:v>
                </c:pt>
                <c:pt idx="17">
                  <c:v>-1121</c:v>
                </c:pt>
                <c:pt idx="18">
                  <c:v>-1080</c:v>
                </c:pt>
                <c:pt idx="19">
                  <c:v>-1171</c:v>
                </c:pt>
                <c:pt idx="20">
                  <c:v>-1100</c:v>
                </c:pt>
                <c:pt idx="21">
                  <c:v>-930</c:v>
                </c:pt>
                <c:pt idx="22">
                  <c:v>-840</c:v>
                </c:pt>
                <c:pt idx="23">
                  <c:v>-910</c:v>
                </c:pt>
                <c:pt idx="24">
                  <c:v>-900</c:v>
                </c:pt>
                <c:pt idx="25">
                  <c:v>-750</c:v>
                </c:pt>
                <c:pt idx="26">
                  <c:v>-800</c:v>
                </c:pt>
              </c:numCache>
            </c:numRef>
          </c:yVal>
          <c:smooth val="1"/>
        </c:ser>
        <c:ser>
          <c:idx val="0"/>
          <c:order val="2"/>
          <c:tx>
            <c:v>Point value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Pred!$B$42</c:f>
              <c:numCache>
                <c:formatCode>General</c:formatCode>
                <c:ptCount val="1"/>
                <c:pt idx="0">
                  <c:v>328.15</c:v>
                </c:pt>
              </c:numCache>
            </c:numRef>
          </c:xVal>
          <c:yVal>
            <c:numRef>
              <c:f>Pred!$H$42</c:f>
              <c:numCache>
                <c:formatCode>0</c:formatCode>
                <c:ptCount val="1"/>
                <c:pt idx="0">
                  <c:v>-1393.4162357805599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7728"/>
        <c:axId val="206416896"/>
      </c:scatterChart>
      <c:valAx>
        <c:axId val="194617728"/>
        <c:scaling>
          <c:orientation val="minMax"/>
          <c:max val="41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T, K</a:t>
                </a:r>
              </a:p>
            </c:rich>
          </c:tx>
          <c:layout>
            <c:manualLayout>
              <c:xMode val="edge"/>
              <c:yMode val="edge"/>
              <c:x val="0.52052238805970152"/>
              <c:y val="0.92902279751484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16896"/>
        <c:crossesAt val="-10000"/>
        <c:crossBetween val="midCat"/>
        <c:majorUnit val="30"/>
        <c:minorUnit val="10"/>
      </c:valAx>
      <c:valAx>
        <c:axId val="206416896"/>
        <c:scaling>
          <c:orientation val="minMax"/>
          <c:max val="-700"/>
          <c:min val="-19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B</a:t>
                </a:r>
              </a:p>
            </c:rich>
          </c:tx>
          <c:layout>
            <c:manualLayout>
              <c:xMode val="edge"/>
              <c:yMode val="edge"/>
              <c:x val="1.8656716417910446E-2"/>
              <c:y val="0.42271325931066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17728"/>
        <c:crosses val="autoZero"/>
        <c:crossBetween val="midCat"/>
        <c:majorUnit val="3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58208955223885"/>
          <c:y val="0.6987387084873975"/>
          <c:w val="0.2332089552238806"/>
          <c:h val="0.11041017967069486"/>
        </c:manualLayout>
      </c:layout>
      <c:overlay val="0"/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85593847307211"/>
          <c:y val="6.5445109831466064E-2"/>
          <c:w val="0.69697198867578347"/>
          <c:h val="0.76963449161804087"/>
        </c:manualLayout>
      </c:layout>
      <c:scatterChart>
        <c:scatterStyle val="smoothMarker"/>
        <c:varyColors val="0"/>
        <c:ser>
          <c:idx val="2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99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Sheet3!$C$14:$C$49</c:f>
              <c:numCache>
                <c:formatCode>General</c:formatCode>
                <c:ptCount val="36"/>
              </c:numCache>
            </c:numRef>
          </c:yVal>
          <c:smooth val="1"/>
        </c:ser>
        <c:ser>
          <c:idx val="3"/>
          <c:order val="1"/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Sheet3!$B$14:$B$49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Sheet3!$D$14:$D$49</c:f>
              <c:numCache>
                <c:formatCode>0.00</c:formatCode>
                <c:ptCount val="36"/>
                <c:pt idx="0">
                  <c:v>-2.5581332174103197</c:v>
                </c:pt>
                <c:pt idx="1">
                  <c:v>-2.6987756758751216</c:v>
                </c:pt>
                <c:pt idx="2">
                  <c:v>-2.6987756758751216</c:v>
                </c:pt>
                <c:pt idx="3">
                  <c:v>-2.7693046550559322</c:v>
                </c:pt>
                <c:pt idx="4">
                  <c:v>-2.8180792785728501</c:v>
                </c:pt>
                <c:pt idx="5">
                  <c:v>-2.8466195874246729</c:v>
                </c:pt>
                <c:pt idx="6">
                  <c:v>-2.8469965455633695</c:v>
                </c:pt>
                <c:pt idx="7">
                  <c:v>-2.8573264539284038</c:v>
                </c:pt>
                <c:pt idx="8">
                  <c:v>-2.8930271593509675</c:v>
                </c:pt>
                <c:pt idx="9">
                  <c:v>-2.9201990477620705</c:v>
                </c:pt>
                <c:pt idx="10">
                  <c:v>-2.9205580142234626</c:v>
                </c:pt>
                <c:pt idx="11">
                  <c:v>-2.9380417797846974</c:v>
                </c:pt>
                <c:pt idx="12">
                  <c:v>-2.9472356024987567</c:v>
                </c:pt>
                <c:pt idx="13">
                  <c:v>-2.9760331697889941</c:v>
                </c:pt>
                <c:pt idx="14">
                  <c:v>-2.9817252368509757</c:v>
                </c:pt>
                <c:pt idx="15">
                  <c:v>-3.0110368979243551</c:v>
                </c:pt>
                <c:pt idx="16">
                  <c:v>-3.0241357175486132</c:v>
                </c:pt>
                <c:pt idx="17">
                  <c:v>-3.0244700189041538</c:v>
                </c:pt>
                <c:pt idx="18">
                  <c:v>-3.0311397196697052</c:v>
                </c:pt>
                <c:pt idx="19">
                  <c:v>-3.0653280663328304</c:v>
                </c:pt>
                <c:pt idx="20">
                  <c:v>-3.0874035590430546</c:v>
                </c:pt>
                <c:pt idx="21">
                  <c:v>-3.1749157816168943</c:v>
                </c:pt>
                <c:pt idx="22">
                  <c:v>-3.2343593600355875</c:v>
                </c:pt>
                <c:pt idx="23">
                  <c:v>-3.2550143379706391</c:v>
                </c:pt>
                <c:pt idx="24">
                  <c:v>-3.3049340921054133</c:v>
                </c:pt>
                <c:pt idx="25">
                  <c:v>-3.3904389073769328</c:v>
                </c:pt>
                <c:pt idx="26">
                  <c:v>-3.457291026030358</c:v>
                </c:pt>
              </c:numCache>
            </c:numRef>
          </c:yVal>
          <c:smooth val="1"/>
        </c:ser>
        <c:ser>
          <c:idx val="0"/>
          <c:order val="2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Sheet3!$B$14:$B$49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Sheet3!$E$14:$E$49</c:f>
              <c:numCache>
                <c:formatCode>0.00</c:formatCode>
                <c:ptCount val="36"/>
                <c:pt idx="0">
                  <c:v>7.7449186369481102E-2</c:v>
                </c:pt>
                <c:pt idx="1">
                  <c:v>6.728784446039339E-2</c:v>
                </c:pt>
                <c:pt idx="2">
                  <c:v>6.728784446039339E-2</c:v>
                </c:pt>
                <c:pt idx="3">
                  <c:v>6.2705591602531058E-2</c:v>
                </c:pt>
                <c:pt idx="4">
                  <c:v>5.9720539138964711E-2</c:v>
                </c:pt>
                <c:pt idx="5">
                  <c:v>5.804018941625641E-2</c:v>
                </c:pt>
                <c:pt idx="6">
                  <c:v>5.8018314817647479E-2</c:v>
                </c:pt>
                <c:pt idx="7">
                  <c:v>5.7422075791238092E-2</c:v>
                </c:pt>
                <c:pt idx="8">
                  <c:v>5.540822894472789E-2</c:v>
                </c:pt>
                <c:pt idx="9">
                  <c:v>5.3922952988954442E-2</c:v>
                </c:pt>
                <c:pt idx="10">
                  <c:v>5.3903599931089348E-2</c:v>
                </c:pt>
                <c:pt idx="11">
                  <c:v>5.2969352903416589E-2</c:v>
                </c:pt>
                <c:pt idx="12">
                  <c:v>5.2484593872411389E-2</c:v>
                </c:pt>
                <c:pt idx="13">
                  <c:v>5.0994720573186846E-2</c:v>
                </c:pt>
                <c:pt idx="14">
                  <c:v>5.0705279743664143E-2</c:v>
                </c:pt>
                <c:pt idx="15">
                  <c:v>4.9240594810065465E-2</c:v>
                </c:pt>
                <c:pt idx="16">
                  <c:v>4.8599807083998768E-2</c:v>
                </c:pt>
                <c:pt idx="17">
                  <c:v>4.8583562818002933E-2</c:v>
                </c:pt>
                <c:pt idx="18">
                  <c:v>4.8260603211086051E-2</c:v>
                </c:pt>
                <c:pt idx="19">
                  <c:v>4.6638538820002795E-2</c:v>
                </c:pt>
                <c:pt idx="20">
                  <c:v>4.5620251051329962E-2</c:v>
                </c:pt>
                <c:pt idx="21">
                  <c:v>4.1797624065010731E-2</c:v>
                </c:pt>
                <c:pt idx="22">
                  <c:v>3.9385428739222426E-2</c:v>
                </c:pt>
                <c:pt idx="23">
                  <c:v>3.8580267496665786E-2</c:v>
                </c:pt>
                <c:pt idx="24">
                  <c:v>3.670163068388136E-2</c:v>
                </c:pt>
                <c:pt idx="25">
                  <c:v>3.369388515895403E-2</c:v>
                </c:pt>
                <c:pt idx="26">
                  <c:v>3.1515019854037284E-2</c:v>
                </c:pt>
              </c:numCache>
            </c:numRef>
          </c:yVal>
          <c:smooth val="1"/>
        </c:ser>
        <c:ser>
          <c:idx val="1"/>
          <c:order val="3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Sheet3!$B$14:$B$49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Sheet3!$F$14:$F$49</c:f>
              <c:numCache>
                <c:formatCode>General</c:formatCode>
                <c:ptCount val="36"/>
              </c:numCache>
            </c:numRef>
          </c:yVal>
          <c:smooth val="1"/>
        </c:ser>
        <c:ser>
          <c:idx val="4"/>
          <c:order val="4"/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9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Sheet3!$G$14:$G$49</c:f>
              <c:numCache>
                <c:formatCode>0</c:formatCode>
                <c:ptCount val="36"/>
                <c:pt idx="0">
                  <c:v>-1631</c:v>
                </c:pt>
                <c:pt idx="1">
                  <c:v>-1519</c:v>
                </c:pt>
                <c:pt idx="2">
                  <c:v>-1457</c:v>
                </c:pt>
                <c:pt idx="3">
                  <c:v>-1518</c:v>
                </c:pt>
                <c:pt idx="4">
                  <c:v>-1435</c:v>
                </c:pt>
                <c:pt idx="5">
                  <c:v>-1382</c:v>
                </c:pt>
                <c:pt idx="6">
                  <c:v>-1309</c:v>
                </c:pt>
                <c:pt idx="7">
                  <c:v>-1292</c:v>
                </c:pt>
                <c:pt idx="8">
                  <c:v>-1355</c:v>
                </c:pt>
                <c:pt idx="9">
                  <c:v>-1301</c:v>
                </c:pt>
                <c:pt idx="10">
                  <c:v>-1250</c:v>
                </c:pt>
                <c:pt idx="11">
                  <c:v>-1268</c:v>
                </c:pt>
                <c:pt idx="12">
                  <c:v>-1270</c:v>
                </c:pt>
                <c:pt idx="13">
                  <c:v>-1120</c:v>
                </c:pt>
                <c:pt idx="14">
                  <c:v>-1236</c:v>
                </c:pt>
                <c:pt idx="15">
                  <c:v>-1140</c:v>
                </c:pt>
                <c:pt idx="16">
                  <c:v>-1180</c:v>
                </c:pt>
                <c:pt idx="17">
                  <c:v>-1121</c:v>
                </c:pt>
                <c:pt idx="18">
                  <c:v>-1080</c:v>
                </c:pt>
                <c:pt idx="19">
                  <c:v>-1171</c:v>
                </c:pt>
                <c:pt idx="20">
                  <c:v>-1100</c:v>
                </c:pt>
                <c:pt idx="21">
                  <c:v>-930</c:v>
                </c:pt>
                <c:pt idx="22">
                  <c:v>-840</c:v>
                </c:pt>
                <c:pt idx="23">
                  <c:v>-910</c:v>
                </c:pt>
                <c:pt idx="24">
                  <c:v>-900</c:v>
                </c:pt>
                <c:pt idx="25">
                  <c:v>-750</c:v>
                </c:pt>
                <c:pt idx="26">
                  <c:v>-800</c:v>
                </c:pt>
              </c:numCache>
            </c:numRef>
          </c:yVal>
          <c:smooth val="1"/>
        </c:ser>
        <c:ser>
          <c:idx val="5"/>
          <c:order val="5"/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Sheet3!$B$14:$B$49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308.2</c:v>
                </c:pt>
                <c:pt idx="3">
                  <c:v>315.16000000000003</c:v>
                </c:pt>
                <c:pt idx="4">
                  <c:v>320.16000000000003</c:v>
                </c:pt>
                <c:pt idx="5">
                  <c:v>323.16000000000003</c:v>
                </c:pt>
                <c:pt idx="6">
                  <c:v>323.2</c:v>
                </c:pt>
                <c:pt idx="7">
                  <c:v>324.3</c:v>
                </c:pt>
                <c:pt idx="8">
                  <c:v>328.16</c:v>
                </c:pt>
                <c:pt idx="9">
                  <c:v>331.16</c:v>
                </c:pt>
                <c:pt idx="10">
                  <c:v>331.2</c:v>
                </c:pt>
                <c:pt idx="11">
                  <c:v>333.16</c:v>
                </c:pt>
                <c:pt idx="12">
                  <c:v>334.2</c:v>
                </c:pt>
                <c:pt idx="13">
                  <c:v>337.5</c:v>
                </c:pt>
                <c:pt idx="14">
                  <c:v>338.16</c:v>
                </c:pt>
                <c:pt idx="15">
                  <c:v>341.6</c:v>
                </c:pt>
                <c:pt idx="16">
                  <c:v>343.16</c:v>
                </c:pt>
                <c:pt idx="17">
                  <c:v>343.2</c:v>
                </c:pt>
                <c:pt idx="18">
                  <c:v>344</c:v>
                </c:pt>
                <c:pt idx="19">
                  <c:v>348.16</c:v>
                </c:pt>
                <c:pt idx="20">
                  <c:v>350.9</c:v>
                </c:pt>
                <c:pt idx="21">
                  <c:v>362.2</c:v>
                </c:pt>
                <c:pt idx="22">
                  <c:v>370.3</c:v>
                </c:pt>
                <c:pt idx="23">
                  <c:v>373.2</c:v>
                </c:pt>
                <c:pt idx="24">
                  <c:v>380.4</c:v>
                </c:pt>
                <c:pt idx="25">
                  <c:v>393.4</c:v>
                </c:pt>
                <c:pt idx="26">
                  <c:v>404.2</c:v>
                </c:pt>
              </c:numCache>
            </c:numRef>
          </c:xVal>
          <c:yVal>
            <c:numRef>
              <c:f>Sheet3!$H$14:$H$49</c:f>
              <c:numCache>
                <c:formatCode>0</c:formatCode>
                <c:ptCount val="36"/>
                <c:pt idx="0">
                  <c:v>-1662.4968350058848</c:v>
                </c:pt>
                <c:pt idx="1">
                  <c:v>-1488.1324812679441</c:v>
                </c:pt>
                <c:pt idx="2">
                  <c:v>-1488.1324812679441</c:v>
                </c:pt>
                <c:pt idx="3">
                  <c:v>-1408.0584871539627</c:v>
                </c:pt>
                <c:pt idx="4">
                  <c:v>-1355.3634588148839</c:v>
                </c:pt>
                <c:pt idx="5">
                  <c:v>-1325.5057422787963</c:v>
                </c:pt>
                <c:pt idx="6">
                  <c:v>-1325.1161083426059</c:v>
                </c:pt>
                <c:pt idx="7">
                  <c:v>-1314.4862739013361</c:v>
                </c:pt>
                <c:pt idx="8">
                  <c:v>-1278.445096283624</c:v>
                </c:pt>
                <c:pt idx="9">
                  <c:v>-1251.7237184016262</c:v>
                </c:pt>
                <c:pt idx="10">
                  <c:v>-1251.3747400453231</c:v>
                </c:pt>
                <c:pt idx="11">
                  <c:v>-1234.5033518816763</c:v>
                </c:pt>
                <c:pt idx="12">
                  <c:v>-1225.7298242154352</c:v>
                </c:pt>
                <c:pt idx="13">
                  <c:v>-1198.6807238939759</c:v>
                </c:pt>
                <c:pt idx="14">
                  <c:v>-1193.4108803986255</c:v>
                </c:pt>
                <c:pt idx="15">
                  <c:v>-1166.6672719366957</c:v>
                </c:pt>
                <c:pt idx="16">
                  <c:v>-1154.9265976039296</c:v>
                </c:pt>
                <c:pt idx="17">
                  <c:v>-1154.6286409777945</c:v>
                </c:pt>
                <c:pt idx="18">
                  <c:v>-1148.701473541681</c:v>
                </c:pt>
                <c:pt idx="19">
                  <c:v>-1118.8344327256445</c:v>
                </c:pt>
                <c:pt idx="20">
                  <c:v>-1099.9998102806339</c:v>
                </c:pt>
                <c:pt idx="21">
                  <c:v>-1028.687397350051</c:v>
                </c:pt>
                <c:pt idx="22">
                  <c:v>-983.17174554759424</c:v>
                </c:pt>
                <c:pt idx="23">
                  <c:v>-967.88689144905572</c:v>
                </c:pt>
                <c:pt idx="24">
                  <c:v>-932.03930974394382</c:v>
                </c:pt>
                <c:pt idx="25">
                  <c:v>-874.09588328432767</c:v>
                </c:pt>
                <c:pt idx="26">
                  <c:v>-831.68792175946135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47264"/>
        <c:axId val="204349440"/>
      </c:scatterChart>
      <c:valAx>
        <c:axId val="204347264"/>
        <c:scaling>
          <c:orientation val="minMax"/>
          <c:max val="41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T, K</a:t>
                </a:r>
              </a:p>
            </c:rich>
          </c:tx>
          <c:layout>
            <c:manualLayout>
              <c:xMode val="edge"/>
              <c:yMode val="edge"/>
              <c:x val="0.52525425233537304"/>
              <c:y val="0.9057603200674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349440"/>
        <c:crossesAt val="-6000"/>
        <c:crossBetween val="midCat"/>
        <c:majorUnit val="40"/>
        <c:minorUnit val="10"/>
      </c:valAx>
      <c:valAx>
        <c:axId val="204349440"/>
        <c:scaling>
          <c:orientation val="minMax"/>
          <c:max val="-600"/>
          <c:min val="-18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B</a:t>
                </a:r>
              </a:p>
            </c:rich>
          </c:tx>
          <c:layout>
            <c:manualLayout>
              <c:xMode val="edge"/>
              <c:yMode val="edge"/>
              <c:x val="5.3872231008756211E-2"/>
              <c:y val="0.424084311707900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347264"/>
        <c:crossesAt val="200"/>
        <c:crossBetween val="midCat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8</xdr:row>
      <xdr:rowOff>190500</xdr:rowOff>
    </xdr:from>
    <xdr:to>
      <xdr:col>19</xdr:col>
      <xdr:colOff>104775</xdr:colOff>
      <xdr:row>36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0.24745</cdr:x>
      <cdr:y>0.1404</cdr:y>
    </cdr:from>
    <cdr:to>
      <cdr:x>0.50269</cdr:x>
      <cdr:y>0.22455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8038" y="625038"/>
          <a:ext cx="1149927" cy="3727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Cyclohexane</a:t>
          </a:r>
          <a:endParaRPr lang="en-GB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6</xdr:row>
      <xdr:rowOff>85725</xdr:rowOff>
    </xdr:from>
    <xdr:to>
      <xdr:col>18</xdr:col>
      <xdr:colOff>485775</xdr:colOff>
      <xdr:row>43</xdr:row>
      <xdr:rowOff>95250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133350</xdr:rowOff>
    </xdr:from>
    <xdr:to>
      <xdr:col>14</xdr:col>
      <xdr:colOff>161925</xdr:colOff>
      <xdr:row>29</xdr:row>
      <xdr:rowOff>28575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A%20A%20UP/Courses/CTD%20311%20Thermodynamics/CTD%20311%20Archive/Assignment%202005/B%20data/Benzen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A%20A%20UP/Courses/CTD%20311%20Thermodynamics/CTD%20311%20Archive/Assignment%202005/B%20data/Methylacet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mond"/>
      <sheetName val="Tsonopolous"/>
      <sheetName val="Chem"/>
      <sheetName val="Prediction"/>
      <sheetName val="Sheet3"/>
    </sheetNames>
    <sheetDataSet>
      <sheetData sheetId="0">
        <row r="12">
          <cell r="B12" t="str">
            <v>T, K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Pred"/>
      <sheetName val="Chem"/>
    </sheetNames>
    <sheetDataSet>
      <sheetData sheetId="0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12">
          <cell r="A12" t="str">
            <v>T, oC</v>
          </cell>
          <cell r="B12" t="str">
            <v>T, K</v>
          </cell>
          <cell r="C12" t="str">
            <v>B, cm3/mol</v>
          </cell>
          <cell r="H12" t="str">
            <v>B, cm3/mol</v>
          </cell>
          <cell r="I12" t="str">
            <v>Error:</v>
          </cell>
        </row>
        <row r="13">
          <cell r="G13" t="str">
            <v>Smoothed</v>
          </cell>
          <cell r="H13" t="str">
            <v>Predicted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5" workbookViewId="0">
      <selection activeCell="P6" sqref="P6"/>
    </sheetView>
  </sheetViews>
  <sheetFormatPr defaultRowHeight="12.75" x14ac:dyDescent="0.2"/>
  <cols>
    <col min="9" max="9" width="9.85546875" customWidth="1"/>
    <col min="11" max="11" width="14.85546875" bestFit="1" customWidth="1"/>
  </cols>
  <sheetData>
    <row r="1" spans="1:11" ht="18" x14ac:dyDescent="0.25">
      <c r="B1" s="19" t="s">
        <v>21</v>
      </c>
    </row>
    <row r="2" spans="1:11" x14ac:dyDescent="0.2">
      <c r="B2" t="s">
        <v>3</v>
      </c>
    </row>
    <row r="3" spans="1:11" x14ac:dyDescent="0.2">
      <c r="A3">
        <v>1</v>
      </c>
      <c r="B3" t="s">
        <v>16</v>
      </c>
    </row>
    <row r="4" spans="1:11" x14ac:dyDescent="0.2">
      <c r="A4">
        <v>2</v>
      </c>
      <c r="B4" t="s">
        <v>18</v>
      </c>
    </row>
    <row r="5" spans="1:11" x14ac:dyDescent="0.2">
      <c r="A5">
        <v>3</v>
      </c>
      <c r="B5" t="s">
        <v>17</v>
      </c>
    </row>
    <row r="6" spans="1:11" x14ac:dyDescent="0.2">
      <c r="A6">
        <v>4</v>
      </c>
      <c r="B6" t="s">
        <v>14</v>
      </c>
    </row>
    <row r="7" spans="1:11" x14ac:dyDescent="0.2">
      <c r="A7">
        <v>5</v>
      </c>
      <c r="B7" t="s">
        <v>20</v>
      </c>
    </row>
    <row r="8" spans="1:11" x14ac:dyDescent="0.2">
      <c r="H8" s="1"/>
      <c r="I8" s="21"/>
    </row>
    <row r="9" spans="1:11" ht="15.75" x14ac:dyDescent="0.25">
      <c r="B9" s="2" t="s">
        <v>15</v>
      </c>
      <c r="H9" s="1" t="s">
        <v>4</v>
      </c>
      <c r="I9" s="5">
        <f>-100*J9</f>
        <v>-54.475001386275459</v>
      </c>
      <c r="J9">
        <v>0.54475001386275457</v>
      </c>
    </row>
    <row r="10" spans="1:11" x14ac:dyDescent="0.2">
      <c r="H10" s="1" t="s">
        <v>5</v>
      </c>
      <c r="I10" s="5">
        <f>10*J10</f>
        <v>81.047543391599461</v>
      </c>
      <c r="J10">
        <v>8.1047543391599461</v>
      </c>
    </row>
    <row r="11" spans="1:11" x14ac:dyDescent="0.2">
      <c r="H11" s="1" t="s">
        <v>6</v>
      </c>
      <c r="I11" s="3">
        <f>100*J11</f>
        <v>892.00822363772704</v>
      </c>
      <c r="J11">
        <v>8.9200822363772705</v>
      </c>
    </row>
    <row r="12" spans="1:11" ht="14.25" x14ac:dyDescent="0.2">
      <c r="A12" s="7" t="s">
        <v>2</v>
      </c>
      <c r="B12" s="8" t="s">
        <v>0</v>
      </c>
      <c r="C12" s="8" t="s">
        <v>1</v>
      </c>
      <c r="D12" s="8" t="s">
        <v>1</v>
      </c>
      <c r="E12" s="8" t="s">
        <v>1</v>
      </c>
      <c r="F12" s="8" t="s">
        <v>1</v>
      </c>
      <c r="G12" s="8" t="s">
        <v>1</v>
      </c>
      <c r="H12" s="8"/>
      <c r="I12" s="8" t="s">
        <v>1</v>
      </c>
      <c r="J12" s="9" t="s">
        <v>7</v>
      </c>
      <c r="K12" s="22" t="s">
        <v>13</v>
      </c>
    </row>
    <row r="13" spans="1:11" x14ac:dyDescent="0.2">
      <c r="A13" s="10"/>
      <c r="B13" s="11"/>
      <c r="C13" s="17" t="s">
        <v>9</v>
      </c>
      <c r="D13" s="17" t="s">
        <v>10</v>
      </c>
      <c r="E13" s="17" t="s">
        <v>11</v>
      </c>
      <c r="F13" s="17" t="s">
        <v>12</v>
      </c>
      <c r="G13" s="17" t="s">
        <v>19</v>
      </c>
      <c r="H13" s="11"/>
      <c r="I13" s="11" t="s">
        <v>8</v>
      </c>
      <c r="J13" s="12">
        <f>SUM(J14:J41)</f>
        <v>1267.2511886555537</v>
      </c>
      <c r="K13" s="23">
        <f>AVERAGE(K14:K40)</f>
        <v>-4.1076063243460723</v>
      </c>
    </row>
    <row r="14" spans="1:11" x14ac:dyDescent="0.2">
      <c r="A14" s="10">
        <f t="shared" ref="A14:A40" si="0">B14-273.15</f>
        <v>22.050000000000011</v>
      </c>
      <c r="B14" s="18">
        <v>295.2</v>
      </c>
      <c r="C14" s="11"/>
      <c r="D14" s="18"/>
      <c r="E14" s="18">
        <v>-1631</v>
      </c>
      <c r="F14" s="11"/>
      <c r="G14" s="11"/>
      <c r="H14" s="20">
        <f t="shared" ref="H14:H40" si="1">MAX(C14:G14)</f>
        <v>-1631</v>
      </c>
      <c r="I14" s="20">
        <f>$I$9-$I$10*EXP($I$11/B14)</f>
        <v>-1718.0829945345072</v>
      </c>
      <c r="J14" s="13">
        <f>ABS(H14-I14)</f>
        <v>87.082994534507179</v>
      </c>
      <c r="K14" s="5">
        <f>100*(J14/H14)</f>
        <v>-5.3392393951261301</v>
      </c>
    </row>
    <row r="15" spans="1:11" x14ac:dyDescent="0.2">
      <c r="A15" s="10">
        <f t="shared" si="0"/>
        <v>35.050000000000011</v>
      </c>
      <c r="B15" s="18">
        <v>308.2</v>
      </c>
      <c r="C15" s="18"/>
      <c r="D15" s="18"/>
      <c r="E15" s="18">
        <v>-1519</v>
      </c>
      <c r="F15" s="11"/>
      <c r="G15" s="11"/>
      <c r="H15" s="20">
        <f t="shared" si="1"/>
        <v>-1519</v>
      </c>
      <c r="I15" s="20">
        <f t="shared" ref="I15:I36" si="2">$I$9-$I$10*EXP($I$11/B15)</f>
        <v>-1519.0013391732391</v>
      </c>
      <c r="J15" s="13">
        <f t="shared" ref="J15:J36" si="3">ABS(H15-I15)</f>
        <v>1.3391732391028199E-3</v>
      </c>
      <c r="K15" s="5">
        <f t="shared" ref="K15:K36" si="4">100*(J15/H15)</f>
        <v>-8.8161503561739302E-5</v>
      </c>
    </row>
    <row r="16" spans="1:11" x14ac:dyDescent="0.2">
      <c r="A16" s="10">
        <f t="shared" si="0"/>
        <v>35.050000000000011</v>
      </c>
      <c r="B16" s="18">
        <v>308.2</v>
      </c>
      <c r="C16" s="11"/>
      <c r="D16" s="11"/>
      <c r="E16" s="11"/>
      <c r="F16" s="11"/>
      <c r="G16" s="11">
        <v>-1457</v>
      </c>
      <c r="H16" s="20">
        <f t="shared" si="1"/>
        <v>-1457</v>
      </c>
      <c r="I16" s="20">
        <f t="shared" si="2"/>
        <v>-1519.0013391732391</v>
      </c>
      <c r="J16" s="13">
        <f t="shared" si="3"/>
        <v>62.001339173239103</v>
      </c>
      <c r="K16" s="5">
        <f t="shared" si="4"/>
        <v>-4.2554110619930752</v>
      </c>
    </row>
    <row r="17" spans="1:11" x14ac:dyDescent="0.2">
      <c r="A17" s="10">
        <f t="shared" si="0"/>
        <v>42.010000000000048</v>
      </c>
      <c r="B17" s="18">
        <v>315.16000000000003</v>
      </c>
      <c r="C17" s="11"/>
      <c r="D17" s="11">
        <v>-1518</v>
      </c>
      <c r="E17" s="11"/>
      <c r="F17" s="11"/>
      <c r="G17" s="11"/>
      <c r="H17" s="20">
        <f t="shared" si="1"/>
        <v>-1518</v>
      </c>
      <c r="I17" s="20">
        <f t="shared" si="2"/>
        <v>-1428.3224593845093</v>
      </c>
      <c r="J17" s="13">
        <f t="shared" si="3"/>
        <v>89.67754061549067</v>
      </c>
      <c r="K17" s="5">
        <f t="shared" si="4"/>
        <v>-5.9076113712444451</v>
      </c>
    </row>
    <row r="18" spans="1:11" x14ac:dyDescent="0.2">
      <c r="A18" s="10">
        <f t="shared" si="0"/>
        <v>47.010000000000048</v>
      </c>
      <c r="B18" s="18">
        <v>320.16000000000003</v>
      </c>
      <c r="C18" s="11"/>
      <c r="D18" s="11">
        <v>-1435</v>
      </c>
      <c r="E18" s="11"/>
      <c r="F18" s="11"/>
      <c r="G18" s="11"/>
      <c r="H18" s="20">
        <f t="shared" si="1"/>
        <v>-1435</v>
      </c>
      <c r="I18" s="20">
        <f t="shared" si="2"/>
        <v>-1368.9183822467407</v>
      </c>
      <c r="J18" s="13">
        <f t="shared" si="3"/>
        <v>66.081617753259252</v>
      </c>
      <c r="K18" s="5">
        <f t="shared" si="4"/>
        <v>-4.6049907841992512</v>
      </c>
    </row>
    <row r="19" spans="1:11" x14ac:dyDescent="0.2">
      <c r="A19" s="10">
        <f t="shared" si="0"/>
        <v>50.010000000000048</v>
      </c>
      <c r="B19" s="18">
        <v>323.16000000000003</v>
      </c>
      <c r="C19" s="11"/>
      <c r="D19" s="11">
        <v>-1382</v>
      </c>
      <c r="E19" s="11"/>
      <c r="F19" s="11"/>
      <c r="G19" s="11"/>
      <c r="H19" s="20">
        <f t="shared" si="1"/>
        <v>-1382</v>
      </c>
      <c r="I19" s="20">
        <f t="shared" si="2"/>
        <v>-1335.3567550343018</v>
      </c>
      <c r="J19" s="13">
        <f t="shared" si="3"/>
        <v>46.643244965698159</v>
      </c>
      <c r="K19" s="5">
        <f t="shared" si="4"/>
        <v>-3.3750539048985644</v>
      </c>
    </row>
    <row r="20" spans="1:11" x14ac:dyDescent="0.2">
      <c r="A20" s="10">
        <f t="shared" si="0"/>
        <v>50.050000000000011</v>
      </c>
      <c r="B20" s="18">
        <v>323.2</v>
      </c>
      <c r="C20" s="11"/>
      <c r="D20" s="11"/>
      <c r="E20" s="11"/>
      <c r="F20" s="11"/>
      <c r="G20" s="11">
        <v>-1309</v>
      </c>
      <c r="H20" s="20">
        <f t="shared" si="1"/>
        <v>-1309</v>
      </c>
      <c r="I20" s="20">
        <f t="shared" si="2"/>
        <v>-1334.9192583580186</v>
      </c>
      <c r="J20" s="13">
        <f t="shared" si="3"/>
        <v>25.919258358018624</v>
      </c>
      <c r="K20" s="5">
        <f t="shared" si="4"/>
        <v>-1.9800808524078399</v>
      </c>
    </row>
    <row r="21" spans="1:11" x14ac:dyDescent="0.2">
      <c r="A21" s="10">
        <f t="shared" si="0"/>
        <v>51.150000000000034</v>
      </c>
      <c r="B21" s="18">
        <v>324.3</v>
      </c>
      <c r="C21" s="11">
        <v>-1320</v>
      </c>
      <c r="D21" s="11">
        <v>-1292</v>
      </c>
      <c r="E21" s="11"/>
      <c r="F21" s="11"/>
      <c r="G21" s="11"/>
      <c r="H21" s="20">
        <f>MAX(C21:G21)</f>
        <v>-1292</v>
      </c>
      <c r="I21" s="20">
        <f t="shared" si="2"/>
        <v>-1322.988372483459</v>
      </c>
      <c r="J21" s="13">
        <f t="shared" si="3"/>
        <v>30.988372483458988</v>
      </c>
      <c r="K21" s="5">
        <f t="shared" si="4"/>
        <v>-2.3984808423729866</v>
      </c>
    </row>
    <row r="22" spans="1:11" x14ac:dyDescent="0.2">
      <c r="A22" s="10">
        <f t="shared" si="0"/>
        <v>55.010000000000048</v>
      </c>
      <c r="B22" s="18">
        <v>328.16</v>
      </c>
      <c r="C22" s="11"/>
      <c r="D22" s="18">
        <v>-1355</v>
      </c>
      <c r="E22" s="11"/>
      <c r="F22" s="11"/>
      <c r="G22" s="11"/>
      <c r="H22" s="20">
        <f t="shared" si="1"/>
        <v>-1355</v>
      </c>
      <c r="I22" s="20">
        <f t="shared" si="2"/>
        <v>-1282.604119697987</v>
      </c>
      <c r="J22" s="13">
        <f t="shared" si="3"/>
        <v>72.395880302012984</v>
      </c>
      <c r="K22" s="5">
        <f t="shared" si="4"/>
        <v>-5.3428693949825075</v>
      </c>
    </row>
    <row r="23" spans="1:11" x14ac:dyDescent="0.2">
      <c r="A23" s="10">
        <f t="shared" si="0"/>
        <v>58.010000000000048</v>
      </c>
      <c r="B23" s="18">
        <v>331.16</v>
      </c>
      <c r="C23" s="11"/>
      <c r="D23" s="18">
        <v>-1301</v>
      </c>
      <c r="E23" s="11"/>
      <c r="F23" s="11"/>
      <c r="G23" s="11"/>
      <c r="H23" s="20">
        <f t="shared" si="1"/>
        <v>-1301</v>
      </c>
      <c r="I23" s="20">
        <f t="shared" si="2"/>
        <v>-1252.7314205675225</v>
      </c>
      <c r="J23" s="13">
        <f t="shared" si="3"/>
        <v>48.268579432477509</v>
      </c>
      <c r="K23" s="5">
        <f t="shared" si="4"/>
        <v>-3.7101137150251735</v>
      </c>
    </row>
    <row r="24" spans="1:11" x14ac:dyDescent="0.2">
      <c r="A24" s="10">
        <f t="shared" si="0"/>
        <v>58.050000000000011</v>
      </c>
      <c r="B24" s="18">
        <v>331.2</v>
      </c>
      <c r="C24" s="11">
        <v>-1250</v>
      </c>
      <c r="D24" s="11"/>
      <c r="E24" s="11"/>
      <c r="F24" s="11"/>
      <c r="G24" s="11"/>
      <c r="H24" s="20">
        <f t="shared" si="1"/>
        <v>-1250</v>
      </c>
      <c r="I24" s="20">
        <f t="shared" si="2"/>
        <v>-1252.3416762669467</v>
      </c>
      <c r="J24" s="13">
        <f t="shared" si="3"/>
        <v>2.3416762669467062</v>
      </c>
      <c r="K24" s="5">
        <f t="shared" si="4"/>
        <v>-0.1873341013557365</v>
      </c>
    </row>
    <row r="25" spans="1:11" x14ac:dyDescent="0.2">
      <c r="A25" s="10">
        <f t="shared" si="0"/>
        <v>60.010000000000048</v>
      </c>
      <c r="B25" s="18">
        <v>333.16</v>
      </c>
      <c r="C25" s="11"/>
      <c r="D25" s="18">
        <v>-1268</v>
      </c>
      <c r="E25" s="11"/>
      <c r="F25" s="11"/>
      <c r="G25" s="11"/>
      <c r="H25" s="20">
        <f t="shared" si="1"/>
        <v>-1268</v>
      </c>
      <c r="I25" s="20">
        <f t="shared" si="2"/>
        <v>-1233.5115098180111</v>
      </c>
      <c r="J25" s="13">
        <f t="shared" si="3"/>
        <v>34.488490181988936</v>
      </c>
      <c r="K25" s="5">
        <f t="shared" si="4"/>
        <v>-2.719912474920263</v>
      </c>
    </row>
    <row r="26" spans="1:11" x14ac:dyDescent="0.2">
      <c r="A26" s="10">
        <f t="shared" si="0"/>
        <v>61.050000000000011</v>
      </c>
      <c r="B26" s="18">
        <v>334.2</v>
      </c>
      <c r="C26" s="11">
        <v>-1270</v>
      </c>
      <c r="D26" s="11"/>
      <c r="E26" s="11"/>
      <c r="F26" s="11"/>
      <c r="G26" s="11"/>
      <c r="H26" s="20">
        <f t="shared" si="1"/>
        <v>-1270</v>
      </c>
      <c r="I26" s="20">
        <f t="shared" si="2"/>
        <v>-1223.7287325988309</v>
      </c>
      <c r="J26" s="13">
        <f t="shared" si="3"/>
        <v>46.271267401169098</v>
      </c>
      <c r="K26" s="5">
        <f t="shared" si="4"/>
        <v>-3.6434068819818184</v>
      </c>
    </row>
    <row r="27" spans="1:11" x14ac:dyDescent="0.2">
      <c r="A27" s="10">
        <f t="shared" si="0"/>
        <v>64.350000000000023</v>
      </c>
      <c r="B27" s="18">
        <v>337.5</v>
      </c>
      <c r="C27" s="18">
        <v>-1120</v>
      </c>
      <c r="D27" s="11"/>
      <c r="E27" s="11"/>
      <c r="F27" s="11"/>
      <c r="G27" s="11"/>
      <c r="H27" s="20">
        <f t="shared" si="1"/>
        <v>-1120</v>
      </c>
      <c r="I27" s="20">
        <f t="shared" si="2"/>
        <v>-1193.6086182319484</v>
      </c>
      <c r="J27" s="13">
        <f t="shared" si="3"/>
        <v>73.608618231948412</v>
      </c>
      <c r="K27" s="5">
        <f t="shared" si="4"/>
        <v>-6.5721980564239653</v>
      </c>
    </row>
    <row r="28" spans="1:11" x14ac:dyDescent="0.2">
      <c r="A28" s="10">
        <f t="shared" si="0"/>
        <v>65.010000000000048</v>
      </c>
      <c r="B28" s="18">
        <v>338.16</v>
      </c>
      <c r="C28" s="11"/>
      <c r="D28" s="18">
        <v>-1236</v>
      </c>
      <c r="E28" s="11"/>
      <c r="F28" s="11"/>
      <c r="G28" s="11"/>
      <c r="H28" s="20">
        <f t="shared" si="1"/>
        <v>-1236</v>
      </c>
      <c r="I28" s="20">
        <f t="shared" si="2"/>
        <v>-1187.747617239691</v>
      </c>
      <c r="J28" s="13">
        <f t="shared" si="3"/>
        <v>48.252382760309047</v>
      </c>
      <c r="K28" s="5">
        <f t="shared" si="4"/>
        <v>-3.9039144628081752</v>
      </c>
    </row>
    <row r="29" spans="1:11" x14ac:dyDescent="0.2">
      <c r="A29" s="10">
        <f t="shared" si="0"/>
        <v>68.450000000000045</v>
      </c>
      <c r="B29" s="18">
        <v>341.6</v>
      </c>
      <c r="C29" s="18">
        <v>-1140</v>
      </c>
      <c r="D29" s="11"/>
      <c r="E29" s="11"/>
      <c r="F29" s="11"/>
      <c r="G29" s="11"/>
      <c r="H29" s="20">
        <f t="shared" si="1"/>
        <v>-1140</v>
      </c>
      <c r="I29" s="20">
        <f t="shared" si="2"/>
        <v>-1158.0401141285665</v>
      </c>
      <c r="J29" s="13">
        <f t="shared" si="3"/>
        <v>18.040114128566529</v>
      </c>
      <c r="K29" s="5">
        <f t="shared" si="4"/>
        <v>-1.5824661516286431</v>
      </c>
    </row>
    <row r="30" spans="1:11" x14ac:dyDescent="0.2">
      <c r="A30" s="10">
        <f t="shared" si="0"/>
        <v>70.010000000000048</v>
      </c>
      <c r="B30" s="18">
        <v>343.16</v>
      </c>
      <c r="C30" s="11"/>
      <c r="D30" s="18">
        <v>-1180</v>
      </c>
      <c r="E30" s="11"/>
      <c r="F30" s="11"/>
      <c r="G30" s="11"/>
      <c r="H30" s="20">
        <f t="shared" si="1"/>
        <v>-1180</v>
      </c>
      <c r="I30" s="20">
        <f t="shared" si="2"/>
        <v>-1145.0173929352829</v>
      </c>
      <c r="J30" s="13">
        <f t="shared" si="3"/>
        <v>34.982607064717058</v>
      </c>
      <c r="K30" s="5">
        <f t="shared" si="4"/>
        <v>-2.9646277173489031</v>
      </c>
    </row>
    <row r="31" spans="1:11" x14ac:dyDescent="0.2">
      <c r="A31" s="10">
        <f t="shared" si="0"/>
        <v>70.050000000000011</v>
      </c>
      <c r="B31" s="18">
        <v>343.2</v>
      </c>
      <c r="C31" s="11"/>
      <c r="D31" s="11"/>
      <c r="E31" s="11"/>
      <c r="F31" s="11"/>
      <c r="G31" s="11">
        <v>-1121</v>
      </c>
      <c r="H31" s="20">
        <f t="shared" si="1"/>
        <v>-1121</v>
      </c>
      <c r="I31" s="20">
        <f t="shared" si="2"/>
        <v>-1144.6870525445222</v>
      </c>
      <c r="J31" s="13">
        <f t="shared" si="3"/>
        <v>23.687052544522203</v>
      </c>
      <c r="K31" s="5">
        <f t="shared" si="4"/>
        <v>-2.1130287729279393</v>
      </c>
    </row>
    <row r="32" spans="1:11" x14ac:dyDescent="0.2">
      <c r="A32" s="10">
        <f t="shared" si="0"/>
        <v>70.850000000000023</v>
      </c>
      <c r="B32" s="18">
        <v>344</v>
      </c>
      <c r="C32" s="18">
        <v>-1080</v>
      </c>
      <c r="D32" s="11"/>
      <c r="E32" s="11"/>
      <c r="F32" s="11"/>
      <c r="G32" s="11"/>
      <c r="H32" s="20">
        <f t="shared" si="1"/>
        <v>-1080</v>
      </c>
      <c r="I32" s="20">
        <f t="shared" si="2"/>
        <v>-1138.1172511887173</v>
      </c>
      <c r="J32" s="13">
        <f t="shared" si="3"/>
        <v>58.117251188717319</v>
      </c>
      <c r="K32" s="5">
        <f t="shared" si="4"/>
        <v>-5.3812269619182702</v>
      </c>
    </row>
    <row r="33" spans="1:11" x14ac:dyDescent="0.2">
      <c r="A33" s="10">
        <f t="shared" si="0"/>
        <v>75.010000000000048</v>
      </c>
      <c r="B33" s="18">
        <v>348.16</v>
      </c>
      <c r="C33" s="11"/>
      <c r="D33" s="18">
        <v>-1171</v>
      </c>
      <c r="E33" s="11"/>
      <c r="F33" s="11"/>
      <c r="G33" s="11"/>
      <c r="H33" s="20">
        <f t="shared" si="1"/>
        <v>-1171</v>
      </c>
      <c r="I33" s="20">
        <f t="shared" si="2"/>
        <v>-1105.0574469240164</v>
      </c>
      <c r="J33" s="13">
        <f t="shared" si="3"/>
        <v>65.942553075983597</v>
      </c>
      <c r="K33" s="5">
        <f t="shared" si="4"/>
        <v>-5.6313025684016731</v>
      </c>
    </row>
    <row r="34" spans="1:11" x14ac:dyDescent="0.2">
      <c r="A34" s="10">
        <f t="shared" si="0"/>
        <v>77.75</v>
      </c>
      <c r="B34" s="18">
        <v>350.9</v>
      </c>
      <c r="C34" s="18">
        <v>-1100</v>
      </c>
      <c r="D34" s="11"/>
      <c r="E34" s="11"/>
      <c r="F34" s="11"/>
      <c r="G34" s="11"/>
      <c r="H34" s="20">
        <f t="shared" si="1"/>
        <v>-1100</v>
      </c>
      <c r="I34" s="20">
        <f t="shared" si="2"/>
        <v>-1084.2484883995221</v>
      </c>
      <c r="J34" s="13">
        <f t="shared" si="3"/>
        <v>15.751511600477897</v>
      </c>
      <c r="K34" s="5">
        <f t="shared" si="4"/>
        <v>-1.4319556000434452</v>
      </c>
    </row>
    <row r="35" spans="1:11" x14ac:dyDescent="0.2">
      <c r="A35" s="10">
        <f t="shared" si="0"/>
        <v>89.050000000000011</v>
      </c>
      <c r="B35" s="18">
        <v>362.2</v>
      </c>
      <c r="C35" s="18">
        <v>-930</v>
      </c>
      <c r="D35" s="11"/>
      <c r="E35" s="11"/>
      <c r="F35" s="11"/>
      <c r="G35" s="11"/>
      <c r="H35" s="20">
        <f t="shared" si="1"/>
        <v>-930</v>
      </c>
      <c r="I35" s="20">
        <f t="shared" si="2"/>
        <v>-1005.7340460615109</v>
      </c>
      <c r="J35" s="13">
        <f t="shared" si="3"/>
        <v>75.734046061510867</v>
      </c>
      <c r="K35" s="5">
        <f t="shared" si="4"/>
        <v>-8.1434458130656839</v>
      </c>
    </row>
    <row r="36" spans="1:11" x14ac:dyDescent="0.2">
      <c r="A36" s="10">
        <f t="shared" si="0"/>
        <v>97.150000000000034</v>
      </c>
      <c r="B36" s="18">
        <v>370.3</v>
      </c>
      <c r="C36" s="18">
        <v>-840</v>
      </c>
      <c r="D36" s="11"/>
      <c r="E36" s="11"/>
      <c r="F36" s="11"/>
      <c r="G36" s="11"/>
      <c r="H36" s="20">
        <f t="shared" si="1"/>
        <v>-840</v>
      </c>
      <c r="I36" s="20">
        <f t="shared" si="2"/>
        <v>-955.84500210175747</v>
      </c>
      <c r="J36" s="13">
        <f t="shared" si="3"/>
        <v>115.84500210175747</v>
      </c>
      <c r="K36" s="5">
        <f t="shared" si="4"/>
        <v>-13.79107167878065</v>
      </c>
    </row>
    <row r="37" spans="1:11" x14ac:dyDescent="0.2">
      <c r="A37" s="10">
        <f t="shared" si="0"/>
        <v>100.05000000000001</v>
      </c>
      <c r="B37" s="11">
        <v>373.2</v>
      </c>
      <c r="C37" s="11"/>
      <c r="D37" s="11"/>
      <c r="E37" s="11"/>
      <c r="F37" s="11">
        <v>-910</v>
      </c>
      <c r="G37" s="11"/>
      <c r="H37" s="20">
        <f t="shared" si="1"/>
        <v>-910</v>
      </c>
      <c r="I37" s="20">
        <f>$I$9-$I$10*EXP($I$11/B37)</f>
        <v>-939.12962132560085</v>
      </c>
      <c r="J37" s="13">
        <f>ABS(H37-I37)</f>
        <v>29.129621325600851</v>
      </c>
      <c r="K37" s="5">
        <f>100*(J37/H37)</f>
        <v>-3.2010572885275659</v>
      </c>
    </row>
    <row r="38" spans="1:11" x14ac:dyDescent="0.2">
      <c r="A38" s="10">
        <f t="shared" si="0"/>
        <v>107.25</v>
      </c>
      <c r="B38" s="18">
        <v>380.4</v>
      </c>
      <c r="C38" s="18">
        <v>-900</v>
      </c>
      <c r="D38" s="11"/>
      <c r="E38" s="11"/>
      <c r="F38" s="11"/>
      <c r="G38" s="11"/>
      <c r="H38" s="20">
        <f t="shared" si="1"/>
        <v>-900</v>
      </c>
      <c r="I38" s="20">
        <f>$I$9-$I$10*EXP($I$11/B38)</f>
        <v>-899.99993820628754</v>
      </c>
      <c r="J38" s="13">
        <f>ABS(H38-I38)</f>
        <v>6.1793712461621908E-5</v>
      </c>
      <c r="K38" s="5">
        <f>100*(J38/H38)</f>
        <v>-6.8659680512913228E-6</v>
      </c>
    </row>
    <row r="39" spans="1:11" x14ac:dyDescent="0.2">
      <c r="A39" s="10">
        <f t="shared" si="0"/>
        <v>120.25</v>
      </c>
      <c r="B39" s="18">
        <v>393.4</v>
      </c>
      <c r="C39" s="18">
        <v>-750</v>
      </c>
      <c r="D39" s="11"/>
      <c r="E39" s="11"/>
      <c r="F39" s="11"/>
      <c r="G39" s="11"/>
      <c r="H39" s="20">
        <f t="shared" si="1"/>
        <v>-750</v>
      </c>
      <c r="I39" s="20">
        <f>$I$9-$I$10*EXP($I$11/B39)</f>
        <v>-836.95561325539984</v>
      </c>
      <c r="J39" s="13">
        <f>ABS(H39-I39)</f>
        <v>86.95561325539984</v>
      </c>
      <c r="K39" s="5">
        <f>100*(J39/H39)</f>
        <v>-11.594081767386646</v>
      </c>
    </row>
    <row r="40" spans="1:11" x14ac:dyDescent="0.2">
      <c r="A40" s="10">
        <f t="shared" si="0"/>
        <v>131.05000000000001</v>
      </c>
      <c r="B40" s="18">
        <v>404.2</v>
      </c>
      <c r="C40" s="18">
        <v>-800</v>
      </c>
      <c r="D40" s="11"/>
      <c r="E40" s="11"/>
      <c r="F40" s="11"/>
      <c r="G40" s="11"/>
      <c r="H40" s="20">
        <f t="shared" si="1"/>
        <v>-800</v>
      </c>
      <c r="I40" s="20">
        <f>$I$9-$I$10*EXP($I$11/B40)</f>
        <v>-790.95684711917625</v>
      </c>
      <c r="J40" s="13">
        <f>ABS(H40-I40)</f>
        <v>9.0431528808237545</v>
      </c>
      <c r="K40" s="5">
        <f>100*(J40/H40)</f>
        <v>-1.1303941101029693</v>
      </c>
    </row>
    <row r="41" spans="1:11" x14ac:dyDescent="0.2">
      <c r="A41" s="14"/>
      <c r="B41" s="15"/>
      <c r="C41" s="15"/>
      <c r="D41" s="15"/>
      <c r="E41" s="15"/>
      <c r="F41" s="15"/>
      <c r="G41" s="15"/>
      <c r="H41" s="15"/>
      <c r="I41" s="15"/>
      <c r="J41" s="16"/>
    </row>
    <row r="42" spans="1:11" x14ac:dyDescent="0.2">
      <c r="I42" s="20"/>
      <c r="J42" s="3"/>
    </row>
    <row r="43" spans="1:11" x14ac:dyDescent="0.2">
      <c r="A43" s="6">
        <v>55</v>
      </c>
      <c r="B43" s="6">
        <f>A43+273.15</f>
        <v>328.15</v>
      </c>
      <c r="C43" s="6"/>
      <c r="D43" s="6"/>
      <c r="E43" s="6"/>
      <c r="F43" s="6"/>
      <c r="G43" s="6"/>
      <c r="H43" s="6"/>
      <c r="I43" s="24">
        <f>$I$9-$I$10*EXP($I$11/B43)</f>
        <v>-1282.7058552679268</v>
      </c>
      <c r="J43" s="4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H1" zoomScale="75" workbookViewId="0">
      <selection activeCell="G7" sqref="G7"/>
    </sheetView>
  </sheetViews>
  <sheetFormatPr defaultRowHeight="12.75" x14ac:dyDescent="0.2"/>
  <sheetData>
    <row r="1" spans="2:12" x14ac:dyDescent="0.2">
      <c r="B1" t="s">
        <v>21</v>
      </c>
    </row>
    <row r="2" spans="2:12" ht="15.75" x14ac:dyDescent="0.3">
      <c r="B2" s="21" t="s">
        <v>34</v>
      </c>
      <c r="C2" s="21" t="s">
        <v>35</v>
      </c>
      <c r="D2" s="21" t="s">
        <v>36</v>
      </c>
      <c r="E2" s="25" t="s">
        <v>22</v>
      </c>
      <c r="F2" s="25"/>
      <c r="H2" s="26" t="s">
        <v>28</v>
      </c>
      <c r="I2" s="27">
        <f>22.4142*101.325/273.16</f>
        <v>8.3142437216283493</v>
      </c>
      <c r="J2" s="27" t="s">
        <v>29</v>
      </c>
      <c r="K2" s="27"/>
      <c r="L2" s="27"/>
    </row>
    <row r="3" spans="2:12" ht="14.25" x14ac:dyDescent="0.2">
      <c r="B3" s="21" t="s">
        <v>23</v>
      </c>
      <c r="C3" s="21" t="s">
        <v>24</v>
      </c>
      <c r="H3" s="26" t="s">
        <v>28</v>
      </c>
      <c r="I3" s="27">
        <v>82.056826000000001</v>
      </c>
      <c r="J3" s="27" t="s">
        <v>37</v>
      </c>
      <c r="K3" s="27"/>
      <c r="L3" s="27"/>
    </row>
    <row r="4" spans="2:12" ht="14.25" x14ac:dyDescent="0.2">
      <c r="B4">
        <v>553.5</v>
      </c>
      <c r="C4">
        <v>40.700000000000003</v>
      </c>
      <c r="D4">
        <v>0.27300000000000002</v>
      </c>
      <c r="E4">
        <v>0.21199999999999999</v>
      </c>
      <c r="F4">
        <v>0.3</v>
      </c>
      <c r="H4" s="26" t="s">
        <v>28</v>
      </c>
      <c r="I4" s="28">
        <f>22414.2*760/273.15</f>
        <v>62364.23942888523</v>
      </c>
      <c r="J4" s="27" t="s">
        <v>38</v>
      </c>
      <c r="K4" s="27"/>
      <c r="L4" s="27"/>
    </row>
    <row r="5" spans="2:12" ht="15.75" x14ac:dyDescent="0.3">
      <c r="B5" s="21" t="s">
        <v>34</v>
      </c>
      <c r="C5" s="21" t="s">
        <v>35</v>
      </c>
      <c r="D5" s="21" t="s">
        <v>36</v>
      </c>
      <c r="E5" s="25" t="s">
        <v>22</v>
      </c>
      <c r="F5" s="25"/>
    </row>
    <row r="6" spans="2:12" x14ac:dyDescent="0.2">
      <c r="B6" s="21" t="s">
        <v>23</v>
      </c>
      <c r="C6" s="21" t="s">
        <v>25</v>
      </c>
    </row>
    <row r="7" spans="2:12" x14ac:dyDescent="0.2">
      <c r="B7">
        <f>B4</f>
        <v>553.5</v>
      </c>
      <c r="C7">
        <f>760*C4/1.01325</f>
        <v>30527.510486059713</v>
      </c>
      <c r="D7">
        <f>D4</f>
        <v>0.27300000000000002</v>
      </c>
      <c r="E7">
        <f>E4</f>
        <v>0.21199999999999999</v>
      </c>
    </row>
    <row r="9" spans="2:12" x14ac:dyDescent="0.2">
      <c r="E9" s="1" t="s">
        <v>32</v>
      </c>
      <c r="F9">
        <v>0</v>
      </c>
    </row>
    <row r="10" spans="2:12" x14ac:dyDescent="0.2">
      <c r="E10" s="1" t="s">
        <v>33</v>
      </c>
      <c r="F10">
        <v>0</v>
      </c>
    </row>
    <row r="11" spans="2:12" x14ac:dyDescent="0.2">
      <c r="J11" t="s">
        <v>13</v>
      </c>
    </row>
    <row r="12" spans="2:12" ht="15.75" x14ac:dyDescent="0.3">
      <c r="B12" s="21" t="str">
        <f>[1]Dymond!B12</f>
        <v>T, K</v>
      </c>
      <c r="C12" s="21" t="s">
        <v>39</v>
      </c>
      <c r="D12" s="21" t="s">
        <v>26</v>
      </c>
      <c r="E12" s="21" t="s">
        <v>31</v>
      </c>
      <c r="F12" s="21" t="s">
        <v>27</v>
      </c>
      <c r="G12" s="21" t="s">
        <v>40</v>
      </c>
      <c r="H12" s="21" t="s">
        <v>41</v>
      </c>
      <c r="I12" s="21" t="s">
        <v>42</v>
      </c>
      <c r="J12" s="23" t="e">
        <f>AVERAGE(J14:J49)</f>
        <v>#DIV/0!</v>
      </c>
    </row>
    <row r="13" spans="2:12" x14ac:dyDescent="0.2">
      <c r="H13" t="s">
        <v>8</v>
      </c>
      <c r="I13" t="s">
        <v>30</v>
      </c>
    </row>
    <row r="14" spans="2:12" x14ac:dyDescent="0.2">
      <c r="B14">
        <f>Exp!B14</f>
        <v>295.2</v>
      </c>
      <c r="C14" s="29">
        <f>B14/$B$4</f>
        <v>0.53333333333333333</v>
      </c>
      <c r="D14" s="29">
        <f>0.1445-0.33/C14-0.1385/C14/C14-0.0121/C14^3-0.000607/C14^8</f>
        <v>-1.1336502371653916</v>
      </c>
      <c r="E14" s="29">
        <f>0.0637+0.331/C14^2-0.423/C14^3-0.008/C14^8</f>
        <v>-2.7830396855354307</v>
      </c>
      <c r="F14" s="29">
        <f>$F$9/C14^6-$F$10/C14^8</f>
        <v>0</v>
      </c>
      <c r="G14" s="29">
        <f>D14+$E$7*E14+F14</f>
        <v>-1.723654650498903</v>
      </c>
      <c r="H14" s="3">
        <f>G14*$I$4*$B$7/$C$7</f>
        <v>-1949.0012685708818</v>
      </c>
      <c r="I14" s="3">
        <f>Exp!H14</f>
        <v>-1631</v>
      </c>
      <c r="J14" s="5">
        <f>100*ABS((H14-I14)/I14)</f>
        <v>19.497318735185889</v>
      </c>
    </row>
    <row r="15" spans="2:12" x14ac:dyDescent="0.2">
      <c r="B15">
        <f>Exp!B15</f>
        <v>308.2</v>
      </c>
      <c r="C15" s="29">
        <f t="shared" ref="C15:C42" si="0">B15/$B$4</f>
        <v>0.55682023486901533</v>
      </c>
      <c r="D15" s="29">
        <f t="shared" ref="D15:D42" si="1">0.1445-0.33/C15-0.1385/C15/C15-0.0121/C15^3-0.000607/C15^8</f>
        <v>-1.0306276157948557</v>
      </c>
      <c r="E15" s="29">
        <f t="shared" ref="E15:E40" si="2">0.0637+0.331/C15^2-0.423/C15^3-0.008/C15^8</f>
        <v>-2.184596052953407</v>
      </c>
      <c r="F15" s="29">
        <f t="shared" ref="F15:F40" si="3">$F$9/C15^6-$F$10/C15^8</f>
        <v>0</v>
      </c>
      <c r="G15" s="29">
        <f t="shared" ref="G15:G40" si="4">D15+$E$7*E15+F15</f>
        <v>-1.493761979020978</v>
      </c>
      <c r="H15" s="3">
        <f t="shared" ref="H15:H42" si="5">G15*$I$4*$B$7/$C$7</f>
        <v>-1689.0529615153264</v>
      </c>
      <c r="I15" s="3">
        <f>Exp!H15</f>
        <v>-1519</v>
      </c>
      <c r="J15" s="5">
        <f t="shared" ref="J15:J40" si="6">100*ABS((H15-I15)/I15)</f>
        <v>11.195060007592257</v>
      </c>
    </row>
    <row r="16" spans="2:12" x14ac:dyDescent="0.2">
      <c r="B16">
        <f>Exp!B16</f>
        <v>308.2</v>
      </c>
      <c r="C16" s="29">
        <f t="shared" si="0"/>
        <v>0.55682023486901533</v>
      </c>
      <c r="D16" s="29">
        <f t="shared" si="1"/>
        <v>-1.0306276157948557</v>
      </c>
      <c r="E16" s="29">
        <f t="shared" si="2"/>
        <v>-2.184596052953407</v>
      </c>
      <c r="F16" s="29">
        <f t="shared" si="3"/>
        <v>0</v>
      </c>
      <c r="G16" s="29">
        <f t="shared" si="4"/>
        <v>-1.493761979020978</v>
      </c>
      <c r="H16" s="3">
        <f t="shared" si="5"/>
        <v>-1689.0529615153264</v>
      </c>
      <c r="I16" s="3">
        <f>Exp!H16</f>
        <v>-1457</v>
      </c>
      <c r="J16" s="5">
        <f t="shared" si="6"/>
        <v>15.926764688766395</v>
      </c>
    </row>
    <row r="17" spans="2:10" x14ac:dyDescent="0.2">
      <c r="B17">
        <f>Exp!B17</f>
        <v>315.16000000000003</v>
      </c>
      <c r="C17" s="29">
        <f t="shared" si="0"/>
        <v>0.56939476061427285</v>
      </c>
      <c r="D17" s="29">
        <f t="shared" si="1"/>
        <v>-0.98273933706956051</v>
      </c>
      <c r="E17" s="29">
        <f t="shared" si="2"/>
        <v>-1.9308258921449628</v>
      </c>
      <c r="F17" s="29">
        <f t="shared" si="3"/>
        <v>0</v>
      </c>
      <c r="G17" s="29">
        <f t="shared" si="4"/>
        <v>-1.3920744262042926</v>
      </c>
      <c r="H17" s="3">
        <f t="shared" si="5"/>
        <v>-1574.0710134898195</v>
      </c>
      <c r="I17" s="3">
        <f>Exp!H17</f>
        <v>-1518</v>
      </c>
      <c r="J17" s="5">
        <f t="shared" si="6"/>
        <v>3.6937426541383074</v>
      </c>
    </row>
    <row r="18" spans="2:10" x14ac:dyDescent="0.2">
      <c r="B18">
        <f>Exp!B18</f>
        <v>320.16000000000003</v>
      </c>
      <c r="C18" s="29">
        <f t="shared" si="0"/>
        <v>0.57842818428184284</v>
      </c>
      <c r="D18" s="29">
        <f t="shared" si="1"/>
        <v>-0.95092584533726543</v>
      </c>
      <c r="E18" s="29">
        <f t="shared" si="2"/>
        <v>-1.7711072078122416</v>
      </c>
      <c r="F18" s="29">
        <f t="shared" si="3"/>
        <v>0</v>
      </c>
      <c r="G18" s="29">
        <f t="shared" si="4"/>
        <v>-1.3264005733934607</v>
      </c>
      <c r="H18" s="3">
        <f t="shared" si="5"/>
        <v>-1499.8111132231388</v>
      </c>
      <c r="I18" s="3">
        <f>Exp!H18</f>
        <v>-1435</v>
      </c>
      <c r="J18" s="5">
        <f t="shared" si="6"/>
        <v>4.5164538831455623</v>
      </c>
    </row>
    <row r="19" spans="2:10" x14ac:dyDescent="0.2">
      <c r="B19">
        <f>Exp!B19</f>
        <v>323.16000000000003</v>
      </c>
      <c r="C19" s="29">
        <f t="shared" si="0"/>
        <v>0.58384823848238487</v>
      </c>
      <c r="D19" s="29">
        <f t="shared" si="1"/>
        <v>-0.93277177170421177</v>
      </c>
      <c r="E19" s="29">
        <f t="shared" si="2"/>
        <v>-1.6831816648907245</v>
      </c>
      <c r="F19" s="29">
        <f t="shared" si="3"/>
        <v>0</v>
      </c>
      <c r="G19" s="29">
        <f t="shared" si="4"/>
        <v>-1.2896062846610454</v>
      </c>
      <c r="H19" s="3">
        <f t="shared" si="5"/>
        <v>-1458.2064243750081</v>
      </c>
      <c r="I19" s="3">
        <f>Exp!H19</f>
        <v>-1382</v>
      </c>
      <c r="J19" s="5">
        <f t="shared" si="6"/>
        <v>5.5142130517371966</v>
      </c>
    </row>
    <row r="20" spans="2:10" x14ac:dyDescent="0.2">
      <c r="B20">
        <f>Exp!B20</f>
        <v>323.2</v>
      </c>
      <c r="C20" s="29">
        <f t="shared" si="0"/>
        <v>0.58392050587172539</v>
      </c>
      <c r="D20" s="29">
        <f t="shared" si="1"/>
        <v>-0.93253419326469689</v>
      </c>
      <c r="E20" s="29">
        <f t="shared" si="2"/>
        <v>-1.6820465837519585</v>
      </c>
      <c r="F20" s="29">
        <f t="shared" si="3"/>
        <v>0</v>
      </c>
      <c r="G20" s="29">
        <f t="shared" si="4"/>
        <v>-1.2891280690201121</v>
      </c>
      <c r="H20" s="3">
        <f t="shared" si="5"/>
        <v>-1457.6656879284353</v>
      </c>
      <c r="I20" s="3">
        <f>Exp!H20</f>
        <v>-1309</v>
      </c>
      <c r="J20" s="5">
        <f t="shared" si="6"/>
        <v>11.35719541088123</v>
      </c>
    </row>
    <row r="21" spans="2:10" x14ac:dyDescent="0.2">
      <c r="B21">
        <f>Exp!B21</f>
        <v>324.3</v>
      </c>
      <c r="C21" s="29">
        <f t="shared" si="0"/>
        <v>0.58590785907859078</v>
      </c>
      <c r="D21" s="29">
        <f t="shared" si="1"/>
        <v>-0.92604566698333113</v>
      </c>
      <c r="E21" s="29">
        <f t="shared" si="2"/>
        <v>-1.6512022828468331</v>
      </c>
      <c r="F21" s="29">
        <f t="shared" si="3"/>
        <v>0</v>
      </c>
      <c r="G21" s="29">
        <f t="shared" si="4"/>
        <v>-1.2761005509468597</v>
      </c>
      <c r="H21" s="3">
        <f t="shared" si="5"/>
        <v>-1442.934982306082</v>
      </c>
      <c r="I21" s="3">
        <f>Exp!H21</f>
        <v>-1292</v>
      </c>
      <c r="J21" s="5">
        <f t="shared" si="6"/>
        <v>11.682274172297371</v>
      </c>
    </row>
    <row r="22" spans="2:10" x14ac:dyDescent="0.2">
      <c r="B22">
        <f>Exp!B22</f>
        <v>328.16</v>
      </c>
      <c r="C22" s="29">
        <f t="shared" si="0"/>
        <v>0.59288166214995486</v>
      </c>
      <c r="D22" s="29">
        <f t="shared" si="1"/>
        <v>-0.90393978285862286</v>
      </c>
      <c r="E22" s="29">
        <f t="shared" si="2"/>
        <v>-1.548383112753005</v>
      </c>
      <c r="F22" s="29">
        <f t="shared" si="3"/>
        <v>0</v>
      </c>
      <c r="G22" s="29">
        <f t="shared" si="4"/>
        <v>-1.23219700276226</v>
      </c>
      <c r="H22" s="3">
        <f t="shared" si="5"/>
        <v>-1393.2915858857025</v>
      </c>
      <c r="I22" s="3">
        <f>Exp!H22</f>
        <v>-1355</v>
      </c>
      <c r="J22" s="5">
        <f t="shared" si="6"/>
        <v>2.8259472978378222</v>
      </c>
    </row>
    <row r="23" spans="2:10" x14ac:dyDescent="0.2">
      <c r="B23">
        <f>Exp!B23</f>
        <v>331.16</v>
      </c>
      <c r="C23" s="29">
        <f t="shared" si="0"/>
        <v>0.59830171635049689</v>
      </c>
      <c r="D23" s="29">
        <f t="shared" si="1"/>
        <v>-0.88743553857472601</v>
      </c>
      <c r="E23" s="29">
        <f t="shared" si="2"/>
        <v>-1.473908633195826</v>
      </c>
      <c r="F23" s="29">
        <f t="shared" si="3"/>
        <v>0</v>
      </c>
      <c r="G23" s="29">
        <f t="shared" si="4"/>
        <v>-1.1999041688122412</v>
      </c>
      <c r="H23" s="3">
        <f t="shared" si="5"/>
        <v>-1356.7768615955915</v>
      </c>
      <c r="I23" s="3">
        <f>Exp!H23</f>
        <v>-1301</v>
      </c>
      <c r="J23" s="5">
        <f t="shared" si="6"/>
        <v>4.2872299458563816</v>
      </c>
    </row>
    <row r="24" spans="2:10" x14ac:dyDescent="0.2">
      <c r="B24">
        <f>Exp!B24</f>
        <v>331.2</v>
      </c>
      <c r="C24" s="29">
        <f t="shared" si="0"/>
        <v>0.59837398373983741</v>
      </c>
      <c r="D24" s="29">
        <f t="shared" si="1"/>
        <v>-0.88721930391287673</v>
      </c>
      <c r="E24" s="29">
        <f t="shared" si="2"/>
        <v>-1.4729459082503509</v>
      </c>
      <c r="F24" s="29">
        <f t="shared" si="3"/>
        <v>0</v>
      </c>
      <c r="G24" s="29">
        <f t="shared" si="4"/>
        <v>-1.1994838364619511</v>
      </c>
      <c r="H24" s="3">
        <f t="shared" si="5"/>
        <v>-1356.3015759670582</v>
      </c>
      <c r="I24" s="3">
        <f>Exp!H24</f>
        <v>-1250</v>
      </c>
      <c r="J24" s="5">
        <f t="shared" si="6"/>
        <v>8.5041260773646528</v>
      </c>
    </row>
    <row r="25" spans="2:10" x14ac:dyDescent="0.2">
      <c r="B25">
        <f>Exp!B25</f>
        <v>333.16</v>
      </c>
      <c r="C25" s="29">
        <f t="shared" si="0"/>
        <v>0.60191508581752484</v>
      </c>
      <c r="D25" s="29">
        <f t="shared" si="1"/>
        <v>-0.87674315497130118</v>
      </c>
      <c r="E25" s="29">
        <f t="shared" si="2"/>
        <v>-1.4267076122860187</v>
      </c>
      <c r="F25" s="29">
        <f t="shared" si="3"/>
        <v>0</v>
      </c>
      <c r="G25" s="29">
        <f t="shared" si="4"/>
        <v>-1.1792051687759371</v>
      </c>
      <c r="H25" s="3">
        <f t="shared" si="5"/>
        <v>-1333.3717222208168</v>
      </c>
      <c r="I25" s="3">
        <f>Exp!H25</f>
        <v>-1268</v>
      </c>
      <c r="J25" s="5">
        <f t="shared" si="6"/>
        <v>5.1554985978562122</v>
      </c>
    </row>
    <row r="26" spans="2:10" x14ac:dyDescent="0.2">
      <c r="B26">
        <f>Exp!B26</f>
        <v>334.2</v>
      </c>
      <c r="C26" s="29">
        <f t="shared" si="0"/>
        <v>0.60379403794037934</v>
      </c>
      <c r="D26" s="29">
        <f t="shared" si="1"/>
        <v>-0.87127758086859663</v>
      </c>
      <c r="E26" s="29">
        <f t="shared" si="2"/>
        <v>-1.4028986335730105</v>
      </c>
      <c r="F26" s="29">
        <f t="shared" si="3"/>
        <v>0</v>
      </c>
      <c r="G26" s="29">
        <f t="shared" si="4"/>
        <v>-1.1686920911860748</v>
      </c>
      <c r="H26" s="3">
        <f t="shared" si="5"/>
        <v>-1321.48418920874</v>
      </c>
      <c r="I26" s="3">
        <f>Exp!H26</f>
        <v>-1270</v>
      </c>
      <c r="J26" s="5">
        <f t="shared" si="6"/>
        <v>4.0538731660425169</v>
      </c>
    </row>
    <row r="27" spans="2:10" x14ac:dyDescent="0.2">
      <c r="B27">
        <f>Exp!B27</f>
        <v>337.5</v>
      </c>
      <c r="C27" s="29">
        <f t="shared" si="0"/>
        <v>0.6097560975609756</v>
      </c>
      <c r="D27" s="29">
        <f t="shared" si="1"/>
        <v>-0.85434633603081156</v>
      </c>
      <c r="E27" s="29">
        <f t="shared" si="2"/>
        <v>-1.3305117598525389</v>
      </c>
      <c r="F27" s="29">
        <f t="shared" si="3"/>
        <v>0</v>
      </c>
      <c r="G27" s="29">
        <f t="shared" si="4"/>
        <v>-1.1364148291195497</v>
      </c>
      <c r="H27" s="3">
        <f t="shared" si="5"/>
        <v>-1284.9870726341153</v>
      </c>
      <c r="I27" s="3">
        <f>Exp!H27</f>
        <v>-1120</v>
      </c>
      <c r="J27" s="5">
        <f t="shared" si="6"/>
        <v>14.730988628046008</v>
      </c>
    </row>
    <row r="28" spans="2:10" x14ac:dyDescent="0.2">
      <c r="B28">
        <f>Exp!B28</f>
        <v>338.16</v>
      </c>
      <c r="C28" s="29">
        <f t="shared" si="0"/>
        <v>0.61094850948509494</v>
      </c>
      <c r="D28" s="29">
        <f t="shared" si="1"/>
        <v>-0.85103290316408053</v>
      </c>
      <c r="E28" s="29">
        <f t="shared" si="2"/>
        <v>-1.3165878132771667</v>
      </c>
      <c r="F28" s="29">
        <f t="shared" si="3"/>
        <v>0</v>
      </c>
      <c r="G28" s="29">
        <f t="shared" si="4"/>
        <v>-1.1301495195788398</v>
      </c>
      <c r="H28" s="3">
        <f t="shared" si="5"/>
        <v>-1277.9026510306935</v>
      </c>
      <c r="I28" s="3">
        <f>Exp!H28</f>
        <v>-1236</v>
      </c>
      <c r="J28" s="5">
        <f t="shared" si="6"/>
        <v>3.3901821222243935</v>
      </c>
    </row>
    <row r="29" spans="2:10" x14ac:dyDescent="0.2">
      <c r="B29">
        <f>Exp!B29</f>
        <v>341.6</v>
      </c>
      <c r="C29" s="29">
        <f t="shared" si="0"/>
        <v>0.61716350496838301</v>
      </c>
      <c r="D29" s="29">
        <f t="shared" si="1"/>
        <v>-0.83413867176241163</v>
      </c>
      <c r="E29" s="29">
        <f t="shared" si="2"/>
        <v>-1.2468254229673277</v>
      </c>
      <c r="F29" s="29">
        <f t="shared" si="3"/>
        <v>0</v>
      </c>
      <c r="G29" s="29">
        <f t="shared" si="4"/>
        <v>-1.0984656614314852</v>
      </c>
      <c r="H29" s="3">
        <f t="shared" si="5"/>
        <v>-1242.0765186296696</v>
      </c>
      <c r="I29" s="3">
        <f>Exp!H29</f>
        <v>-1140</v>
      </c>
      <c r="J29" s="5">
        <f t="shared" si="6"/>
        <v>8.9540805815499684</v>
      </c>
    </row>
    <row r="30" spans="2:10" x14ac:dyDescent="0.2">
      <c r="B30">
        <f>Exp!B30</f>
        <v>343.16</v>
      </c>
      <c r="C30" s="29">
        <f t="shared" si="0"/>
        <v>0.61998193315266492</v>
      </c>
      <c r="D30" s="29">
        <f t="shared" si="1"/>
        <v>-0.82667829502031964</v>
      </c>
      <c r="E30" s="29">
        <f t="shared" si="2"/>
        <v>-1.2166739435185498</v>
      </c>
      <c r="F30" s="29">
        <f t="shared" si="3"/>
        <v>0</v>
      </c>
      <c r="G30" s="29">
        <f t="shared" si="4"/>
        <v>-1.0846131710462523</v>
      </c>
      <c r="H30" s="3">
        <f t="shared" si="5"/>
        <v>-1226.4129857254011</v>
      </c>
      <c r="I30" s="3">
        <f>Exp!H30</f>
        <v>-1180</v>
      </c>
      <c r="J30" s="5">
        <f t="shared" si="6"/>
        <v>3.9333038750339901</v>
      </c>
    </row>
    <row r="31" spans="2:10" x14ac:dyDescent="0.2">
      <c r="B31">
        <f>Exp!B31</f>
        <v>343.2</v>
      </c>
      <c r="C31" s="29">
        <f t="shared" si="0"/>
        <v>0.62005420054200544</v>
      </c>
      <c r="D31" s="29">
        <f t="shared" si="1"/>
        <v>-0.82648860385198741</v>
      </c>
      <c r="E31" s="29">
        <f t="shared" si="2"/>
        <v>-1.2159125251456504</v>
      </c>
      <c r="F31" s="29">
        <f t="shared" si="3"/>
        <v>0</v>
      </c>
      <c r="G31" s="29">
        <f t="shared" si="4"/>
        <v>-1.0842620591828653</v>
      </c>
      <c r="H31" s="3">
        <f t="shared" si="5"/>
        <v>-1226.0159703099564</v>
      </c>
      <c r="I31" s="3">
        <f>Exp!H31</f>
        <v>-1121</v>
      </c>
      <c r="J31" s="5">
        <f t="shared" si="6"/>
        <v>9.3680615798355404</v>
      </c>
    </row>
    <row r="32" spans="2:10" x14ac:dyDescent="0.2">
      <c r="B32">
        <f>Exp!B32</f>
        <v>344</v>
      </c>
      <c r="C32" s="29">
        <f t="shared" si="0"/>
        <v>0.6214995483288166</v>
      </c>
      <c r="D32" s="29">
        <f t="shared" si="1"/>
        <v>-0.82271135299259579</v>
      </c>
      <c r="E32" s="29">
        <f t="shared" si="2"/>
        <v>-1.2008046330867947</v>
      </c>
      <c r="F32" s="29">
        <f t="shared" si="3"/>
        <v>0</v>
      </c>
      <c r="G32" s="29">
        <f t="shared" si="4"/>
        <v>-1.0772819352069962</v>
      </c>
      <c r="H32" s="3">
        <f t="shared" si="5"/>
        <v>-1218.1232810871975</v>
      </c>
      <c r="I32" s="3">
        <f>Exp!H32</f>
        <v>-1080</v>
      </c>
      <c r="J32" s="5">
        <f t="shared" si="6"/>
        <v>12.789192693259027</v>
      </c>
    </row>
    <row r="33" spans="1:10" x14ac:dyDescent="0.2">
      <c r="B33">
        <f>Exp!B33</f>
        <v>348.16</v>
      </c>
      <c r="C33" s="29">
        <f t="shared" si="0"/>
        <v>0.62901535682023491</v>
      </c>
      <c r="D33" s="29">
        <f t="shared" si="1"/>
        <v>-0.80356416995884861</v>
      </c>
      <c r="E33" s="29">
        <f t="shared" si="2"/>
        <v>-1.125800024885991</v>
      </c>
      <c r="F33" s="29">
        <f t="shared" si="3"/>
        <v>0</v>
      </c>
      <c r="G33" s="29">
        <f t="shared" si="4"/>
        <v>-1.0422337752346786</v>
      </c>
      <c r="H33" s="3">
        <f t="shared" si="5"/>
        <v>-1178.4930058302887</v>
      </c>
      <c r="I33" s="3">
        <f>Exp!H33</f>
        <v>-1171</v>
      </c>
      <c r="J33" s="5">
        <f t="shared" si="6"/>
        <v>0.63988094195462564</v>
      </c>
    </row>
    <row r="34" spans="1:10" x14ac:dyDescent="0.2">
      <c r="B34">
        <f>Exp!B34</f>
        <v>350.9</v>
      </c>
      <c r="C34" s="29">
        <f t="shared" si="0"/>
        <v>0.63396567299006323</v>
      </c>
      <c r="D34" s="29">
        <f t="shared" si="1"/>
        <v>-0.79138661387337172</v>
      </c>
      <c r="E34" s="29">
        <f t="shared" si="2"/>
        <v>-1.0794658596048785</v>
      </c>
      <c r="F34" s="29">
        <f t="shared" si="3"/>
        <v>0</v>
      </c>
      <c r="G34" s="29">
        <f t="shared" si="4"/>
        <v>-1.0202333761096058</v>
      </c>
      <c r="H34" s="3">
        <f t="shared" si="5"/>
        <v>-1153.6163254631272</v>
      </c>
      <c r="I34" s="3">
        <f>Exp!H34</f>
        <v>-1100</v>
      </c>
      <c r="J34" s="5">
        <f t="shared" si="6"/>
        <v>4.8742114057388335</v>
      </c>
    </row>
    <row r="35" spans="1:10" x14ac:dyDescent="0.2">
      <c r="B35">
        <f>Exp!B35</f>
        <v>362.2</v>
      </c>
      <c r="C35" s="29">
        <f t="shared" si="0"/>
        <v>0.6543812104787714</v>
      </c>
      <c r="D35" s="29">
        <f t="shared" si="1"/>
        <v>-0.74446275970005504</v>
      </c>
      <c r="E35" s="29">
        <f t="shared" si="2"/>
        <v>-0.91080162121786312</v>
      </c>
      <c r="F35" s="29">
        <f t="shared" si="3"/>
        <v>0</v>
      </c>
      <c r="G35" s="29">
        <f t="shared" si="4"/>
        <v>-0.93755270339824204</v>
      </c>
      <c r="H35" s="3">
        <f t="shared" si="5"/>
        <v>-1060.1261730395549</v>
      </c>
      <c r="I35" s="3">
        <f>Exp!H35</f>
        <v>-930</v>
      </c>
      <c r="J35" s="5">
        <f t="shared" si="6"/>
        <v>13.992061617156445</v>
      </c>
    </row>
    <row r="36" spans="1:10" x14ac:dyDescent="0.2">
      <c r="B36">
        <f>Exp!B36</f>
        <v>370.3</v>
      </c>
      <c r="C36" s="29">
        <f t="shared" si="0"/>
        <v>0.66901535682023494</v>
      </c>
      <c r="D36" s="29">
        <f t="shared" si="1"/>
        <v>-0.71373710554524716</v>
      </c>
      <c r="E36" s="29">
        <f t="shared" si="2"/>
        <v>-0.80875507417324499</v>
      </c>
      <c r="F36" s="29">
        <f t="shared" si="3"/>
        <v>0</v>
      </c>
      <c r="G36" s="29">
        <f t="shared" si="4"/>
        <v>-0.88519318126997515</v>
      </c>
      <c r="H36" s="3">
        <f t="shared" si="5"/>
        <v>-1000.9212882209981</v>
      </c>
      <c r="I36" s="3">
        <f>Exp!H36</f>
        <v>-840</v>
      </c>
      <c r="J36" s="5">
        <f t="shared" si="6"/>
        <v>19.15729621678549</v>
      </c>
    </row>
    <row r="37" spans="1:10" x14ac:dyDescent="0.2">
      <c r="B37">
        <f>Exp!B37</f>
        <v>373.2</v>
      </c>
      <c r="C37" s="29">
        <f t="shared" si="0"/>
        <v>0.67425474254742546</v>
      </c>
      <c r="D37" s="29">
        <f t="shared" si="1"/>
        <v>-0.70326394439560291</v>
      </c>
      <c r="E37" s="29">
        <f t="shared" si="2"/>
        <v>-0.7754671891620557</v>
      </c>
      <c r="F37" s="29">
        <f t="shared" si="3"/>
        <v>0</v>
      </c>
      <c r="G37" s="29">
        <f t="shared" si="4"/>
        <v>-0.86766298849795875</v>
      </c>
      <c r="H37" s="3">
        <f t="shared" si="5"/>
        <v>-981.09923863521658</v>
      </c>
      <c r="I37" s="3">
        <f>Exp!H37</f>
        <v>-910</v>
      </c>
      <c r="J37" s="5">
        <f t="shared" si="6"/>
        <v>7.8131031467270962</v>
      </c>
    </row>
    <row r="38" spans="1:10" x14ac:dyDescent="0.2">
      <c r="B38">
        <f>Exp!B38</f>
        <v>380.4</v>
      </c>
      <c r="C38" s="29">
        <f t="shared" si="0"/>
        <v>0.68726287262872621</v>
      </c>
      <c r="D38" s="29">
        <f t="shared" si="1"/>
        <v>-0.67836323804693643</v>
      </c>
      <c r="E38" s="29">
        <f t="shared" si="2"/>
        <v>-0.69933475673358536</v>
      </c>
      <c r="F38" s="29">
        <f t="shared" si="3"/>
        <v>0</v>
      </c>
      <c r="G38" s="29">
        <f t="shared" si="4"/>
        <v>-0.8266222064744565</v>
      </c>
      <c r="H38" s="3">
        <f t="shared" si="5"/>
        <v>-934.69287979541377</v>
      </c>
      <c r="I38" s="3">
        <f>Exp!H38</f>
        <v>-900</v>
      </c>
      <c r="J38" s="5">
        <f t="shared" si="6"/>
        <v>3.8547644217126411</v>
      </c>
    </row>
    <row r="39" spans="1:10" x14ac:dyDescent="0.2">
      <c r="B39">
        <f>Exp!B39</f>
        <v>393.4</v>
      </c>
      <c r="C39" s="29">
        <f t="shared" si="0"/>
        <v>0.71074977416440832</v>
      </c>
      <c r="D39" s="29">
        <f t="shared" si="1"/>
        <v>-0.63698738427902046</v>
      </c>
      <c r="E39" s="29">
        <f t="shared" si="2"/>
        <v>-0.58203523158996318</v>
      </c>
      <c r="F39" s="29">
        <f t="shared" si="3"/>
        <v>0</v>
      </c>
      <c r="G39" s="29">
        <f t="shared" si="4"/>
        <v>-0.76037885337609268</v>
      </c>
      <c r="H39" s="3">
        <f t="shared" si="5"/>
        <v>-859.78902409222519</v>
      </c>
      <c r="I39" s="3">
        <f>Exp!H39</f>
        <v>-750</v>
      </c>
      <c r="J39" s="5">
        <f t="shared" si="6"/>
        <v>14.638536545630027</v>
      </c>
    </row>
    <row r="40" spans="1:10" x14ac:dyDescent="0.2">
      <c r="B40">
        <f>Exp!B40</f>
        <v>404.2</v>
      </c>
      <c r="C40" s="29">
        <f t="shared" si="0"/>
        <v>0.73026196928635956</v>
      </c>
      <c r="D40" s="29">
        <f t="shared" si="1"/>
        <v>-0.60568058419314574</v>
      </c>
      <c r="E40" s="29">
        <f t="shared" si="2"/>
        <v>-0.50071680525786411</v>
      </c>
      <c r="F40" s="29">
        <f t="shared" si="3"/>
        <v>0</v>
      </c>
      <c r="G40" s="29">
        <f t="shared" si="4"/>
        <v>-0.71183254690781295</v>
      </c>
      <c r="H40" s="3">
        <f t="shared" si="5"/>
        <v>-804.89588591995755</v>
      </c>
      <c r="I40" s="3">
        <f>Exp!H40</f>
        <v>-800</v>
      </c>
      <c r="J40" s="5">
        <f t="shared" si="6"/>
        <v>0.61198573999469374</v>
      </c>
    </row>
    <row r="41" spans="1:10" x14ac:dyDescent="0.2">
      <c r="C41" s="29"/>
      <c r="D41" s="29"/>
      <c r="E41" s="29"/>
      <c r="F41" s="29"/>
      <c r="G41" s="29"/>
      <c r="H41" s="3"/>
      <c r="I41" s="3"/>
      <c r="J41" s="5"/>
    </row>
    <row r="42" spans="1:10" x14ac:dyDescent="0.2">
      <c r="A42">
        <v>55</v>
      </c>
      <c r="B42">
        <f>A42+273.15</f>
        <v>328.15</v>
      </c>
      <c r="C42" s="29">
        <f t="shared" si="0"/>
        <v>0.59286359530261967</v>
      </c>
      <c r="D42" s="29">
        <f t="shared" si="1"/>
        <v>-0.90399576173694041</v>
      </c>
      <c r="E42" s="29">
        <f>0.0637+0.331/C42^2-0.423/C42^3-0.008/C42^8</f>
        <v>-1.5486390504793432</v>
      </c>
      <c r="F42" s="29">
        <f>$F$9/C42^6-$F$10/C42^8</f>
        <v>0</v>
      </c>
      <c r="G42" s="29">
        <f>D42+$E$7*E42+F42</f>
        <v>-1.2323072404385611</v>
      </c>
      <c r="H42" s="3">
        <f t="shared" si="5"/>
        <v>-1393.4162357805599</v>
      </c>
      <c r="I42" s="3">
        <f>Exp!H42</f>
        <v>0</v>
      </c>
      <c r="J42" s="5" t="e">
        <f>100*ABS((H42-I42)/I42)</f>
        <v>#DIV/0!</v>
      </c>
    </row>
    <row r="43" spans="1:10" x14ac:dyDescent="0.2">
      <c r="C43" s="29"/>
      <c r="D43" s="29"/>
      <c r="E43" s="29"/>
      <c r="F43" s="29"/>
      <c r="G43" s="29"/>
      <c r="H43" s="3"/>
      <c r="I43" s="3"/>
      <c r="J43" s="5"/>
    </row>
    <row r="44" spans="1:10" x14ac:dyDescent="0.2">
      <c r="C44" s="29"/>
      <c r="D44" s="29"/>
      <c r="E44" s="29"/>
      <c r="F44" s="29"/>
      <c r="G44" s="29"/>
      <c r="H44" s="3"/>
      <c r="I44" s="3"/>
      <c r="J44" s="5"/>
    </row>
    <row r="45" spans="1:10" x14ac:dyDescent="0.2">
      <c r="C45" s="29"/>
      <c r="D45" s="29"/>
      <c r="E45" s="29"/>
      <c r="F45" s="29"/>
      <c r="G45" s="29"/>
      <c r="H45" s="3"/>
      <c r="I45" s="3"/>
      <c r="J45" s="5"/>
    </row>
    <row r="46" spans="1:10" x14ac:dyDescent="0.2">
      <c r="C46" s="29"/>
      <c r="D46" s="29"/>
      <c r="E46" s="29"/>
      <c r="F46" s="29"/>
      <c r="G46" s="29"/>
      <c r="H46" s="3"/>
      <c r="I46" s="3"/>
      <c r="J46" s="5"/>
    </row>
    <row r="47" spans="1:10" x14ac:dyDescent="0.2">
      <c r="C47" s="29"/>
      <c r="D47" s="29"/>
      <c r="E47" s="29"/>
      <c r="F47" s="29"/>
      <c r="G47" s="29"/>
      <c r="H47" s="3"/>
      <c r="I47" s="3"/>
      <c r="J47" s="5"/>
    </row>
    <row r="48" spans="1:10" x14ac:dyDescent="0.2">
      <c r="C48" s="29"/>
      <c r="D48" s="29"/>
      <c r="E48" s="29"/>
      <c r="F48" s="29"/>
      <c r="G48" s="29"/>
      <c r="H48" s="3"/>
      <c r="I48" s="3"/>
      <c r="J48" s="5"/>
    </row>
    <row r="49" spans="3:10" x14ac:dyDescent="0.2">
      <c r="C49" s="29"/>
      <c r="D49" s="29"/>
      <c r="E49" s="29"/>
      <c r="F49" s="29"/>
      <c r="G49" s="29"/>
      <c r="H49" s="3"/>
      <c r="I49" s="3"/>
      <c r="J49" s="5"/>
    </row>
    <row r="50" spans="3:10" x14ac:dyDescent="0.2">
      <c r="C50" s="29"/>
      <c r="D50" s="29"/>
      <c r="E50" s="29"/>
      <c r="F50" s="29"/>
      <c r="G50" s="29"/>
      <c r="H50" s="3"/>
      <c r="I50" s="3"/>
      <c r="J50" s="5"/>
    </row>
    <row r="51" spans="3:10" x14ac:dyDescent="0.2">
      <c r="C51" s="29"/>
      <c r="D51" s="29"/>
      <c r="E51" s="29"/>
      <c r="F51" s="29"/>
      <c r="G51" s="29"/>
      <c r="H51" s="3"/>
      <c r="I51" s="3"/>
      <c r="J51" s="5"/>
    </row>
    <row r="52" spans="3:10" x14ac:dyDescent="0.2">
      <c r="C52" s="29"/>
      <c r="D52" s="29"/>
      <c r="E52" s="29"/>
      <c r="F52" s="29"/>
      <c r="G52" s="29"/>
      <c r="H52" s="3"/>
      <c r="I52" s="3"/>
      <c r="J5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E3" sqref="E3"/>
    </sheetView>
  </sheetViews>
  <sheetFormatPr defaultRowHeight="12.75" x14ac:dyDescent="0.2"/>
  <sheetData>
    <row r="1" spans="1:13" ht="18" x14ac:dyDescent="0.25">
      <c r="B1" s="30" t="str">
        <f>Exp!B1</f>
        <v>Cyclohexane</v>
      </c>
      <c r="M1" t="s">
        <v>43</v>
      </c>
    </row>
    <row r="2" spans="1:13" ht="14.25" x14ac:dyDescent="0.2">
      <c r="D2" s="1" t="s">
        <v>33</v>
      </c>
      <c r="E2">
        <v>142.4</v>
      </c>
      <c r="F2" t="s">
        <v>48</v>
      </c>
      <c r="G2" t="s">
        <v>53</v>
      </c>
      <c r="M2" t="s">
        <v>44</v>
      </c>
    </row>
    <row r="3" spans="1:13" ht="14.25" x14ac:dyDescent="0.2">
      <c r="A3">
        <f>[2]Exp!A3</f>
        <v>1</v>
      </c>
      <c r="D3" s="1" t="s">
        <v>33</v>
      </c>
      <c r="E3">
        <f>1.5*E2</f>
        <v>213.60000000000002</v>
      </c>
      <c r="F3" t="s">
        <v>48</v>
      </c>
      <c r="G3" s="26" t="s">
        <v>28</v>
      </c>
      <c r="H3" s="27">
        <f>22.4142*101.325/273.16</f>
        <v>8.3142437216283493</v>
      </c>
      <c r="I3" s="27" t="s">
        <v>29</v>
      </c>
      <c r="M3" t="s">
        <v>45</v>
      </c>
    </row>
    <row r="4" spans="1:13" ht="14.25" x14ac:dyDescent="0.2">
      <c r="A4">
        <f>[2]Exp!A4</f>
        <v>2</v>
      </c>
      <c r="D4" s="31" t="s">
        <v>46</v>
      </c>
      <c r="E4">
        <v>-8.1836083303272957</v>
      </c>
      <c r="F4" t="s">
        <v>49</v>
      </c>
      <c r="G4" s="26" t="s">
        <v>28</v>
      </c>
      <c r="H4" s="27">
        <v>82.056826000000001</v>
      </c>
      <c r="I4" s="27" t="s">
        <v>37</v>
      </c>
      <c r="M4" t="s">
        <v>52</v>
      </c>
    </row>
    <row r="5" spans="1:13" ht="14.25" x14ac:dyDescent="0.2">
      <c r="A5">
        <f>[2]Exp!A5</f>
        <v>3</v>
      </c>
      <c r="D5" s="31" t="s">
        <v>47</v>
      </c>
      <c r="E5">
        <v>-4.8991193483430812E-2</v>
      </c>
      <c r="F5" t="s">
        <v>50</v>
      </c>
      <c r="G5" s="26" t="s">
        <v>28</v>
      </c>
      <c r="H5" s="28">
        <f>22414.2*760/273.15</f>
        <v>62364.23942888523</v>
      </c>
      <c r="I5" s="27" t="s">
        <v>38</v>
      </c>
    </row>
    <row r="6" spans="1:13" x14ac:dyDescent="0.2">
      <c r="A6">
        <f>[2]Exp!A6</f>
        <v>4</v>
      </c>
    </row>
    <row r="9" spans="1:13" ht="14.25" x14ac:dyDescent="0.2">
      <c r="D9" t="s">
        <v>54</v>
      </c>
    </row>
    <row r="12" spans="1:13" x14ac:dyDescent="0.2">
      <c r="A12" t="str">
        <f>[2]Exp!A12</f>
        <v>T, oC</v>
      </c>
      <c r="B12" t="str">
        <f>[2]Exp!B12</f>
        <v>T, K</v>
      </c>
      <c r="C12" t="str">
        <f>[2]Exp!C12</f>
        <v>B, cm3/mol</v>
      </c>
      <c r="D12" s="32" t="s">
        <v>51</v>
      </c>
      <c r="E12" s="21" t="s">
        <v>23</v>
      </c>
      <c r="H12" t="str">
        <f>[2]Exp!H12</f>
        <v>B, cm3/mol</v>
      </c>
      <c r="I12" s="21" t="str">
        <f>[2]Exp!I12</f>
        <v>Error:</v>
      </c>
      <c r="J12" s="21"/>
    </row>
    <row r="13" spans="1:13" x14ac:dyDescent="0.2">
      <c r="G13" t="str">
        <f>[2]Exp!G13</f>
        <v>Smoothed</v>
      </c>
      <c r="H13" t="str">
        <f>[2]Exp!H13</f>
        <v>Predicted</v>
      </c>
      <c r="I13" s="5">
        <f>AVERAGE(I14:I35)</f>
        <v>-3.6813095251863435</v>
      </c>
      <c r="J13" s="5"/>
    </row>
    <row r="14" spans="1:13" x14ac:dyDescent="0.2">
      <c r="A14">
        <f>Exp!A14</f>
        <v>22.050000000000011</v>
      </c>
      <c r="B14">
        <f>Exp!B14</f>
        <v>295.2</v>
      </c>
      <c r="D14" s="5">
        <f>1000*(-$E$4/B14+$E$5)/$H$3</f>
        <v>-2.5581332174103197</v>
      </c>
      <c r="E14" s="5">
        <f>EXP(D14)</f>
        <v>7.7449186369481102E-2</v>
      </c>
      <c r="G14" s="34">
        <f>Exp!H14</f>
        <v>-1631</v>
      </c>
      <c r="H14" s="3">
        <f>$E$3-$H$5*B14*E14/760</f>
        <v>-1662.4968350058848</v>
      </c>
      <c r="I14" s="33">
        <f>100*ABS(G14-H14)/G14</f>
        <v>-1.9311364197354264</v>
      </c>
      <c r="J14" s="33"/>
    </row>
    <row r="15" spans="1:13" x14ac:dyDescent="0.2">
      <c r="A15">
        <f>Exp!A15</f>
        <v>35.050000000000011</v>
      </c>
      <c r="B15">
        <f>Exp!B15</f>
        <v>308.2</v>
      </c>
      <c r="D15" s="5">
        <f t="shared" ref="D15:D32" si="0">1000*(-$E$4/B15+$E$5)/$H$3</f>
        <v>-2.6987756758751216</v>
      </c>
      <c r="E15" s="5">
        <f t="shared" ref="E15:E40" si="1">EXP(D15)</f>
        <v>6.728784446039339E-2</v>
      </c>
      <c r="G15" s="34">
        <f>Exp!H15</f>
        <v>-1519</v>
      </c>
      <c r="H15" s="3">
        <f t="shared" ref="H15:H32" si="2">$E$3-$H$5*B15*E15/760</f>
        <v>-1488.1324812679441</v>
      </c>
      <c r="I15" s="33">
        <f t="shared" ref="I15:I32" si="3">100*ABS(G15-H15)/G15</f>
        <v>-2.0320947157377183</v>
      </c>
      <c r="J15" s="33"/>
    </row>
    <row r="16" spans="1:13" x14ac:dyDescent="0.2">
      <c r="A16">
        <f>Exp!A16</f>
        <v>35.050000000000011</v>
      </c>
      <c r="B16">
        <f>Exp!B16</f>
        <v>308.2</v>
      </c>
      <c r="D16" s="5">
        <f t="shared" si="0"/>
        <v>-2.6987756758751216</v>
      </c>
      <c r="E16" s="5">
        <f t="shared" si="1"/>
        <v>6.728784446039339E-2</v>
      </c>
      <c r="G16" s="34">
        <f>Exp!H16</f>
        <v>-1457</v>
      </c>
      <c r="H16" s="3">
        <f t="shared" si="2"/>
        <v>-1488.1324812679441</v>
      </c>
      <c r="I16" s="33">
        <f t="shared" si="3"/>
        <v>-2.1367523176351448</v>
      </c>
      <c r="J16" s="33"/>
    </row>
    <row r="17" spans="1:10" x14ac:dyDescent="0.2">
      <c r="A17">
        <f>Exp!A17</f>
        <v>42.010000000000048</v>
      </c>
      <c r="B17">
        <f>Exp!B17</f>
        <v>315.16000000000003</v>
      </c>
      <c r="D17" s="5">
        <f t="shared" si="0"/>
        <v>-2.7693046550559322</v>
      </c>
      <c r="E17" s="5">
        <f t="shared" si="1"/>
        <v>6.2705591602531058E-2</v>
      </c>
      <c r="G17" s="34">
        <f>Exp!H17</f>
        <v>-1518</v>
      </c>
      <c r="H17" s="3">
        <f t="shared" si="2"/>
        <v>-1408.0584871539627</v>
      </c>
      <c r="I17" s="33">
        <f t="shared" si="3"/>
        <v>-7.2425239029010084</v>
      </c>
      <c r="J17" s="33"/>
    </row>
    <row r="18" spans="1:10" x14ac:dyDescent="0.2">
      <c r="A18">
        <f>Exp!A18</f>
        <v>47.010000000000048</v>
      </c>
      <c r="B18">
        <f>Exp!B18</f>
        <v>320.16000000000003</v>
      </c>
      <c r="D18" s="5">
        <f t="shared" si="0"/>
        <v>-2.8180792785728501</v>
      </c>
      <c r="E18" s="5">
        <f t="shared" si="1"/>
        <v>5.9720539138964711E-2</v>
      </c>
      <c r="G18" s="34">
        <f>Exp!H18</f>
        <v>-1435</v>
      </c>
      <c r="H18" s="3">
        <f t="shared" si="2"/>
        <v>-1355.3634588148839</v>
      </c>
      <c r="I18" s="33">
        <f t="shared" si="3"/>
        <v>-5.5495847515760373</v>
      </c>
      <c r="J18" s="33"/>
    </row>
    <row r="19" spans="1:10" x14ac:dyDescent="0.2">
      <c r="A19">
        <f>Exp!A19</f>
        <v>50.010000000000048</v>
      </c>
      <c r="B19">
        <f>Exp!B19</f>
        <v>323.16000000000003</v>
      </c>
      <c r="D19" s="5">
        <f t="shared" si="0"/>
        <v>-2.8466195874246729</v>
      </c>
      <c r="E19" s="5">
        <f t="shared" si="1"/>
        <v>5.804018941625641E-2</v>
      </c>
      <c r="G19" s="34">
        <f>Exp!H19</f>
        <v>-1382</v>
      </c>
      <c r="H19" s="3">
        <f t="shared" si="2"/>
        <v>-1325.5057422787963</v>
      </c>
      <c r="I19" s="33">
        <f t="shared" si="3"/>
        <v>-4.0878623531985285</v>
      </c>
      <c r="J19" s="33"/>
    </row>
    <row r="20" spans="1:10" x14ac:dyDescent="0.2">
      <c r="A20">
        <f>Exp!A20</f>
        <v>50.050000000000011</v>
      </c>
      <c r="B20">
        <f>Exp!B20</f>
        <v>323.2</v>
      </c>
      <c r="D20" s="5">
        <f t="shared" si="0"/>
        <v>-2.8469965455633695</v>
      </c>
      <c r="E20" s="5">
        <f t="shared" si="1"/>
        <v>5.8018314817647479E-2</v>
      </c>
      <c r="G20" s="34">
        <f>Exp!H20</f>
        <v>-1309</v>
      </c>
      <c r="H20" s="3">
        <f t="shared" si="2"/>
        <v>-1325.1161083426059</v>
      </c>
      <c r="I20" s="33">
        <f t="shared" si="3"/>
        <v>-1.2311771079148901</v>
      </c>
      <c r="J20" s="33"/>
    </row>
    <row r="21" spans="1:10" x14ac:dyDescent="0.2">
      <c r="A21">
        <f>Exp!A21</f>
        <v>51.150000000000034</v>
      </c>
      <c r="B21">
        <f>Exp!B21</f>
        <v>324.3</v>
      </c>
      <c r="D21" s="5">
        <f t="shared" si="0"/>
        <v>-2.8573264539284038</v>
      </c>
      <c r="E21" s="5">
        <f t="shared" si="1"/>
        <v>5.7422075791238092E-2</v>
      </c>
      <c r="G21" s="34">
        <f>Exp!H21</f>
        <v>-1292</v>
      </c>
      <c r="H21" s="3">
        <f t="shared" si="2"/>
        <v>-1314.4862739013361</v>
      </c>
      <c r="I21" s="33">
        <f t="shared" si="3"/>
        <v>-1.7404236765739987</v>
      </c>
      <c r="J21" s="33"/>
    </row>
    <row r="22" spans="1:10" x14ac:dyDescent="0.2">
      <c r="A22">
        <f>Exp!A22</f>
        <v>55.010000000000048</v>
      </c>
      <c r="B22">
        <f>Exp!B22</f>
        <v>328.16</v>
      </c>
      <c r="D22" s="5">
        <f t="shared" si="0"/>
        <v>-2.8930271593509675</v>
      </c>
      <c r="E22" s="5">
        <f t="shared" si="1"/>
        <v>5.540822894472789E-2</v>
      </c>
      <c r="G22" s="34">
        <f>Exp!H22</f>
        <v>-1355</v>
      </c>
      <c r="H22" s="3">
        <f t="shared" si="2"/>
        <v>-1278.445096283624</v>
      </c>
      <c r="I22" s="33">
        <f t="shared" si="3"/>
        <v>-5.6498083923524707</v>
      </c>
      <c r="J22" s="33"/>
    </row>
    <row r="23" spans="1:10" x14ac:dyDescent="0.2">
      <c r="A23">
        <f>Exp!A23</f>
        <v>58.010000000000048</v>
      </c>
      <c r="B23">
        <f>Exp!B23</f>
        <v>331.16</v>
      </c>
      <c r="D23" s="5">
        <f t="shared" si="0"/>
        <v>-2.9201990477620705</v>
      </c>
      <c r="E23" s="5">
        <f t="shared" si="1"/>
        <v>5.3922952988954442E-2</v>
      </c>
      <c r="G23" s="34">
        <f>Exp!H23</f>
        <v>-1301</v>
      </c>
      <c r="H23" s="3">
        <f t="shared" si="2"/>
        <v>-1251.7237184016262</v>
      </c>
      <c r="I23" s="33">
        <f t="shared" si="3"/>
        <v>-3.7875696847328033</v>
      </c>
      <c r="J23" s="33"/>
    </row>
    <row r="24" spans="1:10" x14ac:dyDescent="0.2">
      <c r="A24">
        <f>Exp!A24</f>
        <v>58.050000000000011</v>
      </c>
      <c r="B24">
        <f>Exp!B24</f>
        <v>331.2</v>
      </c>
      <c r="D24" s="5">
        <f t="shared" si="0"/>
        <v>-2.9205580142234626</v>
      </c>
      <c r="E24" s="5">
        <f t="shared" si="1"/>
        <v>5.3903599931089348E-2</v>
      </c>
      <c r="G24" s="34">
        <f>Exp!H24</f>
        <v>-1250</v>
      </c>
      <c r="H24" s="3">
        <f t="shared" si="2"/>
        <v>-1251.3747400453231</v>
      </c>
      <c r="I24" s="33">
        <f t="shared" si="3"/>
        <v>-0.1099792036258441</v>
      </c>
      <c r="J24" s="33"/>
    </row>
    <row r="25" spans="1:10" x14ac:dyDescent="0.2">
      <c r="A25">
        <f>Exp!A25</f>
        <v>60.010000000000048</v>
      </c>
      <c r="B25">
        <f>Exp!B25</f>
        <v>333.16</v>
      </c>
      <c r="D25" s="5">
        <f t="shared" si="0"/>
        <v>-2.9380417797846974</v>
      </c>
      <c r="E25" s="5">
        <f t="shared" si="1"/>
        <v>5.2969352903416589E-2</v>
      </c>
      <c r="G25" s="34">
        <f>Exp!H25</f>
        <v>-1268</v>
      </c>
      <c r="H25" s="3">
        <f t="shared" si="2"/>
        <v>-1234.5033518816763</v>
      </c>
      <c r="I25" s="33">
        <f t="shared" si="3"/>
        <v>-2.6416914919813657</v>
      </c>
      <c r="J25" s="33"/>
    </row>
    <row r="26" spans="1:10" x14ac:dyDescent="0.2">
      <c r="A26">
        <f>Exp!A26</f>
        <v>61.050000000000011</v>
      </c>
      <c r="B26">
        <f>Exp!B26</f>
        <v>334.2</v>
      </c>
      <c r="D26" s="5">
        <f t="shared" si="0"/>
        <v>-2.9472356024987567</v>
      </c>
      <c r="E26" s="5">
        <f t="shared" si="1"/>
        <v>5.2484593872411389E-2</v>
      </c>
      <c r="G26" s="34">
        <f>Exp!H26</f>
        <v>-1270</v>
      </c>
      <c r="H26" s="3">
        <f t="shared" si="2"/>
        <v>-1225.7298242154352</v>
      </c>
      <c r="I26" s="33">
        <f t="shared" si="3"/>
        <v>-3.4858406129578583</v>
      </c>
      <c r="J26" s="33"/>
    </row>
    <row r="27" spans="1:10" x14ac:dyDescent="0.2">
      <c r="A27">
        <f>Exp!A27</f>
        <v>64.350000000000023</v>
      </c>
      <c r="B27">
        <f>Exp!B27</f>
        <v>337.5</v>
      </c>
      <c r="D27" s="5">
        <f t="shared" si="0"/>
        <v>-2.9760331697889941</v>
      </c>
      <c r="E27" s="5">
        <f t="shared" si="1"/>
        <v>5.0994720573186846E-2</v>
      </c>
      <c r="G27" s="34">
        <f>Exp!H27</f>
        <v>-1120</v>
      </c>
      <c r="H27" s="3">
        <f t="shared" si="2"/>
        <v>-1198.6807238939759</v>
      </c>
      <c r="I27" s="33">
        <f t="shared" si="3"/>
        <v>-7.0250646333907083</v>
      </c>
      <c r="J27" s="33"/>
    </row>
    <row r="28" spans="1:10" x14ac:dyDescent="0.2">
      <c r="A28">
        <f>Exp!A28</f>
        <v>65.010000000000048</v>
      </c>
      <c r="B28">
        <f>Exp!B28</f>
        <v>338.16</v>
      </c>
      <c r="D28" s="5">
        <f t="shared" si="0"/>
        <v>-2.9817252368509757</v>
      </c>
      <c r="E28" s="5">
        <f t="shared" si="1"/>
        <v>5.0705279743664143E-2</v>
      </c>
      <c r="G28" s="34">
        <f>Exp!H28</f>
        <v>-1236</v>
      </c>
      <c r="H28" s="3">
        <f t="shared" si="2"/>
        <v>-1193.4108803986255</v>
      </c>
      <c r="I28" s="33">
        <f t="shared" si="3"/>
        <v>-3.4457216505966404</v>
      </c>
      <c r="J28" s="33"/>
    </row>
    <row r="29" spans="1:10" x14ac:dyDescent="0.2">
      <c r="A29">
        <f>Exp!A29</f>
        <v>68.450000000000045</v>
      </c>
      <c r="B29">
        <f>Exp!B29</f>
        <v>341.6</v>
      </c>
      <c r="D29" s="5">
        <f t="shared" si="0"/>
        <v>-3.0110368979243551</v>
      </c>
      <c r="E29" s="5">
        <f t="shared" si="1"/>
        <v>4.9240594810065465E-2</v>
      </c>
      <c r="G29" s="34">
        <f>Exp!H29</f>
        <v>-1140</v>
      </c>
      <c r="H29" s="3">
        <f t="shared" si="2"/>
        <v>-1166.6672719366957</v>
      </c>
      <c r="I29" s="33">
        <f t="shared" si="3"/>
        <v>-2.3392343804119009</v>
      </c>
      <c r="J29" s="33"/>
    </row>
    <row r="30" spans="1:10" x14ac:dyDescent="0.2">
      <c r="A30">
        <f>Exp!A30</f>
        <v>70.010000000000048</v>
      </c>
      <c r="B30">
        <f>Exp!B30</f>
        <v>343.16</v>
      </c>
      <c r="D30" s="5">
        <f t="shared" si="0"/>
        <v>-3.0241357175486132</v>
      </c>
      <c r="E30" s="5">
        <f t="shared" si="1"/>
        <v>4.8599807083998768E-2</v>
      </c>
      <c r="G30" s="34">
        <f>Exp!H30</f>
        <v>-1180</v>
      </c>
      <c r="H30" s="3">
        <f t="shared" si="2"/>
        <v>-1154.9265976039296</v>
      </c>
      <c r="I30" s="33">
        <f t="shared" si="3"/>
        <v>-2.1248646098364725</v>
      </c>
      <c r="J30" s="33"/>
    </row>
    <row r="31" spans="1:10" x14ac:dyDescent="0.2">
      <c r="A31">
        <f>Exp!A31</f>
        <v>70.050000000000011</v>
      </c>
      <c r="B31">
        <f>Exp!B31</f>
        <v>343.2</v>
      </c>
      <c r="D31" s="5">
        <f t="shared" si="0"/>
        <v>-3.0244700189041538</v>
      </c>
      <c r="E31" s="5">
        <f t="shared" si="1"/>
        <v>4.8583562818002933E-2</v>
      </c>
      <c r="G31" s="34">
        <f>Exp!H31</f>
        <v>-1121</v>
      </c>
      <c r="H31" s="3">
        <f t="shared" si="2"/>
        <v>-1154.6286409777945</v>
      </c>
      <c r="I31" s="33">
        <f t="shared" si="3"/>
        <v>-2.9998787669754217</v>
      </c>
      <c r="J31" s="33"/>
    </row>
    <row r="32" spans="1:10" x14ac:dyDescent="0.2">
      <c r="A32">
        <f>Exp!A32</f>
        <v>70.850000000000023</v>
      </c>
      <c r="B32">
        <f>Exp!B32</f>
        <v>344</v>
      </c>
      <c r="D32" s="5">
        <f t="shared" si="0"/>
        <v>-3.0311397196697052</v>
      </c>
      <c r="E32" s="5">
        <f t="shared" si="1"/>
        <v>4.8260603211086051E-2</v>
      </c>
      <c r="G32" s="34">
        <f>Exp!H32</f>
        <v>-1080</v>
      </c>
      <c r="H32" s="3">
        <f t="shared" si="2"/>
        <v>-1148.701473541681</v>
      </c>
      <c r="I32" s="33">
        <f t="shared" si="3"/>
        <v>-6.3612475501556505</v>
      </c>
      <c r="J32" s="33"/>
    </row>
    <row r="33" spans="1:10" x14ac:dyDescent="0.2">
      <c r="A33">
        <f>Exp!A33</f>
        <v>75.010000000000048</v>
      </c>
      <c r="B33">
        <f>Exp!B33</f>
        <v>348.16</v>
      </c>
      <c r="D33" s="5">
        <f t="shared" ref="D33:D40" si="4">1000*(-$E$4/B33+$E$5)/$H$3</f>
        <v>-3.0653280663328304</v>
      </c>
      <c r="E33" s="5">
        <f t="shared" si="1"/>
        <v>4.6638538820002795E-2</v>
      </c>
      <c r="G33" s="34">
        <f>Exp!H33</f>
        <v>-1171</v>
      </c>
      <c r="H33" s="3">
        <f t="shared" ref="H33:H40" si="5">$E$3-$H$5*B33*E33/760</f>
        <v>-1118.8344327256445</v>
      </c>
      <c r="I33" s="33">
        <f t="shared" ref="I33:I40" si="6">100*ABS(G33-H33)/G33</f>
        <v>-4.4547879824385532</v>
      </c>
      <c r="J33" s="33"/>
    </row>
    <row r="34" spans="1:10" x14ac:dyDescent="0.2">
      <c r="A34">
        <f>Exp!A34</f>
        <v>77.75</v>
      </c>
      <c r="B34">
        <f>Exp!B34</f>
        <v>350.9</v>
      </c>
      <c r="D34" s="5">
        <f t="shared" si="4"/>
        <v>-3.0874035590430546</v>
      </c>
      <c r="E34" s="5">
        <f t="shared" si="1"/>
        <v>4.5620251051329962E-2</v>
      </c>
      <c r="G34" s="34">
        <f>Exp!H34</f>
        <v>-1100</v>
      </c>
      <c r="H34" s="3">
        <f t="shared" si="5"/>
        <v>-1099.9998102806339</v>
      </c>
      <c r="I34" s="33">
        <f t="shared" si="6"/>
        <v>-1.7247215096590068E-5</v>
      </c>
      <c r="J34" s="33"/>
    </row>
    <row r="35" spans="1:10" x14ac:dyDescent="0.2">
      <c r="A35">
        <f>Exp!A35</f>
        <v>89.050000000000011</v>
      </c>
      <c r="B35">
        <f>Exp!B35</f>
        <v>362.2</v>
      </c>
      <c r="D35" s="5">
        <f t="shared" si="4"/>
        <v>-3.1749157816168943</v>
      </c>
      <c r="E35" s="5">
        <f t="shared" si="1"/>
        <v>4.1797624065010731E-2</v>
      </c>
      <c r="G35" s="34">
        <f>Exp!H35</f>
        <v>-930</v>
      </c>
      <c r="H35" s="3">
        <f t="shared" si="5"/>
        <v>-1028.687397350051</v>
      </c>
      <c r="I35" s="33">
        <f t="shared" si="6"/>
        <v>-10.611548102156023</v>
      </c>
      <c r="J35" s="33"/>
    </row>
    <row r="36" spans="1:10" x14ac:dyDescent="0.2">
      <c r="A36">
        <f>Exp!A36</f>
        <v>97.150000000000034</v>
      </c>
      <c r="B36">
        <f>Exp!B36</f>
        <v>370.3</v>
      </c>
      <c r="D36" s="5">
        <f t="shared" si="4"/>
        <v>-3.2343593600355875</v>
      </c>
      <c r="E36" s="5">
        <f t="shared" si="1"/>
        <v>3.9385428739222426E-2</v>
      </c>
      <c r="G36" s="34">
        <f>Exp!H36</f>
        <v>-840</v>
      </c>
      <c r="H36" s="3">
        <f t="shared" si="5"/>
        <v>-983.17174554759424</v>
      </c>
      <c r="I36" s="33">
        <f t="shared" si="6"/>
        <v>-17.044255422332647</v>
      </c>
      <c r="J36" s="33"/>
    </row>
    <row r="37" spans="1:10" x14ac:dyDescent="0.2">
      <c r="A37">
        <f>Exp!A37</f>
        <v>100.05000000000001</v>
      </c>
      <c r="B37">
        <f>Exp!B37</f>
        <v>373.2</v>
      </c>
      <c r="D37" s="5">
        <f t="shared" si="4"/>
        <v>-3.2550143379706391</v>
      </c>
      <c r="E37" s="5">
        <f t="shared" si="1"/>
        <v>3.8580267496665786E-2</v>
      </c>
      <c r="G37" s="34">
        <f>Exp!H37</f>
        <v>-910</v>
      </c>
      <c r="H37" s="3">
        <f t="shared" si="5"/>
        <v>-967.88689144905572</v>
      </c>
      <c r="I37" s="33">
        <f t="shared" si="6"/>
        <v>-6.3611968625335962</v>
      </c>
      <c r="J37" s="33"/>
    </row>
    <row r="38" spans="1:10" x14ac:dyDescent="0.2">
      <c r="A38">
        <f>Exp!A38</f>
        <v>107.25</v>
      </c>
      <c r="B38">
        <f>Exp!B38</f>
        <v>380.4</v>
      </c>
      <c r="D38" s="5">
        <f t="shared" si="4"/>
        <v>-3.3049340921054133</v>
      </c>
      <c r="E38" s="5">
        <f t="shared" si="1"/>
        <v>3.670163068388136E-2</v>
      </c>
      <c r="G38" s="34">
        <f>Exp!H38</f>
        <v>-900</v>
      </c>
      <c r="H38" s="3">
        <f t="shared" si="5"/>
        <v>-932.03930974394382</v>
      </c>
      <c r="I38" s="33">
        <f t="shared" si="6"/>
        <v>-3.5599233048826466</v>
      </c>
      <c r="J38" s="33"/>
    </row>
    <row r="39" spans="1:10" x14ac:dyDescent="0.2">
      <c r="A39">
        <f>Exp!A39</f>
        <v>120.25</v>
      </c>
      <c r="B39">
        <f>Exp!B39</f>
        <v>393.4</v>
      </c>
      <c r="D39" s="5">
        <f t="shared" si="4"/>
        <v>-3.3904389073769328</v>
      </c>
      <c r="E39" s="5">
        <f t="shared" si="1"/>
        <v>3.369388515895403E-2</v>
      </c>
      <c r="G39" s="34">
        <f>Exp!H39</f>
        <v>-750</v>
      </c>
      <c r="H39" s="3">
        <f t="shared" si="5"/>
        <v>-874.09588328432767</v>
      </c>
      <c r="I39" s="33">
        <f t="shared" si="6"/>
        <v>-16.54611777124369</v>
      </c>
      <c r="J39" s="33"/>
    </row>
    <row r="40" spans="1:10" x14ac:dyDescent="0.2">
      <c r="A40">
        <f>Exp!A40</f>
        <v>131.05000000000001</v>
      </c>
      <c r="B40">
        <f>Exp!B40</f>
        <v>404.2</v>
      </c>
      <c r="D40" s="5">
        <f t="shared" si="4"/>
        <v>-3.457291026030358</v>
      </c>
      <c r="E40" s="5">
        <f t="shared" si="1"/>
        <v>3.1515019854037284E-2</v>
      </c>
      <c r="G40" s="34">
        <f>Exp!H40</f>
        <v>-800</v>
      </c>
      <c r="H40" s="3">
        <f t="shared" si="5"/>
        <v>-831.68792175946135</v>
      </c>
      <c r="I40" s="33">
        <f t="shared" si="6"/>
        <v>-3.9609902199326683</v>
      </c>
      <c r="J40" s="34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</vt:lpstr>
      <vt:lpstr>Pred</vt:lpstr>
      <vt:lpstr>Sheet3</vt:lpstr>
    </vt:vector>
  </TitlesOfParts>
  <Company>Xyris Technology 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Focke</dc:creator>
  <cp:lastModifiedBy>User</cp:lastModifiedBy>
  <dcterms:created xsi:type="dcterms:W3CDTF">2002-09-22T07:23:23Z</dcterms:created>
  <dcterms:modified xsi:type="dcterms:W3CDTF">2015-04-19T10:14:44Z</dcterms:modified>
</cp:coreProperties>
</file>