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9.vml" ContentType="application/vnd.openxmlformats-officedocument.vmlDrawing"/>
  <Override PartName="/xl/drawings/vmlDrawing16.vml" ContentType="application/vnd.openxmlformats-officedocument.vmlDrawing"/>
  <Override PartName="/xl/drawings/vmlDrawing15.vml" ContentType="application/vnd.openxmlformats-officedocument.vmlDrawing"/>
  <Override PartName="/xl/drawings/vmlDrawing14.vml" ContentType="application/vnd.openxmlformats-officedocument.vmlDrawing"/>
  <Override PartName="/xl/drawings/vmlDrawing13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drawings/vmlDrawing12.vml" ContentType="application/vnd.openxmlformats-officedocument.vmlDrawing"/>
  <Override PartName="/xl/sharedStrings.xml" ContentType="application/vnd.openxmlformats-officedocument.spreadsheetml.sharedStrings+xml"/>
  <Override PartName="/xl/worksheets/_rels/sheet1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harts/chart5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Zestawienie" sheetId="1" state="visible" r:id="rId2"/>
    <sheet name="2018.I" sheetId="2" state="visible" r:id="rId3"/>
    <sheet name="2018.II" sheetId="3" state="visible" r:id="rId4"/>
    <sheet name="2018.III" sheetId="4" state="visible" r:id="rId5"/>
    <sheet name="2018.IV" sheetId="5" state="visible" r:id="rId6"/>
    <sheet name="2018.V" sheetId="6" state="visible" r:id="rId7"/>
    <sheet name="2018.VI" sheetId="7" state="visible" r:id="rId8"/>
    <sheet name="2018.VII" sheetId="8" state="visible" r:id="rId9"/>
    <sheet name="2018.VIII" sheetId="9" state="visible" r:id="rId10"/>
    <sheet name="2018.IX" sheetId="10" state="visible" r:id="rId11"/>
    <sheet name="2018.X" sheetId="11" state="visible" r:id="rId12"/>
    <sheet name="2018.XI" sheetId="12" state="visible" r:id="rId13"/>
    <sheet name="2018.XII" sheetId="13" state="visible" r:id="rId14"/>
    <sheet name="2019.I" sheetId="14" state="visible" r:id="rId15"/>
    <sheet name="2019.II" sheetId="15" state="visible" r:id="rId16"/>
    <sheet name="2019.III" sheetId="16" state="visible" r:id="rId17"/>
    <sheet name="2019.IV" sheetId="17" state="visible" r:id="rId18"/>
    <sheet name="2019.V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Gimbal+folia na telefon
</t>
        </r>
      </text>
    </comment>
    <comment ref="O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Wczasy</t>
        </r>
      </text>
    </comment>
    <comment ref="P36" authorId="0">
      <text>
        <r>
          <rPr>
            <sz val="11"/>
            <color rgb="FF000000"/>
            <rFont val="Calibri"/>
            <family val="0"/>
            <charset val="1"/>
          </rPr>
          <t xml:space="preserve">Oczyszczacz
</t>
        </r>
      </text>
    </comment>
    <comment ref="T1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Osłona silnik</t>
        </r>
      </text>
    </comment>
    <comment ref="T1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Wycieraczki</t>
        </r>
      </text>
    </comment>
    <comment ref="T1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Lampki</t>
        </r>
      </text>
    </comment>
    <comment ref="T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Wahacz+Przegląd+Nurauto wyjazd</t>
        </r>
      </text>
    </comment>
    <comment ref="W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Krzyś ciecko</t>
        </r>
      </text>
    </comment>
    <comment ref="Z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Garaż
</t>
        </r>
      </text>
    </comment>
    <comment ref="Z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Fryzjer+ubezpieczenie skoda na wyjazd+ubezpieczenie na wyjazd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25" authorId="0">
      <text>
        <r>
          <rPr>
            <sz val="11"/>
            <color rgb="FF000000"/>
            <rFont val="Calibri"/>
            <family val="0"/>
            <charset val="1"/>
          </rPr>
          <t xml:space="preserve">Karcher okna</t>
        </r>
      </text>
    </comment>
    <comment ref="O26" authorId="0">
      <text>
        <r>
          <rPr>
            <sz val="11"/>
            <color rgb="FF000000"/>
            <rFont val="Calibri"/>
            <family val="0"/>
            <charset val="1"/>
          </rPr>
          <t xml:space="preserve">Bilety Kayah</t>
        </r>
      </text>
    </comment>
    <comment ref="W15" authorId="0">
      <text>
        <r>
          <rPr>
            <sz val="11"/>
            <color rgb="FF000000"/>
            <rFont val="Calibri"/>
            <family val="0"/>
            <charset val="1"/>
          </rPr>
          <t xml:space="preserve">Prezent rodzice</t>
        </r>
      </text>
    </comment>
    <comment ref="W28" authorId="0">
      <text>
        <r>
          <rPr>
            <sz val="11"/>
            <color rgb="FF000000"/>
            <rFont val="Calibri"/>
            <family val="0"/>
            <charset val="1"/>
          </rPr>
          <t xml:space="preserve">Prezemt Chrzciny</t>
        </r>
      </text>
    </comment>
    <comment ref="W30" authorId="0">
      <text>
        <r>
          <rPr>
            <sz val="11"/>
            <color rgb="FF000000"/>
            <rFont val="Calibri"/>
            <family val="0"/>
            <charset val="1"/>
          </rPr>
          <t xml:space="preserve">Zdjecia dla rodzicow</t>
        </r>
      </text>
    </comment>
    <comment ref="Z25" authorId="0">
      <text>
        <r>
          <rPr>
            <sz val="11"/>
            <color rgb="FF000000"/>
            <rFont val="Calibri"/>
            <family val="0"/>
            <charset val="1"/>
          </rPr>
          <t xml:space="preserve">Wyrownanie Barket fotograf</t>
        </r>
      </text>
    </comment>
    <comment ref="Z39" authorId="0">
      <text>
        <r>
          <rPr>
            <sz val="11"/>
            <color rgb="FF000000"/>
            <rFont val="Calibri"/>
            <family val="0"/>
            <charset val="1"/>
          </rPr>
          <t xml:space="preserve">Herbaty czajnikl</t>
        </r>
      </text>
    </comment>
    <comment ref="AA9" authorId="0">
      <text>
        <r>
          <rPr>
            <sz val="11"/>
            <color rgb="FF000000"/>
            <rFont val="Calibri"/>
            <family val="0"/>
            <charset val="1"/>
          </rPr>
          <t xml:space="preserve">Książki programowanie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1" authorId="0">
      <text>
        <r>
          <rPr>
            <sz val="11"/>
            <color rgb="FF000000"/>
            <rFont val="Calibri"/>
            <family val="0"/>
            <charset val="1"/>
          </rPr>
          <t xml:space="preserve">Waga xiaomi + coś</t>
        </r>
      </text>
    </comment>
    <comment ref="S18" authorId="0">
      <text>
        <r>
          <rPr>
            <sz val="11"/>
            <color rgb="FF000000"/>
            <rFont val="Calibri"/>
            <family val="0"/>
            <charset val="1"/>
          </rPr>
          <t xml:space="preserve">5.24/l</t>
        </r>
      </text>
    </comment>
    <comment ref="T16" authorId="0">
      <text>
        <r>
          <rPr>
            <sz val="11"/>
            <color rgb="FF000000"/>
            <rFont val="Calibri"/>
            <family val="0"/>
            <charset val="1"/>
          </rPr>
          <t xml:space="preserve">II rata OC skoda</t>
        </r>
      </text>
    </comment>
    <comment ref="T21" authorId="0">
      <text>
        <r>
          <rPr>
            <sz val="11"/>
            <color rgb="FF000000"/>
            <rFont val="Calibri"/>
            <family val="0"/>
            <charset val="1"/>
          </rPr>
          <t xml:space="preserve">Opony zimowe
</t>
        </r>
      </text>
    </comment>
    <comment ref="V24" authorId="0">
      <text>
        <r>
          <rPr>
            <sz val="11"/>
            <color rgb="FF000000"/>
            <rFont val="Calibri"/>
            <family val="0"/>
            <charset val="1"/>
          </rPr>
          <t xml:space="preserve">Dentysta, 110 zł’do zwrotu  dla Juśki</t>
        </r>
      </text>
    </comment>
    <comment ref="V31" authorId="0">
      <text>
        <r>
          <rPr>
            <sz val="11"/>
            <color rgb="FF000000"/>
            <rFont val="Calibri"/>
            <family val="0"/>
            <charset val="1"/>
          </rPr>
          <t xml:space="preserve">Ząb Adrian
</t>
        </r>
      </text>
    </comment>
    <comment ref="V36" authorId="0">
      <text>
        <r>
          <rPr>
            <sz val="11"/>
            <color rgb="FF000000"/>
            <rFont val="Calibri"/>
            <family val="0"/>
            <charset val="1"/>
          </rPr>
          <t xml:space="preserve">Hormony tarczycy+przeciwciala
</t>
        </r>
      </text>
    </comment>
    <comment ref="W18" authorId="0">
      <text>
        <r>
          <rPr>
            <sz val="11"/>
            <color rgb="FF000000"/>
            <rFont val="Calibri"/>
            <family val="0"/>
            <charset val="1"/>
          </rPr>
          <t xml:space="preserve">Wesele Mati</t>
        </r>
      </text>
    </comment>
    <comment ref="W30" authorId="0">
      <text>
        <r>
          <rPr>
            <sz val="11"/>
            <color rgb="FF000000"/>
            <rFont val="Calibri"/>
            <family val="0"/>
            <charset val="1"/>
          </rPr>
          <t xml:space="preserve">Julka
</t>
        </r>
      </text>
    </comment>
    <comment ref="Z14" authorId="0">
      <text>
        <r>
          <rPr>
            <sz val="11"/>
            <color rgb="FF000000"/>
            <rFont val="Calibri"/>
            <family val="0"/>
            <charset val="1"/>
          </rPr>
          <t xml:space="preserve">Dietetyczka</t>
        </r>
      </text>
    </comment>
    <comment ref="AB21" authorId="0">
      <text>
        <r>
          <rPr>
            <sz val="11"/>
            <color rgb="FF000000"/>
            <rFont val="Calibri"/>
            <family val="0"/>
            <charset val="1"/>
          </rPr>
          <t xml:space="preserve">Swetry Jusi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39" authorId="0">
      <text>
        <r>
          <rPr>
            <sz val="11"/>
            <color rgb="FF000000"/>
            <rFont val="Calibri"/>
            <family val="0"/>
            <charset val="1"/>
          </rPr>
          <t xml:space="preserve">Sylwester</t>
        </r>
      </text>
    </comment>
    <comment ref="Q18" authorId="0">
      <text>
        <r>
          <rPr>
            <sz val="11"/>
            <color rgb="FF000000"/>
            <rFont val="Calibri"/>
            <family val="0"/>
            <charset val="1"/>
          </rPr>
          <t xml:space="preserve">Kalendarz</t>
        </r>
      </text>
    </comment>
    <comment ref="W12" authorId="0">
      <text>
        <r>
          <rPr>
            <sz val="11"/>
            <color rgb="FF000000"/>
            <rFont val="Calibri"/>
            <family val="0"/>
            <charset val="1"/>
          </rPr>
          <t xml:space="preserve">Agatka
</t>
        </r>
      </text>
    </comment>
    <comment ref="W17" authorId="0">
      <text>
        <r>
          <rPr>
            <sz val="11"/>
            <color rgb="FF000000"/>
            <rFont val="Calibri"/>
            <family val="0"/>
            <charset val="1"/>
          </rPr>
          <t xml:space="preserve">Kamilek
</t>
        </r>
      </text>
    </comment>
    <comment ref="W18" authorId="0">
      <text>
        <r>
          <rPr>
            <sz val="11"/>
            <color rgb="FF000000"/>
            <rFont val="Calibri"/>
            <family val="0"/>
            <charset val="1"/>
          </rPr>
          <t xml:space="preserve">agatka</t>
        </r>
      </text>
    </comment>
    <comment ref="W19" authorId="0">
      <text>
        <r>
          <rPr>
            <sz val="11"/>
            <color rgb="FF000000"/>
            <rFont val="Calibri"/>
            <family val="0"/>
            <charset val="1"/>
          </rPr>
          <t xml:space="preserve">Jasiu
</t>
        </r>
      </text>
    </comment>
    <comment ref="W21" authorId="0">
      <text>
        <r>
          <rPr>
            <sz val="11"/>
            <color rgb="FF000000"/>
            <rFont val="Calibri"/>
            <family val="0"/>
            <charset val="1"/>
          </rPr>
          <t xml:space="preserve">Młynek rodzice
</t>
        </r>
      </text>
    </comment>
    <comment ref="W25" authorId="0">
      <text>
        <r>
          <rPr>
            <sz val="11"/>
            <color rgb="FF000000"/>
            <rFont val="Calibri"/>
            <family val="0"/>
            <charset val="1"/>
          </rPr>
          <t xml:space="preserve">koszulka</t>
        </r>
      </text>
    </comment>
    <comment ref="Z11" authorId="0">
      <text>
        <r>
          <rPr>
            <sz val="11"/>
            <color rgb="FF000000"/>
            <rFont val="Calibri"/>
            <family val="0"/>
            <charset val="1"/>
          </rPr>
          <t xml:space="preserve">Allegro Smart</t>
        </r>
      </text>
    </comment>
    <comment ref="Z12" authorId="0">
      <text>
        <r>
          <rPr>
            <sz val="11"/>
            <color rgb="FF000000"/>
            <rFont val="Calibri"/>
            <family val="0"/>
            <charset val="1"/>
          </rPr>
          <t xml:space="preserve">Dietetyczka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29" authorId="0">
      <text>
        <r>
          <rPr>
            <sz val="11"/>
            <color rgb="FF000000"/>
            <rFont val="Calibri"/>
            <family val="0"/>
            <charset val="1"/>
          </rPr>
          <t xml:space="preserve">Krem przeciw rozstępom 180zł</t>
        </r>
      </text>
    </comment>
    <comment ref="W15" authorId="0">
      <text>
        <r>
          <rPr>
            <sz val="11"/>
            <color rgb="FF000000"/>
            <rFont val="Calibri"/>
            <family val="0"/>
            <charset val="1"/>
          </rPr>
          <t xml:space="preserve">Dla Lenki od edyty</t>
        </r>
      </text>
    </comment>
    <comment ref="Z15" authorId="0">
      <text>
        <r>
          <rPr>
            <sz val="11"/>
            <color rgb="FF000000"/>
            <rFont val="Calibri"/>
            <family val="0"/>
            <charset val="1"/>
          </rPr>
          <t xml:space="preserve">Torba Jusi Nike</t>
        </r>
      </text>
    </comment>
    <comment ref="Z24" authorId="0">
      <text>
        <r>
          <rPr>
            <sz val="11"/>
            <color rgb="FF000000"/>
            <rFont val="Calibri"/>
            <family val="0"/>
            <charset val="1"/>
          </rPr>
          <t xml:space="preserve">Dietetyk</t>
        </r>
      </text>
    </comment>
    <comment ref="Z30" authorId="0">
      <text>
        <r>
          <rPr>
            <sz val="11"/>
            <color rgb="FF000000"/>
            <rFont val="Calibri"/>
            <family val="0"/>
            <charset val="1"/>
          </rPr>
          <t xml:space="preserve">Krawcowa</t>
        </r>
      </text>
    </comment>
    <comment ref="AC12" authorId="0">
      <text>
        <r>
          <rPr>
            <sz val="11"/>
            <color rgb="FF000000"/>
            <rFont val="Calibri"/>
            <family val="0"/>
            <charset val="1"/>
          </rPr>
          <t xml:space="preserve">Fotelik samochodowy</t>
        </r>
      </text>
    </comment>
    <comment ref="AC27" authorId="0">
      <text>
        <r>
          <rPr>
            <sz val="11"/>
            <color rgb="FF000000"/>
            <rFont val="Calibri"/>
            <family val="0"/>
            <charset val="1"/>
          </rPr>
          <t xml:space="preserve">Zaliczka wozek
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33" authorId="0">
      <text>
        <r>
          <rPr>
            <sz val="11"/>
            <color rgb="FF000000"/>
            <rFont val="Calibri"/>
            <family val="0"/>
            <charset val="1"/>
          </rPr>
          <t xml:space="preserve">Inhalator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9" authorId="0">
      <text>
        <r>
          <rPr>
            <sz val="11"/>
            <color rgb="FF000000"/>
            <rFont val="Calibri"/>
            <family val="0"/>
            <charset val="1"/>
          </rPr>
          <t xml:space="preserve">Obiektyw 50mm</t>
        </r>
      </text>
    </comment>
    <comment ref="T15" authorId="0">
      <text>
        <r>
          <rPr>
            <sz val="11"/>
            <color rgb="FF000000"/>
            <rFont val="Calibri"/>
            <family val="0"/>
            <charset val="1"/>
          </rPr>
          <t xml:space="preserve">Rata Skoda OC</t>
        </r>
      </text>
    </comment>
    <comment ref="U19" authorId="0">
      <text>
        <r>
          <rPr>
            <sz val="11"/>
            <color rgb="FF000000"/>
            <rFont val="Calibri"/>
            <family val="0"/>
            <charset val="1"/>
          </rPr>
          <t xml:space="preserve">Neoparin
</t>
        </r>
      </text>
    </comment>
    <comment ref="U28" authorId="0">
      <text>
        <r>
          <rPr>
            <sz val="11"/>
            <color rgb="FF000000"/>
            <rFont val="Calibri"/>
            <family val="0"/>
            <charset val="1"/>
          </rPr>
          <t xml:space="preserve">Ginekolog
</t>
        </r>
      </text>
    </comment>
    <comment ref="W31" authorId="0">
      <text>
        <r>
          <rPr>
            <sz val="11"/>
            <color rgb="FF000000"/>
            <rFont val="Calibri"/>
            <family val="0"/>
            <charset val="1"/>
          </rPr>
          <t xml:space="preserve">Zegarek Jusi</t>
        </r>
      </text>
    </comment>
    <comment ref="W36" authorId="0">
      <text>
        <r>
          <rPr>
            <sz val="11"/>
            <color rgb="FF000000"/>
            <rFont val="Calibri"/>
            <family val="0"/>
            <charset val="1"/>
          </rPr>
          <t xml:space="preserve">Prezent Zadorozny</t>
        </r>
      </text>
    </comment>
    <comment ref="AC26" authorId="0">
      <text>
        <r>
          <rPr>
            <sz val="11"/>
            <color rgb="FF000000"/>
            <rFont val="Calibri"/>
            <family val="0"/>
            <charset val="1"/>
          </rPr>
          <t xml:space="preserve">Otulacz do łóżeczka</t>
        </r>
      </text>
    </comment>
    <comment ref="AC27" authorId="0">
      <text>
        <r>
          <rPr>
            <sz val="11"/>
            <color rgb="FF000000"/>
            <rFont val="Calibri"/>
            <family val="0"/>
            <charset val="1"/>
          </rPr>
          <t xml:space="preserve">Tetry+prześcieradła flanelowe</t>
        </r>
      </text>
    </comment>
    <comment ref="AC28" authorId="0">
      <text>
        <r>
          <rPr>
            <sz val="11"/>
            <color rgb="FF000000"/>
            <rFont val="Calibri"/>
            <family val="0"/>
            <charset val="1"/>
          </rPr>
          <t xml:space="preserve">Przewijak</t>
        </r>
      </text>
    </comment>
    <comment ref="AC29" authorId="0">
      <text>
        <r>
          <rPr>
            <sz val="11"/>
            <color rgb="FF000000"/>
            <rFont val="Calibri"/>
            <family val="0"/>
            <charset val="1"/>
          </rPr>
          <t xml:space="preserve">Materac
</t>
        </r>
      </text>
    </comment>
    <comment ref="AC30" authorId="0">
      <text>
        <r>
          <rPr>
            <sz val="11"/>
            <color rgb="FF000000"/>
            <rFont val="Calibri"/>
            <family val="0"/>
            <charset val="1"/>
          </rPr>
          <t xml:space="preserve">Wózek dopłata</t>
        </r>
      </text>
    </comment>
    <comment ref="AC31" authorId="0">
      <text>
        <r>
          <rPr>
            <sz val="11"/>
            <color rgb="FF000000"/>
            <rFont val="Calibri"/>
            <family val="0"/>
            <charset val="1"/>
          </rPr>
          <t xml:space="preserve">Fotelik dopłata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2" authorId="0">
      <text>
        <r>
          <rPr>
            <sz val="11"/>
            <color rgb="FF000000"/>
            <rFont val="Calibri"/>
            <family val="0"/>
            <charset val="1"/>
          </rPr>
          <t xml:space="preserve">Studio Foto</t>
        </r>
      </text>
    </comment>
    <comment ref="T17" authorId="0">
      <text>
        <r>
          <rPr>
            <sz val="11"/>
            <color rgb="FF000000"/>
            <rFont val="Calibri"/>
            <family val="0"/>
            <charset val="1"/>
          </rPr>
          <t xml:space="preserve">OC skoda
</t>
        </r>
      </text>
    </comment>
    <comment ref="W14" authorId="0">
      <text>
        <r>
          <rPr>
            <sz val="11"/>
            <color rgb="FF000000"/>
            <rFont val="Calibri"/>
            <family val="0"/>
            <charset val="1"/>
          </rPr>
          <t xml:space="preserve">Wieniec</t>
        </r>
      </text>
    </comment>
    <comment ref="Z12" authorId="0">
      <text>
        <r>
          <rPr>
            <sz val="11"/>
            <color rgb="FF000000"/>
            <rFont val="Calibri"/>
            <family val="0"/>
            <charset val="1"/>
          </rPr>
          <t xml:space="preserve">Hydraulik</t>
        </r>
      </text>
    </comment>
    <comment ref="Z13" authorId="0">
      <text>
        <r>
          <rPr>
            <sz val="11"/>
            <color rgb="FF000000"/>
            <rFont val="Calibri"/>
            <family val="0"/>
            <charset val="1"/>
          </rPr>
          <t xml:space="preserve">Rura kibel</t>
        </r>
      </text>
    </comment>
    <comment ref="Z14" authorId="0">
      <text>
        <r>
          <rPr>
            <sz val="11"/>
            <color rgb="FF000000"/>
            <rFont val="Calibri"/>
            <family val="0"/>
            <charset val="1"/>
          </rPr>
          <t xml:space="preserve">Paliwo gory pogrzeb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Rejestracja samochodu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Snowboard od baszcza</t>
        </r>
      </text>
    </comment>
    <comment ref="O1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Zaliczka mazury</t>
        </r>
      </text>
    </comment>
    <comment ref="P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NOD32</t>
        </r>
      </text>
    </comment>
    <comment ref="T1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Uber</t>
        </r>
      </text>
    </comment>
    <comment ref="Z2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Sukienki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Spotify od Pawła i Ciapskiego za cały rok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Paliwo Austria</t>
        </r>
      </text>
    </comment>
    <comment ref="O1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Kaski snowboard
</t>
        </r>
      </text>
    </comment>
    <comment ref="O2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Siłka- sami ściągneli gdy byłem w niemczech</t>
        </r>
      </text>
    </comment>
    <comment ref="O2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Kominiarki na narty</t>
        </r>
      </text>
    </comment>
    <comment ref="O2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Gogle Jusi</t>
        </r>
      </text>
    </comment>
    <comment ref="P1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Dysk SSD
</t>
        </r>
      </text>
    </comment>
    <comment ref="P13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Termomix</t>
        </r>
      </text>
    </comment>
    <comment ref="P1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czajnik</t>
        </r>
      </text>
    </comment>
    <comment ref="R2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Hydraulik
</t>
        </r>
      </text>
    </comment>
    <comment ref="T22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Lusterko</t>
        </r>
      </text>
    </comment>
    <comment ref="W2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Prezent jusia praca</t>
        </r>
      </text>
    </comment>
    <comment ref="Z2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Sukienki
</t>
        </r>
      </text>
    </comment>
    <comment ref="Z2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Ubezpieczenie Narty</t>
        </r>
      </text>
    </comment>
    <comment ref="Z3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Fryzjer i ofiara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dodatek świąteczny
</t>
        </r>
      </text>
    </comment>
    <comment ref="E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Paliwo Austria</t>
        </r>
      </text>
    </comment>
    <comment ref="O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Rower Jusi</t>
        </r>
      </text>
    </comment>
    <comment ref="O24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Pokrowiec rower
+etui telefon
</t>
        </r>
      </text>
    </comment>
    <comment ref="O2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Kaski na rower</t>
        </r>
      </text>
    </comment>
    <comment ref="O37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Opłata siłka kwiecien</t>
        </r>
      </text>
    </comment>
    <comment ref="O38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Ostatnia zaplata silka</t>
        </r>
      </text>
    </comment>
    <comment ref="Q20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IKea</t>
        </r>
      </text>
    </comment>
    <comment ref="T1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Opony</t>
        </r>
      </text>
    </comment>
    <comment ref="T2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Wymiana opon</t>
        </r>
      </text>
    </comment>
    <comment ref="T3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Ubezpieczenie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Przeglad roweru+linka+detka</t>
        </r>
      </text>
    </comment>
    <comment ref="O3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Sakwy rower</t>
        </r>
      </text>
    </comment>
    <comment ref="O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Przegląd roweru</t>
        </r>
      </text>
    </comment>
    <comment ref="P15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kawiarka</t>
        </r>
      </text>
    </comment>
    <comment ref="T1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Parking torun</t>
        </r>
      </text>
    </comment>
    <comment ref="W1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Prezent dla Baszcza, chłopaki mieli zwrócić po 51zł</t>
        </r>
      </text>
    </comment>
    <comment ref="W2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Komunia</t>
        </r>
      </text>
    </comment>
    <comment ref="Z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Hotel Poznan
</t>
        </r>
      </text>
    </comment>
    <comment ref="Z11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Hostel Atena
</t>
        </r>
      </text>
    </comment>
    <comment ref="Z3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Kosmetyczka</t>
        </r>
      </text>
    </comment>
    <comment ref="Z3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myjnia+dentki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</text>
    </comment>
    <comment ref="O1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Obstawianie mistrzostwa</t>
        </r>
      </text>
    </comment>
    <comment ref="O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Siłownia lipiec</t>
        </r>
      </text>
    </comment>
    <comment ref="P3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2xWindows</t>
        </r>
      </text>
    </comment>
    <comment ref="Q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Zadatek na deski na balkon</t>
        </r>
      </text>
    </comment>
    <comment ref="T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Przegląd skoda
</t>
        </r>
      </text>
    </comment>
    <comment ref="T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Opony letnie skoda</t>
        </r>
      </text>
    </comment>
    <comment ref="W1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Kawalerski MAtiego</t>
        </r>
      </text>
    </comment>
    <comment ref="W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Ode mnie i Jusi za Julke i Żyda</t>
        </r>
      </text>
    </comment>
    <comment ref="W38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Kwiaty dla mamy</t>
        </r>
      </text>
    </comment>
    <comment ref="Z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Bunkry + oddać krzysiowi 10</t>
        </r>
      </text>
    </comment>
    <comment ref="Z3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Ryby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Pralnia</t>
        </r>
      </text>
    </comment>
    <comment ref="Q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Deski na balkon</t>
        </r>
      </text>
    </comment>
    <comment ref="T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Akumulator motocykl</t>
        </r>
      </text>
    </comment>
    <comment ref="T29" authorId="0">
      <text>
        <r>
          <rPr>
            <b val="true"/>
            <sz val="9"/>
            <color rgb="FF000000"/>
            <rFont val="Tahoma"/>
            <family val="2"/>
            <charset val="238"/>
          </rPr>
          <t xml:space="preserve">Adi:
</t>
        </r>
        <r>
          <rPr>
            <sz val="9"/>
            <color rgb="FF000000"/>
            <rFont val="Tahoma"/>
            <family val="2"/>
            <charset val="238"/>
          </rPr>
          <t xml:space="preserve">UBER
</t>
        </r>
      </text>
    </comment>
    <comment ref="T37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OC motocykl</t>
        </r>
      </text>
    </comment>
    <comment ref="W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Prezent dla Pawła - przelew sliski</t>
        </r>
      </text>
    </comment>
    <comment ref="W2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Zegarek
</t>
        </r>
      </text>
    </comment>
    <comment ref="X1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Jagermeister- przelew dla sliskiego
</t>
        </r>
      </text>
    </comment>
    <comment ref="Z1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Pieniądze dla Bartka</t>
        </r>
      </text>
    </comment>
    <comment ref="Z1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Kosmetyczka+Fryzjerka+Przyjazd Kamerzysty+Sesja Fotografa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Od chłopaków za wyjazd do wiśni
</t>
        </r>
      </text>
    </comment>
    <comment ref="M1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Lody
</t>
        </r>
      </text>
    </comment>
    <comment ref="O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Escape room + Lekcja tenisa
</t>
        </r>
      </text>
    </comment>
    <comment ref="P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Kabel do antenty</t>
        </r>
      </text>
    </comment>
    <comment ref="T20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Rata OC
</t>
        </r>
      </text>
    </comment>
    <comment ref="W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Prezenty w pracy </t>
        </r>
      </text>
    </comment>
    <comment ref="Z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Garaż</t>
        </r>
      </text>
    </comment>
    <comment ref="Z12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Zadatek Junkers</t>
        </r>
      </text>
    </comment>
    <comment ref="Z1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Junkers przeglad</t>
        </r>
      </text>
    </comment>
    <comment ref="Z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Krawcowa</t>
        </r>
      </text>
    </comment>
    <comment ref="Z3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Brykiet na grill</t>
        </r>
      </text>
    </comment>
    <comment ref="Z36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Adi:
</t>
        </r>
        <r>
          <rPr>
            <sz val="9"/>
            <color rgb="FF000000"/>
            <rFont val="Tahoma"/>
            <family val="0"/>
            <charset val="1"/>
          </rPr>
          <t xml:space="preserve">KRawcowa</t>
        </r>
      </text>
    </comment>
  </commentList>
</comments>
</file>

<file path=xl/sharedStrings.xml><?xml version="1.0" encoding="utf-8"?>
<sst xmlns="http://schemas.openxmlformats.org/spreadsheetml/2006/main" count="1057" uniqueCount="185">
  <si>
    <t xml:space="preserve">ZESTAWIENIE SALDA 2018</t>
  </si>
  <si>
    <t xml:space="preserve">Wpływy całkowite</t>
  </si>
  <si>
    <t xml:space="preserve">Σ</t>
  </si>
  <si>
    <t xml:space="preserve">SUMA</t>
  </si>
  <si>
    <t xml:space="preserve">OKRES\SUMA</t>
  </si>
  <si>
    <t xml:space="preserve">Opłaty Stałe</t>
  </si>
  <si>
    <t xml:space="preserve">Jedzenie</t>
  </si>
  <si>
    <t xml:space="preserve">Chemia domowa</t>
  </si>
  <si>
    <t xml:space="preserve">Hobby/Rozrywka</t>
  </si>
  <si>
    <t xml:space="preserve">AGD/RTV/Elektr.</t>
  </si>
  <si>
    <t xml:space="preserve">Wystrój mieszkania/meble</t>
  </si>
  <si>
    <t xml:space="preserve">Narzędzia</t>
  </si>
  <si>
    <t xml:space="preserve">Samochód</t>
  </si>
  <si>
    <t xml:space="preserve">Zdrowie</t>
  </si>
  <si>
    <t xml:space="preserve">Prezenty</t>
  </si>
  <si>
    <t xml:space="preserve">Alkohol</t>
  </si>
  <si>
    <t xml:space="preserve">Inne</t>
  </si>
  <si>
    <t xml:space="preserve">Edukacja/rozwój</t>
  </si>
  <si>
    <t xml:space="preserve">Ubrania</t>
  </si>
  <si>
    <t xml:space="preserve">Miesiąc</t>
  </si>
  <si>
    <t xml:space="preserve">Rok</t>
  </si>
  <si>
    <t xml:space="preserve">Wpływy</t>
  </si>
  <si>
    <t xml:space="preserve">Wydatki</t>
  </si>
  <si>
    <t xml:space="preserve">Saldo końcowe</t>
  </si>
  <si>
    <t xml:space="preserve">Saldo po X miesiącu</t>
  </si>
  <si>
    <t xml:space="preserve">Średnio</t>
  </si>
  <si>
    <t xml:space="preserve">Dom</t>
  </si>
  <si>
    <t xml:space="preserve">Miasto</t>
  </si>
  <si>
    <t xml:space="preserve">Paliwo</t>
  </si>
  <si>
    <t xml:space="preserve">Opłaty</t>
  </si>
  <si>
    <t xml:space="preserve">Leki</t>
  </si>
  <si>
    <t xml:space="preserve">Witaminy/sulementy/badania</t>
  </si>
  <si>
    <t xml:space="preserve">Miasto/Goście</t>
  </si>
  <si>
    <t xml:space="preserve">styczeń</t>
  </si>
  <si>
    <t xml:space="preserve">luty</t>
  </si>
  <si>
    <t xml:space="preserve">marzec</t>
  </si>
  <si>
    <t xml:space="preserve">kwiecień</t>
  </si>
  <si>
    <t xml:space="preserve">maj</t>
  </si>
  <si>
    <t xml:space="preserve">czerwiec</t>
  </si>
  <si>
    <t xml:space="preserve">lipiec</t>
  </si>
  <si>
    <t xml:space="preserve">sierpień</t>
  </si>
  <si>
    <t xml:space="preserve">wrzesień</t>
  </si>
  <si>
    <t xml:space="preserve">październik</t>
  </si>
  <si>
    <t xml:space="preserve">listopad</t>
  </si>
  <si>
    <t xml:space="preserve">grudzień</t>
  </si>
  <si>
    <t xml:space="preserve">Dochody </t>
  </si>
  <si>
    <t xml:space="preserve">Adi</t>
  </si>
  <si>
    <t xml:space="preserve">Jusia</t>
  </si>
  <si>
    <t xml:space="preserve">Wspólne</t>
  </si>
  <si>
    <t xml:space="preserve">Ilość dni w miesiącu</t>
  </si>
  <si>
    <t xml:space="preserve">Pensja</t>
  </si>
  <si>
    <t xml:space="preserve">Premia</t>
  </si>
  <si>
    <t xml:space="preserve">Sprzedaż</t>
  </si>
  <si>
    <t xml:space="preserve">Podarunek</t>
  </si>
  <si>
    <t xml:space="preserve">Saldo miesiąca</t>
  </si>
  <si>
    <t xml:space="preserve">% wydatków</t>
  </si>
  <si>
    <t xml:space="preserve">Suma dochodu</t>
  </si>
  <si>
    <t xml:space="preserve">Suma wydatków w miesiącu</t>
  </si>
  <si>
    <t xml:space="preserve">Opłaty stałe</t>
  </si>
  <si>
    <t xml:space="preserve">AGD/RTV/Elektronika</t>
  </si>
  <si>
    <t xml:space="preserve">Samochód/Transport</t>
  </si>
  <si>
    <t xml:space="preserve">Dzień</t>
  </si>
  <si>
    <t xml:space="preserve">DATA</t>
  </si>
  <si>
    <t xml:space="preserve">Ile % zaoszczędziliśmy?</t>
  </si>
  <si>
    <t xml:space="preserve">Saldo na X dzień</t>
  </si>
  <si>
    <t xml:space="preserve">Gdyby nic nie wydawać?</t>
  </si>
  <si>
    <t xml:space="preserve">Saldo w X dniu</t>
  </si>
  <si>
    <t xml:space="preserve">Dzienny wpływ</t>
  </si>
  <si>
    <t xml:space="preserve">Suma wydatków na X dzień</t>
  </si>
  <si>
    <t xml:space="preserve">Wydatki w X dniu</t>
  </si>
  <si>
    <t xml:space="preserve">Kwota</t>
  </si>
  <si>
    <t xml:space="preserve">Opis</t>
  </si>
  <si>
    <t xml:space="preserve">Miasto/Praca</t>
  </si>
  <si>
    <t xml:space="preserve">Oleje/opłaty</t>
  </si>
  <si>
    <t xml:space="preserve">Witaminy/suplementy</t>
  </si>
  <si>
    <t xml:space="preserve">Play</t>
  </si>
  <si>
    <t xml:space="preserve">Rata TV</t>
  </si>
  <si>
    <t xml:space="preserve">Zakup Skoda</t>
  </si>
  <si>
    <t xml:space="preserve">Netflix</t>
  </si>
  <si>
    <t xml:space="preserve">Czynsz</t>
  </si>
  <si>
    <t xml:space="preserve">Spotify</t>
  </si>
  <si>
    <t xml:space="preserve">Ile chcemy odłożyć w tym tmiesiącu?</t>
  </si>
  <si>
    <t xml:space="preserve">Ile mamy do wydania?</t>
  </si>
  <si>
    <t xml:space="preserve">Ile zostało do wydania?</t>
  </si>
  <si>
    <t xml:space="preserve">Witaminy/suplementy/Badania</t>
  </si>
  <si>
    <t xml:space="preserve">UPC (za styczeń)</t>
  </si>
  <si>
    <t xml:space="preserve">Rata TV (zl. Stale)</t>
  </si>
  <si>
    <t xml:space="preserve">Czynsz (zl. Stale)</t>
  </si>
  <si>
    <t xml:space="preserve">Prąd</t>
  </si>
  <si>
    <t xml:space="preserve">UPC (zlecenie stale)</t>
  </si>
  <si>
    <t xml:space="preserve">Rozliczenie wody i CO</t>
  </si>
  <si>
    <t xml:space="preserve">Netflix (zl. Stale)</t>
  </si>
  <si>
    <t xml:space="preserve">PLAY</t>
  </si>
  <si>
    <t xml:space="preserve">Ile mamy do wydania w tym miesiącu?</t>
  </si>
  <si>
    <t xml:space="preserve">Ile zaoszczędziliśmy z tego miesiaca?</t>
  </si>
  <si>
    <t xml:space="preserve">Ile jesteśmy do przodu?</t>
  </si>
  <si>
    <t xml:space="preserve">UPC - wyrównanie</t>
  </si>
  <si>
    <t xml:space="preserve">Spotify (zlecenie stałe)</t>
  </si>
  <si>
    <t xml:space="preserve">Ile mamy zaoszczędzone  z tego miesiaca</t>
  </si>
  <si>
    <t xml:space="preserve">Edukacja/Rozwój</t>
  </si>
  <si>
    <t xml:space="preserve">Ile jesteśmy "do przodu"?</t>
  </si>
  <si>
    <t xml:space="preserve">Prąd PGNIG</t>
  </si>
  <si>
    <t xml:space="preserve">rachunek na 0,00</t>
  </si>
  <si>
    <t xml:space="preserve">Reminder</t>
  </si>
  <si>
    <t xml:space="preserve">Przegląd roweru Jusi</t>
  </si>
  <si>
    <t xml:space="preserve">5+16,55</t>
  </si>
  <si>
    <t xml:space="preserve">Wyrównanie woda+ścieki</t>
  </si>
  <si>
    <t xml:space="preserve">Garaż</t>
  </si>
  <si>
    <t xml:space="preserve">Prąd PGNiG</t>
  </si>
  <si>
    <t xml:space="preserve">Showmax</t>
  </si>
  <si>
    <t xml:space="preserve">Badania/ Dentysta</t>
  </si>
  <si>
    <t xml:space="preserve">`</t>
  </si>
  <si>
    <t xml:space="preserve">II rata OC</t>
  </si>
  <si>
    <t xml:space="preserve">                                                                    </t>
  </si>
  <si>
    <t xml:space="preserve">Badania/Dentysta</t>
  </si>
  <si>
    <t xml:space="preserve"> </t>
  </si>
  <si>
    <t xml:space="preserve">Ubezpieczenie mieszkania</t>
  </si>
  <si>
    <t xml:space="preserve">Gaz</t>
  </si>
  <si>
    <t xml:space="preserve">Dziecko</t>
  </si>
  <si>
    <t xml:space="preserve">UPC Faktura pierwsza </t>
  </si>
  <si>
    <t xml:space="preserve">Suma AGD</t>
  </si>
  <si>
    <t xml:space="preserve">Suma Meble</t>
  </si>
  <si>
    <t xml:space="preserve">Suma Budowlane</t>
  </si>
  <si>
    <t xml:space="preserve">AGD</t>
  </si>
  <si>
    <t xml:space="preserve">Meble</t>
  </si>
  <si>
    <t xml:space="preserve">Narzędzia/Budowlane/Usługi</t>
  </si>
  <si>
    <t xml:space="preserve">Nazwa</t>
  </si>
  <si>
    <t xml:space="preserve">Cena</t>
  </si>
  <si>
    <t xml:space="preserve">Termet</t>
  </si>
  <si>
    <t xml:space="preserve">Umywalka</t>
  </si>
  <si>
    <t xml:space="preserve">BigBag</t>
  </si>
  <si>
    <t xml:space="preserve">Grzejnik</t>
  </si>
  <si>
    <t xml:space="preserve">Płytki</t>
  </si>
  <si>
    <t xml:space="preserve">Taśma malarska</t>
  </si>
  <si>
    <t xml:space="preserve">Szafka podblatowa</t>
  </si>
  <si>
    <t xml:space="preserve">Demontaż Junkers/grzejnik</t>
  </si>
  <si>
    <t xml:space="preserve">Szafka podumywalk</t>
  </si>
  <si>
    <t xml:space="preserve">Plandeka malarska+taśma malarska</t>
  </si>
  <si>
    <t xml:space="preserve">Kabina prysznic</t>
  </si>
  <si>
    <t xml:space="preserve">Puszki elektryczne</t>
  </si>
  <si>
    <t xml:space="preserve">Brodzik</t>
  </si>
  <si>
    <t xml:space="preserve">Gniazda GU10</t>
  </si>
  <si>
    <t xml:space="preserve">Bateria umywalk</t>
  </si>
  <si>
    <t xml:space="preserve">Montaż Junkersa + grzejnika</t>
  </si>
  <si>
    <t xml:space="preserve">Bateria natrysk</t>
  </si>
  <si>
    <t xml:space="preserve">Zestaw natryskowy</t>
  </si>
  <si>
    <t xml:space="preserve">Syfon</t>
  </si>
  <si>
    <t xml:space="preserve">Odpływ brodzik</t>
  </si>
  <si>
    <t xml:space="preserve">Gąbka pod panele</t>
  </si>
  <si>
    <t xml:space="preserve">Blat</t>
  </si>
  <si>
    <t xml:space="preserve">Fuga</t>
  </si>
  <si>
    <t xml:space="preserve">Gniazdka el.+włącnziki</t>
  </si>
  <si>
    <t xml:space="preserve">Rozeta</t>
  </si>
  <si>
    <t xml:space="preserve">Dokupione płytki</t>
  </si>
  <si>
    <t xml:space="preserve">Profil zew. Płytki</t>
  </si>
  <si>
    <t xml:space="preserve">Obróbka blatu</t>
  </si>
  <si>
    <t xml:space="preserve">silikon</t>
  </si>
  <si>
    <t xml:space="preserve">Klapka rewizyjna</t>
  </si>
  <si>
    <t xml:space="preserve">Farba</t>
  </si>
  <si>
    <t xml:space="preserve">Haczyki na grzejnik</t>
  </si>
  <si>
    <t xml:space="preserve">Oswietlenie</t>
  </si>
  <si>
    <t xml:space="preserve">Lustro+montaż</t>
  </si>
  <si>
    <t xml:space="preserve">Kratka went</t>
  </si>
  <si>
    <t xml:space="preserve">Dodatkowa szyba kabiny</t>
  </si>
  <si>
    <t xml:space="preserve">Robocizna Krzyśka</t>
  </si>
  <si>
    <t xml:space="preserve">Progi</t>
  </si>
  <si>
    <t xml:space="preserve">Pieniądze na rzeczy budowlane krzyśka</t>
  </si>
  <si>
    <t xml:space="preserve">Pęknięta szyba kabina</t>
  </si>
  <si>
    <t xml:space="preserve">Drobnica z Leroya (farby/taśmy)</t>
  </si>
  <si>
    <t xml:space="preserve">Narożnik+listwa</t>
  </si>
  <si>
    <t xml:space="preserve">Rura stalowa</t>
  </si>
  <si>
    <t xml:space="preserve">Kolanko</t>
  </si>
  <si>
    <t xml:space="preserve">Rozeta spiro</t>
  </si>
  <si>
    <t xml:space="preserve">Opaska zaciskowa</t>
  </si>
  <si>
    <t xml:space="preserve">Panele+listwy+narożniki</t>
  </si>
  <si>
    <t xml:space="preserve">Leki/Witaminy</t>
  </si>
  <si>
    <t xml:space="preserve">Lekarz</t>
  </si>
  <si>
    <t xml:space="preserve">Wyrównanie Spółdzielnia</t>
  </si>
  <si>
    <t xml:space="preserve">UPC – BŁĄÐ ZLECENIA STAŁEGO\</t>
  </si>
  <si>
    <t xml:space="preserve">s</t>
  </si>
  <si>
    <t xml:space="preserve">%</t>
  </si>
  <si>
    <t xml:space="preserve">Czynsz (zlecenie stałe)</t>
  </si>
  <si>
    <t xml:space="preserve">NIE</t>
  </si>
  <si>
    <t xml:space="preserve">UPC</t>
  </si>
  <si>
    <t xml:space="preserve">Gaz PGNiG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</si>
</sst>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%"/>
    <numFmt numFmtId="166" formatCode="0.00"/>
    <numFmt numFmtId="167" formatCode="M/D/YYYY"/>
    <numFmt numFmtId="168" formatCode="MMM\-YY"/>
    <numFmt numFmtId="169" formatCode="0"/>
    <numFmt numFmtId="170" formatCode="YYYY\-MM\-DD"/>
    <numFmt numFmtId="171" formatCode="0%"/>
    <numFmt numFmtId="172" formatCode="0.00%"/>
    <numFmt numFmtId="173" formatCode="#,##0.00"/>
  </numFmts>
  <fonts count="3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238"/>
    </font>
    <font>
      <b val="true"/>
      <sz val="15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i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8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5"/>
      <color rgb="FF000000"/>
      <name val="Calibri"/>
      <family val="2"/>
    </font>
    <font>
      <b val="true"/>
      <sz val="16"/>
      <color rgb="FF000000"/>
      <name val="Calibri"/>
      <family val="2"/>
      <charset val="238"/>
    </font>
    <font>
      <sz val="15"/>
      <color rgb="FF000000"/>
      <name val="Calibri"/>
      <family val="2"/>
      <charset val="238"/>
    </font>
    <font>
      <b val="true"/>
      <sz val="13"/>
      <color rgb="FF000000"/>
      <name val="Calibri"/>
      <family val="2"/>
      <charset val="238"/>
    </font>
    <font>
      <sz val="13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  <font>
      <b val="true"/>
      <sz val="14"/>
      <color rgb="FF000000"/>
      <name val="Calibri"/>
      <family val="2"/>
      <charset val="238"/>
    </font>
    <font>
      <sz val="12"/>
      <name val="Calibri"/>
      <family val="2"/>
      <charset val="238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10"/>
      <color rgb="FF000000"/>
      <name val="Calibri"/>
      <family val="2"/>
      <charset val="238"/>
    </font>
    <font>
      <b val="true"/>
      <sz val="9"/>
      <color rgb="FF000000"/>
      <name val="Calibri"/>
      <family val="2"/>
      <charset val="238"/>
    </font>
    <font>
      <sz val="15"/>
      <color rgb="FF000000"/>
      <name val="Calibri"/>
      <family val="0"/>
      <charset val="1"/>
    </font>
    <font>
      <b val="true"/>
      <sz val="13"/>
      <color rgb="FF000000"/>
      <name val="Calibri"/>
      <family val="0"/>
      <charset val="1"/>
    </font>
  </fonts>
  <fills count="36">
    <fill>
      <patternFill patternType="none"/>
    </fill>
    <fill>
      <patternFill patternType="gray125"/>
    </fill>
    <fill>
      <patternFill patternType="solid">
        <fgColor rgb="FF8DB3E2"/>
        <bgColor rgb="FF95B3D7"/>
      </patternFill>
    </fill>
    <fill>
      <patternFill patternType="solid">
        <fgColor rgb="FFFF0000"/>
        <bgColor rgb="FFED1C24"/>
      </patternFill>
    </fill>
    <fill>
      <patternFill patternType="solid">
        <fgColor rgb="FF92D050"/>
        <bgColor rgb="FF72BF44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DD9C3"/>
      </patternFill>
    </fill>
    <fill>
      <patternFill patternType="solid">
        <fgColor rgb="FFC6D9F1"/>
        <bgColor rgb="FFB9CDE5"/>
      </patternFill>
    </fill>
    <fill>
      <patternFill patternType="solid">
        <fgColor rgb="FFFFFF00"/>
        <bgColor rgb="FFFFC000"/>
      </patternFill>
    </fill>
    <fill>
      <patternFill patternType="solid">
        <fgColor rgb="FFE6B9B8"/>
        <bgColor rgb="FFFAC090"/>
      </patternFill>
    </fill>
    <fill>
      <patternFill patternType="solid">
        <fgColor rgb="FFFCD5B5"/>
        <bgColor rgb="FFF2DCDB"/>
      </patternFill>
    </fill>
    <fill>
      <patternFill patternType="solid">
        <fgColor rgb="FFDBEEF4"/>
        <bgColor rgb="FFEBF1DE"/>
      </patternFill>
    </fill>
    <fill>
      <patternFill patternType="solid">
        <fgColor rgb="FFC3D69B"/>
        <bgColor rgb="FFCCCCCC"/>
      </patternFill>
    </fill>
    <fill>
      <patternFill patternType="solid">
        <fgColor rgb="FFCCC1DA"/>
        <bgColor rgb="FFCCCCCC"/>
      </patternFill>
    </fill>
    <fill>
      <patternFill patternType="solid">
        <fgColor rgb="FFFFC000"/>
        <bgColor rgb="FFFAA61A"/>
      </patternFill>
    </fill>
    <fill>
      <patternFill patternType="solid">
        <fgColor rgb="FF95B3D7"/>
        <bgColor rgb="FF8DB3E2"/>
      </patternFill>
    </fill>
    <fill>
      <patternFill patternType="solid">
        <fgColor rgb="FFC4BD97"/>
        <bgColor rgb="FFB7B7B7"/>
      </patternFill>
    </fill>
    <fill>
      <patternFill patternType="solid">
        <fgColor rgb="FFD99694"/>
        <bgColor rgb="FFF8AA97"/>
      </patternFill>
    </fill>
    <fill>
      <patternFill patternType="solid">
        <fgColor rgb="FFBFBFBF"/>
        <bgColor rgb="FFB7B7B7"/>
      </patternFill>
    </fill>
    <fill>
      <patternFill patternType="solid">
        <fgColor rgb="FFB9CDE5"/>
        <bgColor rgb="FFC6D9F1"/>
      </patternFill>
    </fill>
    <fill>
      <patternFill patternType="solid">
        <fgColor rgb="FFEBF1DE"/>
        <bgColor rgb="FFF2F2F2"/>
      </patternFill>
    </fill>
    <fill>
      <patternFill patternType="solid">
        <fgColor rgb="FFDDD9C3"/>
        <bgColor rgb="FFD7E4BD"/>
      </patternFill>
    </fill>
    <fill>
      <patternFill patternType="solid">
        <fgColor rgb="FFE6E0EC"/>
        <bgColor rgb="FFF2DCDB"/>
      </patternFill>
    </fill>
    <fill>
      <patternFill patternType="solid">
        <fgColor rgb="FFF2F2F2"/>
        <bgColor rgb="FFEBF1DE"/>
      </patternFill>
    </fill>
    <fill>
      <patternFill patternType="solid">
        <fgColor rgb="FFFAC090"/>
        <bgColor rgb="FFF8AA97"/>
      </patternFill>
    </fill>
    <fill>
      <patternFill patternType="solid">
        <fgColor rgb="FFFFFFFF"/>
        <bgColor rgb="FFF2F2F2"/>
      </patternFill>
    </fill>
    <fill>
      <patternFill patternType="solid">
        <fgColor rgb="FFF3715A"/>
        <bgColor rgb="FFF58220"/>
      </patternFill>
    </fill>
    <fill>
      <patternFill patternType="solid">
        <fgColor rgb="FF00A65D"/>
        <bgColor rgb="FF579D1C"/>
      </patternFill>
    </fill>
    <fill>
      <patternFill patternType="solid">
        <fgColor rgb="FF72BF44"/>
        <bgColor rgb="FF92D050"/>
      </patternFill>
    </fill>
    <fill>
      <patternFill patternType="solid">
        <fgColor rgb="FFF8AA97"/>
        <bgColor rgb="FFFAC090"/>
      </patternFill>
    </fill>
    <fill>
      <patternFill patternType="solid">
        <fgColor rgb="FFCCCCCC"/>
        <bgColor rgb="FFCCC1DA"/>
      </patternFill>
    </fill>
    <fill>
      <patternFill patternType="solid">
        <fgColor rgb="FFF58220"/>
        <bgColor rgb="FFF3715A"/>
      </patternFill>
    </fill>
    <fill>
      <patternFill patternType="solid">
        <fgColor rgb="FFFDB94D"/>
        <bgColor rgb="FFFAA61A"/>
      </patternFill>
    </fill>
    <fill>
      <patternFill patternType="solid">
        <fgColor rgb="FFED1C24"/>
        <bgColor rgb="FFFF0000"/>
      </patternFill>
    </fill>
    <fill>
      <patternFill patternType="solid">
        <fgColor rgb="FFFAA61A"/>
        <bgColor rgb="FFFFC000"/>
      </patternFill>
    </fill>
    <fill>
      <patternFill patternType="solid">
        <fgColor rgb="FFEF413D"/>
        <bgColor rgb="FFC0504D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>
        <color rgb="FFCCCCCC"/>
      </left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>
        <color rgb="FFCCCCCC"/>
      </left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>
        <color rgb="FFCCCCCC"/>
      </left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>
        <color rgb="FFCCCCCC"/>
      </left>
      <right/>
      <top style="thin"/>
      <bottom/>
      <diagonal/>
    </border>
    <border diagonalUp="false" diagonalDown="false">
      <left style="medium">
        <color rgb="FFCCCCCC"/>
      </left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>
        <color rgb="FFCCCCCC"/>
      </left>
      <right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>
        <color rgb="FFCCCCCC"/>
      </left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>
        <color rgb="FFCCCCCC"/>
      </left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1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0" xfId="0" applyFont="true" applyBorder="true" applyAlignment="true" applyProtection="false">
      <alignment horizontal="general" vertical="bottom" textRotation="86" wrapText="false" indent="0" shrinkToFit="false"/>
      <protection locked="true" hidden="false"/>
    </xf>
    <xf numFmtId="164" fontId="17" fillId="1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3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2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1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7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7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3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24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7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9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7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1" fillId="1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1" fillId="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1" fillId="1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1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2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1" fillId="2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2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9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19" fillId="1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19" fillId="11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19" fillId="1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19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19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1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19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1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14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1" fillId="19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9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25" fillId="3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5" fillId="19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5" fillId="1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5" fillId="7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9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1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7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19" fillId="2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1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2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8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3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11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5" fillId="32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1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2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4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25" fillId="33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4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4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5" fillId="32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5" fillId="33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5" fillId="3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5" fillId="35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5" fillId="31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DDD9C3"/>
      <rgbColor rgb="FF0000FF"/>
      <rgbColor rgb="FFFFFF00"/>
      <rgbColor rgb="FFFF00FF"/>
      <rgbColor rgb="FFC3D69B"/>
      <rgbColor rgb="FF800000"/>
      <rgbColor rgb="FFF2DCDB"/>
      <rgbColor rgb="FF000080"/>
      <rgbColor rgb="FF579D1C"/>
      <rgbColor rgb="FF800080"/>
      <rgbColor rgb="FFC4BD97"/>
      <rgbColor rgb="FFBFBFBF"/>
      <rgbColor rgb="FF878787"/>
      <rgbColor rgb="FF8DB3E2"/>
      <rgbColor rgb="FFC0504D"/>
      <rgbColor rgb="FFEBF1DE"/>
      <rgbColor rgb="FFDBEEF4"/>
      <rgbColor rgb="FF660066"/>
      <rgbColor rgb="FFF3715A"/>
      <rgbColor rgb="FFE6E0EC"/>
      <rgbColor rgb="FFC6D9F1"/>
      <rgbColor rgb="FF000080"/>
      <rgbColor rgb="FFFF00FF"/>
      <rgbColor rgb="FFFDB94D"/>
      <rgbColor rgb="FFCCCCCC"/>
      <rgbColor rgb="FF800080"/>
      <rgbColor rgb="FF800000"/>
      <rgbColor rgb="FFE6B9B8"/>
      <rgbColor rgb="FF0000FF"/>
      <rgbColor rgb="FFB7B7B7"/>
      <rgbColor rgb="FFF2F2F2"/>
      <rgbColor rgb="FFD7E4BD"/>
      <rgbColor rgb="FFFCD5B5"/>
      <rgbColor rgb="FFB9CDE5"/>
      <rgbColor rgb="FFF8AA97"/>
      <rgbColor rgb="FFCCC1DA"/>
      <rgbColor rgb="FFFAC090"/>
      <rgbColor rgb="FF4F81BD"/>
      <rgbColor rgb="FF72BF44"/>
      <rgbColor rgb="FF92D050"/>
      <rgbColor rgb="FFFFC000"/>
      <rgbColor rgb="FFFAA61A"/>
      <rgbColor rgb="FFF58220"/>
      <rgbColor rgb="FF8064A2"/>
      <rgbColor rgb="FF95B3D7"/>
      <rgbColor rgb="FF003366"/>
      <rgbColor rgb="FF00A65D"/>
      <rgbColor rgb="FF003300"/>
      <rgbColor rgb="FF333300"/>
      <rgbColor rgb="FFED1C24"/>
      <rgbColor rgb="FFEF413D"/>
      <rgbColor rgb="FFD9969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0645186889929371"/>
          <c:y val="0.0648383422413038"/>
          <c:w val="0.713065100653387"/>
          <c:h val="0.908875843336546"/>
        </c:manualLayout>
      </c:layout>
      <c:lineChart>
        <c:grouping val="standard"/>
        <c:varyColors val="0"/>
        <c:ser>
          <c:idx val="0"/>
          <c:order val="0"/>
          <c:tx>
            <c:strRef>
              <c:f>wpływy</c:f>
              <c:strCache>
                <c:ptCount val="1"/>
                <c:pt idx="0">
                  <c:v>wpływy</c:v>
                </c:pt>
              </c:strCache>
            </c:strRef>
          </c:tx>
          <c:spPr>
            <a:solidFill>
              <a:srgbClr val="4f81bd"/>
            </a:solidFill>
            <a:ln w="255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Zestawienie!$C$5:$C$28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Zestawienie!$D$5:$D$28</c:f>
              <c:numCache>
                <c:formatCode>General</c:formatCode>
                <c:ptCount val="24"/>
                <c:pt idx="0">
                  <c:v>23261.76</c:v>
                </c:pt>
                <c:pt idx="1">
                  <c:v>7833.25</c:v>
                </c:pt>
                <c:pt idx="2">
                  <c:v>12854.76</c:v>
                </c:pt>
                <c:pt idx="3">
                  <c:v>11149.76</c:v>
                </c:pt>
                <c:pt idx="4">
                  <c:v>9788.76</c:v>
                </c:pt>
                <c:pt idx="5">
                  <c:v>8373.76</c:v>
                </c:pt>
                <c:pt idx="6">
                  <c:v>11528.6</c:v>
                </c:pt>
                <c:pt idx="7">
                  <c:v>8447.14</c:v>
                </c:pt>
                <c:pt idx="8">
                  <c:v>11268.64</c:v>
                </c:pt>
                <c:pt idx="9">
                  <c:v>11075.64</c:v>
                </c:pt>
                <c:pt idx="10">
                  <c:v>8895.64</c:v>
                </c:pt>
                <c:pt idx="11">
                  <c:v>9771.12</c:v>
                </c:pt>
                <c:pt idx="12">
                  <c:v>9218.64</c:v>
                </c:pt>
                <c:pt idx="13">
                  <c:v>7939.5</c:v>
                </c:pt>
                <c:pt idx="14">
                  <c:v>22441.64</c:v>
                </c:pt>
                <c:pt idx="15">
                  <c:v>7939.5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wydatki</c:f>
              <c:strCache>
                <c:ptCount val="1"/>
                <c:pt idx="0">
                  <c:v>wydatki</c:v>
                </c:pt>
              </c:strCache>
            </c:strRef>
          </c:tx>
          <c:spPr>
            <a:solidFill>
              <a:srgbClr val="c0504d"/>
            </a:solidFill>
            <a:ln w="255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Zestawienie!$C$5:$C$28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Zestawienie!$E$5:$E$28</c:f>
              <c:numCache>
                <c:formatCode>General</c:formatCode>
                <c:ptCount val="24"/>
                <c:pt idx="0">
                  <c:v>22108.9</c:v>
                </c:pt>
                <c:pt idx="1">
                  <c:v>7261.3</c:v>
                </c:pt>
                <c:pt idx="2">
                  <c:v>11998.03</c:v>
                </c:pt>
                <c:pt idx="3">
                  <c:v>9982.68</c:v>
                </c:pt>
                <c:pt idx="4">
                  <c:v>8028.74</c:v>
                </c:pt>
                <c:pt idx="5">
                  <c:v>8787.3</c:v>
                </c:pt>
                <c:pt idx="6">
                  <c:v>10321.22</c:v>
                </c:pt>
                <c:pt idx="7">
                  <c:v>7980.02</c:v>
                </c:pt>
                <c:pt idx="8">
                  <c:v>17278</c:v>
                </c:pt>
                <c:pt idx="9">
                  <c:v>7889.04</c:v>
                </c:pt>
                <c:pt idx="10">
                  <c:v>8234.05</c:v>
                </c:pt>
                <c:pt idx="11">
                  <c:v>7859.23</c:v>
                </c:pt>
                <c:pt idx="12">
                  <c:v>26064.42</c:v>
                </c:pt>
                <c:pt idx="13">
                  <c:v>5926.99</c:v>
                </c:pt>
                <c:pt idx="14">
                  <c:v>10347.3</c:v>
                </c:pt>
                <c:pt idx="15">
                  <c:v>6510.38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saldo_miesieczne</c:f>
              <c:strCache>
                <c:ptCount val="1"/>
                <c:pt idx="0">
                  <c:v>saldo_miesieczne</c:v>
                </c:pt>
              </c:strCache>
            </c:strRef>
          </c:tx>
          <c:spPr>
            <a:solidFill>
              <a:srgbClr val="8064a2"/>
            </a:solidFill>
            <a:ln w="255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Zestawienie!$C$5:$C$28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Zestawienie!$F$5:$F$28</c:f>
              <c:numCache>
                <c:formatCode>General</c:formatCode>
                <c:ptCount val="24"/>
                <c:pt idx="0">
                  <c:v>1152.86</c:v>
                </c:pt>
                <c:pt idx="1">
                  <c:v>571.950000000001</c:v>
                </c:pt>
                <c:pt idx="2">
                  <c:v>856.730000000001</c:v>
                </c:pt>
                <c:pt idx="3">
                  <c:v>1167.08</c:v>
                </c:pt>
                <c:pt idx="4">
                  <c:v>1760.02</c:v>
                </c:pt>
                <c:pt idx="5">
                  <c:v>-413.540000000001</c:v>
                </c:pt>
                <c:pt idx="6">
                  <c:v>1207.38</c:v>
                </c:pt>
                <c:pt idx="7">
                  <c:v>467.120000000001</c:v>
                </c:pt>
                <c:pt idx="8">
                  <c:v>-6009.36</c:v>
                </c:pt>
                <c:pt idx="9">
                  <c:v>3186.6</c:v>
                </c:pt>
                <c:pt idx="10">
                  <c:v>661.589999999998</c:v>
                </c:pt>
                <c:pt idx="11">
                  <c:v>1911.89</c:v>
                </c:pt>
                <c:pt idx="12">
                  <c:v>-16845.78</c:v>
                </c:pt>
                <c:pt idx="13">
                  <c:v>2012.51</c:v>
                </c:pt>
                <c:pt idx="14">
                  <c:v>12094.34</c:v>
                </c:pt>
                <c:pt idx="15">
                  <c:v>3251.62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saldo_końcowe</c:f>
              <c:strCache>
                <c:ptCount val="1"/>
                <c:pt idx="0">
                  <c:v>saldo_końcowe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Średnia oszczędności</c:name>
            <c:spPr>
              <a:ln>
                <a:solidFill>
                  <a:srgbClr val="579d1c"/>
                </a:solidFill>
              </a:ln>
            </c:spPr>
            <c:trendlineType val="exp"/>
            <c:forward val="0"/>
            <c:backward val="0"/>
            <c:dispRSqr val="0"/>
            <c:dispEq val="0"/>
          </c:trendline>
          <c:cat>
            <c:strRef>
              <c:f>Zestawienie!$C$5:$C$28</c:f>
              <c:strCache>
                <c:ptCount val="24"/>
                <c:pt idx="0">
                  <c:v>Jan-18</c:v>
                </c:pt>
                <c:pt idx="1">
                  <c:v>Feb-18</c:v>
                </c:pt>
                <c:pt idx="2">
                  <c:v>Mar-18</c:v>
                </c:pt>
                <c:pt idx="3">
                  <c:v>Apr-18</c:v>
                </c:pt>
                <c:pt idx="4">
                  <c:v>May-18</c:v>
                </c:pt>
                <c:pt idx="5">
                  <c:v>Jun-18</c:v>
                </c:pt>
                <c:pt idx="6">
                  <c:v>Jul-18</c:v>
                </c:pt>
                <c:pt idx="7">
                  <c:v>Aug-18</c:v>
                </c:pt>
                <c:pt idx="8">
                  <c:v>Sep-18</c:v>
                </c:pt>
                <c:pt idx="9">
                  <c:v>Oct-18</c:v>
                </c:pt>
                <c:pt idx="10">
                  <c:v>Nov-18</c:v>
                </c:pt>
                <c:pt idx="11">
                  <c:v>Dec-18</c:v>
                </c:pt>
                <c:pt idx="12">
                  <c:v>Jan-19</c:v>
                </c:pt>
                <c:pt idx="13">
                  <c:v>Feb-19</c:v>
                </c:pt>
                <c:pt idx="14">
                  <c:v>Mar-19</c:v>
                </c:pt>
                <c:pt idx="15">
                  <c:v>Apr-19</c:v>
                </c:pt>
                <c:pt idx="16">
                  <c:v>May-19</c:v>
                </c:pt>
                <c:pt idx="17">
                  <c:v>Jun-19</c:v>
                </c:pt>
                <c:pt idx="18">
                  <c:v>Jul-19</c:v>
                </c:pt>
                <c:pt idx="19">
                  <c:v>Aug-19</c:v>
                </c:pt>
                <c:pt idx="20">
                  <c:v>Sep-19</c:v>
                </c:pt>
                <c:pt idx="21">
                  <c:v>Oct-19</c:v>
                </c:pt>
                <c:pt idx="22">
                  <c:v>Nov-19</c:v>
                </c:pt>
                <c:pt idx="23">
                  <c:v>Dec-19</c:v>
                </c:pt>
              </c:strCache>
            </c:strRef>
          </c:cat>
          <c:val>
            <c:numRef>
              <c:f>Zestawienie!$G$5:$G$28</c:f>
              <c:numCache>
                <c:formatCode>General</c:formatCode>
                <c:ptCount val="24"/>
                <c:pt idx="0">
                  <c:v>1152.86</c:v>
                </c:pt>
                <c:pt idx="1">
                  <c:v>1724.81</c:v>
                </c:pt>
                <c:pt idx="2">
                  <c:v>2581.54</c:v>
                </c:pt>
                <c:pt idx="3">
                  <c:v>3748.62</c:v>
                </c:pt>
                <c:pt idx="4">
                  <c:v>5508.64</c:v>
                </c:pt>
                <c:pt idx="5">
                  <c:v>5095.1</c:v>
                </c:pt>
                <c:pt idx="6">
                  <c:v>6302.48</c:v>
                </c:pt>
                <c:pt idx="7">
                  <c:v>6769.6</c:v>
                </c:pt>
                <c:pt idx="8">
                  <c:v>760.240000000003</c:v>
                </c:pt>
                <c:pt idx="9">
                  <c:v>3946.84</c:v>
                </c:pt>
                <c:pt idx="10">
                  <c:v>4608.43</c:v>
                </c:pt>
                <c:pt idx="11">
                  <c:v>6520.32</c:v>
                </c:pt>
                <c:pt idx="12">
                  <c:v>-10325.46</c:v>
                </c:pt>
                <c:pt idx="13">
                  <c:v>-8312.95</c:v>
                </c:pt>
                <c:pt idx="14">
                  <c:v>3781.39</c:v>
                </c:pt>
                <c:pt idx="15">
                  <c:v>7033.01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39463"/>
        <c:axId val="68494417"/>
      </c:lineChart>
      <c:catAx>
        <c:axId val="8539463"/>
        <c:scaling>
          <c:orientation val="minMax"/>
        </c:scaling>
        <c:delete val="0"/>
        <c:axPos val="b"/>
        <c:numFmt formatCode="MMM\-YY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494417"/>
        <c:crosses val="autoZero"/>
        <c:auto val="1"/>
        <c:lblAlgn val="ctr"/>
        <c:lblOffset val="100"/>
      </c:catAx>
      <c:valAx>
        <c:axId val="68494417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3946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94876351251296"/>
          <c:y val="0.103253652058433"/>
          <c:w val="0.157411520805568"/>
          <c:h val="0.88031208499336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409680</xdr:colOff>
      <xdr:row>19</xdr:row>
      <xdr:rowOff>44640</xdr:rowOff>
    </xdr:from>
    <xdr:to>
      <xdr:col>24</xdr:col>
      <xdr:colOff>210960</xdr:colOff>
      <xdr:row>42</xdr:row>
      <xdr:rowOff>122040</xdr:rowOff>
    </xdr:to>
    <xdr:graphicFrame>
      <xdr:nvGraphicFramePr>
        <xdr:cNvPr id="0" name="Chart 1"/>
        <xdr:cNvGraphicFramePr/>
      </xdr:nvGraphicFramePr>
      <xdr:xfrm>
        <a:off x="8952120" y="5015160"/>
        <a:ext cx="13608720" cy="41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0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11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12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13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14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5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1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48" activeCellId="0" sqref="R48"/>
    </sheetView>
  </sheetViews>
  <sheetFormatPr defaultRowHeight="13.8" zeroHeight="false" outlineLevelRow="0" outlineLevelCol="0"/>
  <cols>
    <col collapsed="false" customWidth="true" hidden="false" outlineLevel="0" max="2" min="1" style="0" width="12.19"/>
    <col collapsed="false" customWidth="true" hidden="false" outlineLevel="0" max="3" min="3" style="0" width="9.21"/>
    <col collapsed="false" customWidth="true" hidden="false" outlineLevel="0" max="4" min="4" style="0" width="15.43"/>
    <col collapsed="false" customWidth="true" hidden="false" outlineLevel="0" max="5" min="5" style="0" width="14.57"/>
    <col collapsed="false" customWidth="true" hidden="false" outlineLevel="0" max="6" min="6" style="0" width="17.44"/>
    <col collapsed="false" customWidth="true" hidden="false" outlineLevel="0" max="7" min="7" style="0" width="15.04"/>
    <col collapsed="false" customWidth="true" hidden="false" outlineLevel="0" max="8" min="8" style="0" width="8.52"/>
    <col collapsed="false" customWidth="true" hidden="false" outlineLevel="0" max="9" min="9" style="0" width="11.81"/>
    <col collapsed="false" customWidth="true" hidden="false" outlineLevel="0" max="10" min="10" style="0" width="9"/>
    <col collapsed="false" customWidth="true" hidden="false" outlineLevel="0" max="11" min="11" style="0" width="10.28"/>
    <col collapsed="false" customWidth="true" hidden="false" outlineLevel="0" max="12" min="12" style="0" width="10.14"/>
    <col collapsed="false" customWidth="true" hidden="false" outlineLevel="0" max="13" min="13" style="0" width="8.43"/>
    <col collapsed="false" customWidth="true" hidden="false" outlineLevel="0" max="14" min="14" style="0" width="9"/>
    <col collapsed="false" customWidth="true" hidden="false" outlineLevel="0" max="15" min="15" style="0" width="9.85"/>
    <col collapsed="false" customWidth="true" hidden="false" outlineLevel="0" max="16" min="16" style="0" width="7.7"/>
    <col collapsed="false" customWidth="true" hidden="false" outlineLevel="0" max="17" min="17" style="0" width="9.85"/>
    <col collapsed="false" customWidth="true" hidden="false" outlineLevel="0" max="18" min="18" style="0" width="8.14"/>
    <col collapsed="false" customWidth="true" hidden="false" outlineLevel="0" max="19" min="19" style="0" width="7.7"/>
    <col collapsed="false" customWidth="true" hidden="false" outlineLevel="0" max="20" min="20" style="0" width="10.51"/>
    <col collapsed="false" customWidth="true" hidden="false" outlineLevel="0" max="21" min="21" style="0" width="9.14"/>
    <col collapsed="false" customWidth="true" hidden="false" outlineLevel="0" max="22" min="22" style="0" width="7.39"/>
    <col collapsed="false" customWidth="true" hidden="false" outlineLevel="0" max="23" min="23" style="0" width="7.26"/>
    <col collapsed="false" customWidth="true" hidden="false" outlineLevel="0" max="24" min="24" style="0" width="10.57"/>
    <col collapsed="false" customWidth="true" hidden="false" outlineLevel="0" max="25" min="25" style="0" width="9.57"/>
    <col collapsed="false" customWidth="true" hidden="false" outlineLevel="0" max="26" min="26" style="0" width="8.7"/>
    <col collapsed="false" customWidth="true" hidden="false" outlineLevel="0" max="1025" min="27" style="0" width="12.57"/>
  </cols>
  <sheetData>
    <row r="1" customFormat="false" ht="45" hidden="false" customHeight="true" outlineLevel="0" collapsed="false">
      <c r="B1" s="1" t="s">
        <v>0</v>
      </c>
      <c r="C1" s="1"/>
      <c r="D1" s="1"/>
      <c r="E1" s="1"/>
      <c r="F1" s="1"/>
      <c r="G1" s="2" t="s">
        <v>1</v>
      </c>
      <c r="I1" s="3" t="n">
        <f aca="false">(I2/$AA$2)</f>
        <v>0.123879547330506</v>
      </c>
      <c r="J1" s="4" t="n">
        <f aca="false">(J2/$AA$2)</f>
        <v>0.103284693448628</v>
      </c>
      <c r="K1" s="4" t="n">
        <f aca="false">(K2/$AA$2)</f>
        <v>0.0279341706874996</v>
      </c>
      <c r="L1" s="4" t="n">
        <f aca="false">(L2/$AA$2)</f>
        <v>0.0291209848138055</v>
      </c>
      <c r="M1" s="4" t="n">
        <f aca="false">(M2/$AA$2)</f>
        <v>0.1515066604942</v>
      </c>
      <c r="N1" s="4" t="n">
        <f aca="false">(N2/$AA$2)</f>
        <v>0.0843870330907328</v>
      </c>
      <c r="O1" s="4" t="n">
        <f aca="false">(O2/$AA$2)</f>
        <v>0.0256702282051204</v>
      </c>
      <c r="P1" s="4" t="n">
        <f aca="false">(P2/$AA$2)</f>
        <v>0.00478530595870883</v>
      </c>
      <c r="Q1" s="4" t="n">
        <f aca="false">(Q2/$AA$2)</f>
        <v>0.0784215677455252</v>
      </c>
      <c r="R1" s="4" t="n">
        <f aca="false">(R2/$AA$2)</f>
        <v>0.0613537259614161</v>
      </c>
      <c r="S1" s="4" t="n">
        <f aca="false">(S2/$AA$2)</f>
        <v>0.0114492058194369</v>
      </c>
      <c r="T1" s="4" t="n">
        <f aca="false">(T2/$AA$2)</f>
        <v>0.0195681449662256</v>
      </c>
      <c r="U1" s="4" t="n">
        <f aca="false">(U2/$AA$2)</f>
        <v>0.0640294794012707</v>
      </c>
      <c r="V1" s="4" t="n">
        <f aca="false">(V2/$AA$2)</f>
        <v>0.0115949837667409</v>
      </c>
      <c r="W1" s="4" t="n">
        <f aca="false">(W2/$AA$2)</f>
        <v>0.0112639691796295</v>
      </c>
      <c r="X1" s="4" t="n">
        <f aca="false">(X2/$AA$2)</f>
        <v>0.149649048595337</v>
      </c>
      <c r="Y1" s="4" t="n">
        <f aca="false">(Y2/$AA$2)</f>
        <v>0.0112842465632771</v>
      </c>
      <c r="Z1" s="5" t="n">
        <f aca="false">(Z2/$AA$2)</f>
        <v>0.0308170039719402</v>
      </c>
      <c r="AA1" s="6" t="s">
        <v>2</v>
      </c>
    </row>
    <row r="2" customFormat="false" ht="46.5" hidden="false" customHeight="true" outlineLevel="0" collapsed="false">
      <c r="B2" s="7"/>
      <c r="C2" s="7"/>
      <c r="D2" s="8"/>
      <c r="E2" s="8"/>
      <c r="F2" s="8"/>
      <c r="G2" s="9" t="n">
        <f aca="false">'2018.I'!C6+'2018.II'!C6+'2018.III'!C6+'2018.IV'!C6+'2018.V'!C6+'2018.VI'!C6+'2018.VII'!C6+'2018.VIII'!C6+'2018.IX'!C6+'2018.X'!C6+'2018.XI'!C6+'2018.XII'!C6</f>
        <v>134248.83</v>
      </c>
      <c r="H2" s="10" t="s">
        <v>3</v>
      </c>
      <c r="I2" s="11" t="n">
        <f aca="false">SUM(I5:I16)</f>
        <v>15822.95</v>
      </c>
      <c r="J2" s="12" t="n">
        <f aca="false">SUM(J5:J16)</f>
        <v>13192.4</v>
      </c>
      <c r="K2" s="12" t="n">
        <f aca="false">SUM(K5:K16)</f>
        <v>3567.99</v>
      </c>
      <c r="L2" s="13" t="n">
        <f aca="false">SUM(L5:L16)</f>
        <v>3719.58</v>
      </c>
      <c r="M2" s="14" t="n">
        <f aca="false">SUM(M5:M16)</f>
        <v>19351.72</v>
      </c>
      <c r="N2" s="15" t="n">
        <f aca="false">SUM(N5:N16)</f>
        <v>10778.63</v>
      </c>
      <c r="O2" s="16" t="n">
        <f aca="false">SUM(O5:O16)</f>
        <v>3278.82</v>
      </c>
      <c r="P2" s="17" t="n">
        <f aca="false">SUM(P5:P16)</f>
        <v>611.22</v>
      </c>
      <c r="Q2" s="18" t="n">
        <f aca="false">SUM(Q5:Q16)</f>
        <v>10016.67</v>
      </c>
      <c r="R2" s="18" t="n">
        <f aca="false">SUM(R5:R16)</f>
        <v>7836.62</v>
      </c>
      <c r="S2" s="19" t="n">
        <f aca="false">SUM(S5:S16)</f>
        <v>1462.39</v>
      </c>
      <c r="T2" s="19" t="n">
        <f aca="false">SUM(T5:T16)</f>
        <v>2499.41</v>
      </c>
      <c r="U2" s="20" t="n">
        <f aca="false">SUM(U5:U16)</f>
        <v>8178.39</v>
      </c>
      <c r="V2" s="21" t="n">
        <f aca="false">SUM(V5:V16)</f>
        <v>1481.01</v>
      </c>
      <c r="W2" s="21" t="n">
        <f aca="false">SUM(W5:W16)</f>
        <v>1438.73</v>
      </c>
      <c r="X2" s="22" t="n">
        <f aca="false">SUM(X5:X16)</f>
        <v>19114.45</v>
      </c>
      <c r="Y2" s="23" t="n">
        <f aca="false">SUM(Y5:Y16)</f>
        <v>1441.32</v>
      </c>
      <c r="Z2" s="24" t="n">
        <f aca="false">SUM(Z5:Z16)</f>
        <v>3936.21</v>
      </c>
      <c r="AA2" s="25" t="n">
        <f aca="false">SUM(I2:Z2)</f>
        <v>127728.51</v>
      </c>
    </row>
    <row r="3" customFormat="false" ht="42" hidden="false" customHeight="true" outlineLevel="0" collapsed="false">
      <c r="B3" s="26" t="s">
        <v>4</v>
      </c>
      <c r="C3" s="26"/>
      <c r="D3" s="27" t="s">
        <v>2</v>
      </c>
      <c r="E3" s="28" t="n">
        <f aca="false">SUM(E5:E28)</f>
        <v>176577.6</v>
      </c>
      <c r="F3" s="29" t="n">
        <f aca="false">SUM(F5:F28)</f>
        <v>7033.01</v>
      </c>
      <c r="I3" s="30" t="s">
        <v>5</v>
      </c>
      <c r="J3" s="31" t="s">
        <v>6</v>
      </c>
      <c r="K3" s="31"/>
      <c r="L3" s="32" t="s">
        <v>7</v>
      </c>
      <c r="M3" s="33" t="s">
        <v>8</v>
      </c>
      <c r="N3" s="34" t="s">
        <v>9</v>
      </c>
      <c r="O3" s="35" t="s">
        <v>10</v>
      </c>
      <c r="P3" s="36" t="s">
        <v>11</v>
      </c>
      <c r="Q3" s="37" t="s">
        <v>12</v>
      </c>
      <c r="R3" s="37"/>
      <c r="S3" s="36" t="s">
        <v>13</v>
      </c>
      <c r="T3" s="36"/>
      <c r="U3" s="38" t="s">
        <v>14</v>
      </c>
      <c r="V3" s="39" t="s">
        <v>15</v>
      </c>
      <c r="W3" s="39"/>
      <c r="X3" s="40" t="s">
        <v>16</v>
      </c>
      <c r="Y3" s="41" t="s">
        <v>17</v>
      </c>
      <c r="Z3" s="34" t="s">
        <v>18</v>
      </c>
    </row>
    <row r="4" customFormat="false" ht="45" hidden="false" customHeight="true" outlineLevel="0" collapsed="false">
      <c r="B4" s="42" t="s">
        <v>19</v>
      </c>
      <c r="C4" s="42" t="s">
        <v>20</v>
      </c>
      <c r="D4" s="42" t="s">
        <v>21</v>
      </c>
      <c r="E4" s="42" t="s">
        <v>22</v>
      </c>
      <c r="F4" s="43" t="s">
        <v>23</v>
      </c>
      <c r="G4" s="44" t="s">
        <v>24</v>
      </c>
      <c r="H4" s="45" t="s">
        <v>25</v>
      </c>
      <c r="I4" s="46"/>
      <c r="J4" s="47" t="s">
        <v>26</v>
      </c>
      <c r="K4" s="47" t="s">
        <v>27</v>
      </c>
      <c r="L4" s="48"/>
      <c r="M4" s="49"/>
      <c r="N4" s="50"/>
      <c r="O4" s="51"/>
      <c r="P4" s="52"/>
      <c r="Q4" s="53" t="s">
        <v>28</v>
      </c>
      <c r="R4" s="53" t="s">
        <v>29</v>
      </c>
      <c r="S4" s="54" t="s">
        <v>30</v>
      </c>
      <c r="T4" s="54" t="s">
        <v>31</v>
      </c>
      <c r="U4" s="55"/>
      <c r="V4" s="56" t="s">
        <v>26</v>
      </c>
      <c r="W4" s="56" t="s">
        <v>32</v>
      </c>
      <c r="X4" s="57"/>
      <c r="Y4" s="58"/>
      <c r="Z4" s="50"/>
    </row>
    <row r="5" customFormat="false" ht="13.8" hidden="false" customHeight="false" outlineLevel="0" collapsed="false">
      <c r="A5" s="59" t="n">
        <v>2018</v>
      </c>
      <c r="B5" s="60" t="s">
        <v>33</v>
      </c>
      <c r="C5" s="61" t="n">
        <v>43101</v>
      </c>
      <c r="D5" s="62" t="n">
        <f aca="false">'2018.I'!C6</f>
        <v>23261.76</v>
      </c>
      <c r="E5" s="62" t="n">
        <f aca="false">'2018.I'!H6</f>
        <v>22108.9</v>
      </c>
      <c r="F5" s="62" t="n">
        <f aca="false">D5-E5</f>
        <v>1152.86</v>
      </c>
      <c r="G5" s="63" t="n">
        <f aca="false">F5</f>
        <v>1152.86</v>
      </c>
      <c r="H5" s="64"/>
      <c r="I5" s="46" t="n">
        <f aca="false">'2018.I'!J7</f>
        <v>1273.46</v>
      </c>
      <c r="J5" s="47" t="n">
        <f aca="false">'2018.I'!L7</f>
        <v>1173.07</v>
      </c>
      <c r="K5" s="47" t="n">
        <f aca="false">'2018.I'!M7</f>
        <v>308.26</v>
      </c>
      <c r="L5" s="48" t="n">
        <f aca="false">'2018.I'!N7</f>
        <v>254.15</v>
      </c>
      <c r="M5" s="49" t="n">
        <f aca="false">'2018.I'!O7</f>
        <v>1003.97</v>
      </c>
      <c r="N5" s="50" t="n">
        <f aca="false">'2018.I'!P7</f>
        <v>707.38</v>
      </c>
      <c r="O5" s="51" t="n">
        <f aca="false">'2018.I'!Q7</f>
        <v>375.8</v>
      </c>
      <c r="P5" s="52" t="n">
        <f aca="false">'2018.I'!R7</f>
        <v>88.47</v>
      </c>
      <c r="Q5" s="53" t="n">
        <f aca="false">'2018.I'!S7</f>
        <v>895.95</v>
      </c>
      <c r="R5" s="53" t="n">
        <f aca="false">'2018.I'!T7</f>
        <v>539.65</v>
      </c>
      <c r="S5" s="54" t="n">
        <f aca="false">'2018.I'!U7</f>
        <v>466.46</v>
      </c>
      <c r="T5" s="54" t="n">
        <f aca="false">'2018.I'!V7</f>
        <v>143.38</v>
      </c>
      <c r="U5" s="55" t="n">
        <f aca="false">'2018.I'!W7</f>
        <v>677.22</v>
      </c>
      <c r="V5" s="56" t="n">
        <f aca="false">'2018.I'!X7</f>
        <v>84.76</v>
      </c>
      <c r="W5" s="56" t="n">
        <f aca="false">'2018.I'!Y7</f>
        <v>64.93</v>
      </c>
      <c r="X5" s="57" t="n">
        <f aca="false">'2018.I'!Z7</f>
        <v>14051.99</v>
      </c>
      <c r="Y5" s="58"/>
      <c r="Z5" s="50"/>
    </row>
    <row r="6" customFormat="false" ht="13.8" hidden="false" customHeight="false" outlineLevel="0" collapsed="false">
      <c r="A6" s="59"/>
      <c r="B6" s="60" t="s">
        <v>34</v>
      </c>
      <c r="C6" s="61" t="n">
        <v>43132</v>
      </c>
      <c r="D6" s="62" t="n">
        <f aca="false">'2018.II'!C6</f>
        <v>7833.25</v>
      </c>
      <c r="E6" s="62" t="n">
        <f aca="false">'2018.II'!H6</f>
        <v>7261.3</v>
      </c>
      <c r="F6" s="62" t="n">
        <f aca="false">D6-E6</f>
        <v>571.950000000001</v>
      </c>
      <c r="G6" s="63" t="n">
        <f aca="false">G5+F6</f>
        <v>1724.81</v>
      </c>
      <c r="H6" s="64"/>
      <c r="I6" s="46" t="n">
        <f aca="false">'2018.II'!J7</f>
        <v>1493.32</v>
      </c>
      <c r="J6" s="47" t="n">
        <f aca="false">'2018.II'!L7</f>
        <v>1196.85</v>
      </c>
      <c r="K6" s="47" t="n">
        <f aca="false">'2018.II'!M7</f>
        <v>164.16</v>
      </c>
      <c r="L6" s="48" t="n">
        <f aca="false">'2018.II'!N7</f>
        <v>205.73</v>
      </c>
      <c r="M6" s="49" t="n">
        <f aca="false">'2018.II'!O7</f>
        <v>1164</v>
      </c>
      <c r="N6" s="50" t="n">
        <f aca="false">'2018.II'!P7</f>
        <v>512.97</v>
      </c>
      <c r="O6" s="51" t="n">
        <f aca="false">'2018.II'!Q7</f>
        <v>40.97</v>
      </c>
      <c r="P6" s="52" t="n">
        <f aca="false">'2018.II'!R7</f>
        <v>51.29</v>
      </c>
      <c r="Q6" s="53" t="n">
        <f aca="false">'2018.II'!S7</f>
        <v>609.75</v>
      </c>
      <c r="R6" s="53" t="n">
        <f aca="false">'2018.II'!T7</f>
        <v>422.33</v>
      </c>
      <c r="S6" s="54" t="n">
        <f aca="false">'2018.II'!U7</f>
        <v>64.98</v>
      </c>
      <c r="T6" s="54" t="n">
        <f aca="false">'2018.II'!V7</f>
        <v>288.48</v>
      </c>
      <c r="U6" s="55" t="n">
        <f aca="false">'2018.II'!W7</f>
        <v>330.45</v>
      </c>
      <c r="V6" s="56" t="n">
        <f aca="false">'2018.II'!X7</f>
        <v>224.94</v>
      </c>
      <c r="W6" s="56" t="n">
        <f aca="false">'2018.II'!Y7</f>
        <v>141.48</v>
      </c>
      <c r="X6" s="57" t="n">
        <f aca="false">'2018.II'!Z7</f>
        <v>349.6</v>
      </c>
      <c r="Y6" s="58" t="n">
        <f aca="false">'2018.II'!AA7</f>
        <v>0</v>
      </c>
      <c r="Z6" s="50" t="n">
        <f aca="false">'2018.II'!AB7</f>
        <v>0</v>
      </c>
      <c r="AA6" s="65"/>
      <c r="AB6" s="65"/>
    </row>
    <row r="7" customFormat="false" ht="13.8" hidden="false" customHeight="false" outlineLevel="0" collapsed="false">
      <c r="A7" s="59"/>
      <c r="B7" s="60" t="s">
        <v>35</v>
      </c>
      <c r="C7" s="61" t="n">
        <v>43160</v>
      </c>
      <c r="D7" s="62" t="n">
        <f aca="false">'2018.III'!C6</f>
        <v>12854.76</v>
      </c>
      <c r="E7" s="62" t="n">
        <f aca="false">'2018.III'!H6</f>
        <v>11998.03</v>
      </c>
      <c r="F7" s="62" t="n">
        <f aca="false">D7-E7</f>
        <v>856.730000000001</v>
      </c>
      <c r="G7" s="63" t="n">
        <f aca="false">G6+F7</f>
        <v>2581.54</v>
      </c>
      <c r="H7" s="64"/>
      <c r="I7" s="46" t="n">
        <f aca="false">'2018.III'!J7</f>
        <v>1446.71</v>
      </c>
      <c r="J7" s="47" t="n">
        <f aca="false">'2018.III'!L7</f>
        <v>1100.98</v>
      </c>
      <c r="K7" s="47" t="n">
        <f aca="false">'2018.III'!M7</f>
        <v>40.38</v>
      </c>
      <c r="L7" s="48" t="n">
        <f aca="false">'2018.III'!N7</f>
        <v>186.09</v>
      </c>
      <c r="M7" s="49" t="n">
        <f aca="false">'2018.III'!O7</f>
        <v>1053.67</v>
      </c>
      <c r="N7" s="50" t="n">
        <f aca="false">'2018.III'!P7</f>
        <v>5753.45</v>
      </c>
      <c r="O7" s="51" t="n">
        <f aca="false">'2018.III'!Q7</f>
        <v>399.48</v>
      </c>
      <c r="P7" s="52" t="n">
        <f aca="false">'2018.III'!R7</f>
        <v>159.32</v>
      </c>
      <c r="Q7" s="53" t="n">
        <f aca="false">'2018.III'!S7</f>
        <v>618.78</v>
      </c>
      <c r="R7" s="53" t="n">
        <f aca="false">'2018.III'!T7</f>
        <v>369.55</v>
      </c>
      <c r="S7" s="54" t="n">
        <f aca="false">'2018.III'!U7</f>
        <v>88.1</v>
      </c>
      <c r="T7" s="54" t="n">
        <f aca="false">'2018.III'!V7</f>
        <v>120.33</v>
      </c>
      <c r="U7" s="55" t="n">
        <f aca="false">'2018.III'!W7</f>
        <v>238.2</v>
      </c>
      <c r="V7" s="56" t="n">
        <f aca="false">'2018.III'!X7</f>
        <v>169.02</v>
      </c>
      <c r="W7" s="56" t="n">
        <f aca="false">'2018.III'!Y7</f>
        <v>0</v>
      </c>
      <c r="X7" s="57" t="n">
        <f aca="false">'2018.III'!Z7</f>
        <v>253.97</v>
      </c>
      <c r="Y7" s="58" t="n">
        <f aca="false">'2018.III'!AA7</f>
        <v>0</v>
      </c>
      <c r="Z7" s="50" t="n">
        <f aca="false">'2018.III'!AB7</f>
        <v>0</v>
      </c>
      <c r="AA7" s="65"/>
      <c r="AB7" s="65"/>
    </row>
    <row r="8" customFormat="false" ht="13.8" hidden="false" customHeight="false" outlineLevel="0" collapsed="false">
      <c r="A8" s="59"/>
      <c r="B8" s="60" t="s">
        <v>36</v>
      </c>
      <c r="C8" s="61" t="n">
        <v>43191</v>
      </c>
      <c r="D8" s="62" t="n">
        <f aca="false">'2018.IV'!C6</f>
        <v>11149.76</v>
      </c>
      <c r="E8" s="62" t="n">
        <f aca="false">'2018.IV'!H6</f>
        <v>9982.68</v>
      </c>
      <c r="F8" s="62" t="n">
        <f aca="false">D8-E8</f>
        <v>1167.08</v>
      </c>
      <c r="G8" s="63" t="n">
        <f aca="false">G7+F8</f>
        <v>3748.62</v>
      </c>
      <c r="H8" s="64"/>
      <c r="I8" s="46" t="n">
        <f aca="false">'2018.IV'!J7</f>
        <v>1354.18</v>
      </c>
      <c r="J8" s="47" t="n">
        <f aca="false">'2018.IV'!L7</f>
        <v>1115.81</v>
      </c>
      <c r="K8" s="47" t="n">
        <f aca="false">'2018.IV'!M7</f>
        <v>181.59</v>
      </c>
      <c r="L8" s="48" t="n">
        <f aca="false">'2018.IV'!N7</f>
        <v>221.68</v>
      </c>
      <c r="M8" s="49" t="n">
        <f aca="false">'2018.IV'!O7</f>
        <v>2522.45</v>
      </c>
      <c r="N8" s="50" t="n">
        <f aca="false">'2018.IV'!P7</f>
        <v>147.88</v>
      </c>
      <c r="O8" s="51" t="n">
        <f aca="false">'2018.IV'!Q7</f>
        <v>697.9</v>
      </c>
      <c r="P8" s="52" t="n">
        <f aca="false">'2018.IV'!R7</f>
        <v>22.68</v>
      </c>
      <c r="Q8" s="53" t="n">
        <f aca="false">'2018.IV'!S7</f>
        <v>695.66</v>
      </c>
      <c r="R8" s="53" t="n">
        <f aca="false">'2018.IV'!T7</f>
        <v>1583.3</v>
      </c>
      <c r="S8" s="54" t="n">
        <f aca="false">'2018.IV'!U7</f>
        <v>72.36</v>
      </c>
      <c r="T8" s="54" t="n">
        <f aca="false">'2018.IV'!V7</f>
        <v>32.85</v>
      </c>
      <c r="U8" s="55" t="n">
        <f aca="false">'2018.IV'!W7</f>
        <v>13</v>
      </c>
      <c r="V8" s="56" t="n">
        <f aca="false">'2018.IV'!X7</f>
        <v>13.48</v>
      </c>
      <c r="W8" s="56" t="n">
        <f aca="false">'2018.IV'!Y7</f>
        <v>188.11</v>
      </c>
      <c r="X8" s="57" t="n">
        <f aca="false">'2018.IV'!Z7</f>
        <v>118</v>
      </c>
      <c r="Y8" s="58" t="n">
        <f aca="false">'2018.IV'!AA7</f>
        <v>80</v>
      </c>
      <c r="Z8" s="50" t="n">
        <f aca="false">'2018.IV'!AB7</f>
        <v>921.75</v>
      </c>
      <c r="AA8" s="65"/>
      <c r="AB8" s="65"/>
    </row>
    <row r="9" customFormat="false" ht="13.8" hidden="false" customHeight="false" outlineLevel="0" collapsed="false">
      <c r="A9" s="59"/>
      <c r="B9" s="60" t="s">
        <v>37</v>
      </c>
      <c r="C9" s="61" t="n">
        <v>43221</v>
      </c>
      <c r="D9" s="62" t="n">
        <f aca="false">'2018.V'!C6</f>
        <v>9788.76</v>
      </c>
      <c r="E9" s="62" t="n">
        <f aca="false">'2018.V'!H6</f>
        <v>8028.74</v>
      </c>
      <c r="F9" s="62" t="n">
        <f aca="false">D9-E9</f>
        <v>1760.02</v>
      </c>
      <c r="G9" s="63" t="n">
        <f aca="false">G8+F9</f>
        <v>5508.64</v>
      </c>
      <c r="H9" s="64"/>
      <c r="I9" s="46" t="n">
        <f aca="false">'2018.V'!J7</f>
        <v>1340.11</v>
      </c>
      <c r="J9" s="47" t="n">
        <f aca="false">'2018.V'!L7</f>
        <v>756.61</v>
      </c>
      <c r="K9" s="47" t="n">
        <f aca="false">'2018.V'!M7</f>
        <v>644.16</v>
      </c>
      <c r="L9" s="48" t="n">
        <f aca="false">'2018.V'!N7</f>
        <v>308.99</v>
      </c>
      <c r="M9" s="49" t="n">
        <f aca="false">'2018.V'!O7</f>
        <v>940.62</v>
      </c>
      <c r="N9" s="50" t="n">
        <f aca="false">'2018.V'!P7</f>
        <v>189.97</v>
      </c>
      <c r="O9" s="51" t="n">
        <f aca="false">'2018.V'!Q7</f>
        <v>0</v>
      </c>
      <c r="P9" s="52" t="n">
        <f aca="false">'2018.V'!R7</f>
        <v>0</v>
      </c>
      <c r="Q9" s="53" t="n">
        <f aca="false">'2018.V'!S7</f>
        <v>931.73</v>
      </c>
      <c r="R9" s="53" t="n">
        <f aca="false">'2018.V'!T7</f>
        <v>130</v>
      </c>
      <c r="S9" s="54" t="n">
        <f aca="false">'2018.V'!U7</f>
        <v>0</v>
      </c>
      <c r="T9" s="54" t="n">
        <f aca="false">'2018.V'!V7</f>
        <v>32.2</v>
      </c>
      <c r="U9" s="55" t="n">
        <f aca="false">'2018.V'!W7</f>
        <v>740.11</v>
      </c>
      <c r="V9" s="56" t="n">
        <f aca="false">'2018.V'!X7</f>
        <v>123.25</v>
      </c>
      <c r="W9" s="56" t="n">
        <f aca="false">'2018.V'!Y7</f>
        <v>296.62</v>
      </c>
      <c r="X9" s="57" t="n">
        <f aca="false">'2018.V'!Z7</f>
        <v>1007.65</v>
      </c>
      <c r="Y9" s="58" t="n">
        <f aca="false">'2018.V'!AA7</f>
        <v>171.5</v>
      </c>
      <c r="Z9" s="50" t="n">
        <f aca="false">'2018.V'!AB7</f>
        <v>415.22</v>
      </c>
      <c r="AA9" s="65"/>
      <c r="AB9" s="65"/>
    </row>
    <row r="10" customFormat="false" ht="13.8" hidden="false" customHeight="false" outlineLevel="0" collapsed="false">
      <c r="A10" s="59"/>
      <c r="B10" s="60" t="s">
        <v>38</v>
      </c>
      <c r="C10" s="61" t="n">
        <v>43252</v>
      </c>
      <c r="D10" s="62" t="n">
        <f aca="false">'2018.VI'!C6</f>
        <v>8373.76</v>
      </c>
      <c r="E10" s="62" t="n">
        <f aca="false">'2018.VI'!H6</f>
        <v>8787.3</v>
      </c>
      <c r="F10" s="62" t="n">
        <f aca="false">D10-E10</f>
        <v>-413.540000000001</v>
      </c>
      <c r="G10" s="63" t="n">
        <f aca="false">G9+F10</f>
        <v>5095.1</v>
      </c>
      <c r="H10" s="64"/>
      <c r="I10" s="46" t="n">
        <f aca="false">'2018.VI'!J7</f>
        <v>1336.99</v>
      </c>
      <c r="J10" s="47" t="n">
        <f aca="false">'2018.VI'!L7</f>
        <v>971.46</v>
      </c>
      <c r="K10" s="47" t="n">
        <f aca="false">'2018.VI'!M7</f>
        <v>556.19</v>
      </c>
      <c r="L10" s="48" t="n">
        <f aca="false">'2018.VI'!N7</f>
        <v>104</v>
      </c>
      <c r="M10" s="49" t="n">
        <f aca="false">'2018.VI'!O7</f>
        <v>444.29</v>
      </c>
      <c r="N10" s="50" t="n">
        <f aca="false">'2018.VI'!P7</f>
        <v>313.72</v>
      </c>
      <c r="O10" s="51" t="n">
        <f aca="false">'2018.VI'!Q7</f>
        <v>776.8</v>
      </c>
      <c r="P10" s="52" t="n">
        <f aca="false">'2018.VI'!R7</f>
        <v>0</v>
      </c>
      <c r="Q10" s="53" t="n">
        <f aca="false">'2018.VI'!S7</f>
        <v>1191.4</v>
      </c>
      <c r="R10" s="53" t="n">
        <f aca="false">'2018.VI'!T7</f>
        <v>1563.19</v>
      </c>
      <c r="S10" s="54" t="n">
        <f aca="false">'2018.VI'!U7</f>
        <v>0</v>
      </c>
      <c r="T10" s="54" t="n">
        <f aca="false">'2018.VI'!V7</f>
        <v>85</v>
      </c>
      <c r="U10" s="55" t="n">
        <f aca="false">'2018.VI'!W7</f>
        <v>545.44</v>
      </c>
      <c r="V10" s="56" t="n">
        <f aca="false">'2018.VI'!X7</f>
        <v>41.44</v>
      </c>
      <c r="W10" s="56" t="n">
        <f aca="false">'2018.VI'!Y7</f>
        <v>106.1</v>
      </c>
      <c r="X10" s="57" t="n">
        <f aca="false">'2018.VI'!Z7</f>
        <v>381.6</v>
      </c>
      <c r="Y10" s="58" t="n">
        <f aca="false">'2018.VI'!AA7</f>
        <v>120</v>
      </c>
      <c r="Z10" s="50" t="n">
        <f aca="false">'2018.VI'!AB7</f>
        <v>249.68</v>
      </c>
      <c r="AA10" s="65"/>
      <c r="AB10" s="65"/>
    </row>
    <row r="11" customFormat="false" ht="13.8" hidden="false" customHeight="false" outlineLevel="0" collapsed="false">
      <c r="A11" s="59"/>
      <c r="B11" s="60" t="s">
        <v>39</v>
      </c>
      <c r="C11" s="61" t="n">
        <v>43282</v>
      </c>
      <c r="D11" s="62" t="n">
        <f aca="false">'2018.VII'!C6</f>
        <v>11528.6</v>
      </c>
      <c r="E11" s="62" t="n">
        <f aca="false">'2018.VII'!H6</f>
        <v>10321.22</v>
      </c>
      <c r="F11" s="62" t="n">
        <f aca="false">'2018.VII'!I4</f>
        <v>1207.38</v>
      </c>
      <c r="G11" s="63" t="n">
        <f aca="false">G10+F11</f>
        <v>6302.48</v>
      </c>
      <c r="H11" s="64"/>
      <c r="I11" s="46" t="n">
        <f aca="false">'2018.VII'!J7</f>
        <v>1744.92</v>
      </c>
      <c r="J11" s="47" t="n">
        <f aca="false">'2018.VII'!L7</f>
        <v>1487.85</v>
      </c>
      <c r="K11" s="47" t="n">
        <f aca="false">'2018.VII'!M7</f>
        <v>408.22</v>
      </c>
      <c r="L11" s="48" t="n">
        <f aca="false">'2018.VII'!N7</f>
        <v>676.72</v>
      </c>
      <c r="M11" s="49" t="n">
        <f aca="false">'2018.VII'!O7</f>
        <v>155.59</v>
      </c>
      <c r="N11" s="50" t="n">
        <f aca="false">'2018.VII'!P7</f>
        <v>100.39</v>
      </c>
      <c r="O11" s="51" t="n">
        <f aca="false">'2018.VII'!Q7</f>
        <v>248.89</v>
      </c>
      <c r="P11" s="52" t="n">
        <f aca="false">'2018.VII'!R7</f>
        <v>198.36</v>
      </c>
      <c r="Q11" s="53" t="n">
        <f aca="false">'2018.VII'!S7</f>
        <v>972.07</v>
      </c>
      <c r="R11" s="53" t="n">
        <f aca="false">'2018.VII'!T7</f>
        <v>728</v>
      </c>
      <c r="S11" s="54" t="n">
        <f aca="false">'2018.VII'!U7</f>
        <v>0</v>
      </c>
      <c r="T11" s="54" t="n">
        <f aca="false">'2018.VII'!V7</f>
        <v>97.94</v>
      </c>
      <c r="U11" s="55" t="n">
        <f aca="false">'2018.VII'!W7</f>
        <v>1009.98</v>
      </c>
      <c r="V11" s="56" t="n">
        <f aca="false">'2018.VII'!X7</f>
        <v>435.87</v>
      </c>
      <c r="W11" s="56" t="n">
        <f aca="false">'2018.VII'!Y7</f>
        <v>68.95</v>
      </c>
      <c r="X11" s="57" t="n">
        <f aca="false">'2018.VII'!Z7</f>
        <v>1645.5</v>
      </c>
      <c r="Y11" s="58" t="n">
        <f aca="false">'2018.VII'!AA7</f>
        <v>160</v>
      </c>
      <c r="Z11" s="50" t="n">
        <f aca="false">'2018.VII'!AB7</f>
        <v>181.97</v>
      </c>
      <c r="AA11" s="65"/>
      <c r="AB11" s="65"/>
    </row>
    <row r="12" customFormat="false" ht="13.8" hidden="false" customHeight="false" outlineLevel="0" collapsed="false">
      <c r="A12" s="59"/>
      <c r="B12" s="60" t="s">
        <v>40</v>
      </c>
      <c r="C12" s="61" t="n">
        <v>43313</v>
      </c>
      <c r="D12" s="62" t="n">
        <f aca="false">'2018.VIII'!C6</f>
        <v>8447.14</v>
      </c>
      <c r="E12" s="62" t="n">
        <f aca="false">'2018.VIII'!H6</f>
        <v>7980.02</v>
      </c>
      <c r="F12" s="62" t="n">
        <f aca="false">'2018.VIII'!I4</f>
        <v>467.120000000001</v>
      </c>
      <c r="G12" s="63" t="n">
        <f aca="false">G11+F12</f>
        <v>6769.6</v>
      </c>
      <c r="H12" s="64"/>
      <c r="I12" s="46" t="n">
        <f aca="false">'2018.VIII'!J7</f>
        <v>1419.45</v>
      </c>
      <c r="J12" s="47" t="n">
        <f aca="false">'2018.VIII'!L7</f>
        <v>1130.83</v>
      </c>
      <c r="K12" s="47" t="n">
        <f aca="false">'2018.VIII'!M7</f>
        <v>388.89</v>
      </c>
      <c r="L12" s="48" t="n">
        <f aca="false">'2018.VIII'!N7</f>
        <v>327.64</v>
      </c>
      <c r="M12" s="49" t="n">
        <f aca="false">'2018.VIII'!O7</f>
        <v>657.83</v>
      </c>
      <c r="N12" s="50" t="n">
        <f aca="false">'2018.VIII'!P7</f>
        <v>136.89</v>
      </c>
      <c r="O12" s="51" t="n">
        <f aca="false">'2018.VIII'!Q7</f>
        <v>427.56</v>
      </c>
      <c r="P12" s="52" t="n">
        <f aca="false">'2018.VIII'!R7</f>
        <v>71.12</v>
      </c>
      <c r="Q12" s="53" t="n">
        <f aca="false">'2018.VIII'!S7</f>
        <v>929.69</v>
      </c>
      <c r="R12" s="53" t="n">
        <f aca="false">'2018.VIII'!T7</f>
        <v>219.96</v>
      </c>
      <c r="S12" s="54" t="n">
        <f aca="false">'2018.VIII'!U7</f>
        <v>0</v>
      </c>
      <c r="T12" s="54" t="n">
        <f aca="false">'2018.VIII'!V7</f>
        <v>67.94</v>
      </c>
      <c r="U12" s="55" t="n">
        <f aca="false">'2018.VIII'!W7</f>
        <v>676.46</v>
      </c>
      <c r="V12" s="56" t="n">
        <f aca="false">'2018.VIII'!X7</f>
        <v>0</v>
      </c>
      <c r="W12" s="56" t="n">
        <f aca="false">'2018.VIII'!Y7</f>
        <v>190.95</v>
      </c>
      <c r="X12" s="57" t="n">
        <f aca="false">'2018.VIII'!Z7</f>
        <v>266.99</v>
      </c>
      <c r="Y12" s="58" t="n">
        <f aca="false">'2018.VIII'!AA7</f>
        <v>639</v>
      </c>
      <c r="Z12" s="50" t="n">
        <f aca="false">'2018.VIII'!AB7</f>
        <v>428.82</v>
      </c>
      <c r="AA12" s="65"/>
      <c r="AB12" s="65"/>
    </row>
    <row r="13" customFormat="false" ht="13.8" hidden="false" customHeight="false" outlineLevel="0" collapsed="false">
      <c r="A13" s="59"/>
      <c r="B13" s="60" t="s">
        <v>41</v>
      </c>
      <c r="C13" s="61" t="n">
        <v>43344</v>
      </c>
      <c r="D13" s="62" t="n">
        <f aca="false">'2018.IX'!C6</f>
        <v>11268.64</v>
      </c>
      <c r="E13" s="62" t="n">
        <f aca="false">'2018.IX'!H6</f>
        <v>17278</v>
      </c>
      <c r="F13" s="62" t="n">
        <f aca="false">'2018.IX'!I4</f>
        <v>-6009.36</v>
      </c>
      <c r="G13" s="63" t="n">
        <f aca="false">G12+F13</f>
        <v>760.240000000003</v>
      </c>
      <c r="H13" s="64"/>
      <c r="I13" s="46" t="n">
        <f aca="false">'2018.IX'!J7</f>
        <v>1456.36</v>
      </c>
      <c r="J13" s="47" t="n">
        <f aca="false">'2018.IX'!L7</f>
        <v>365.45</v>
      </c>
      <c r="K13" s="47" t="n">
        <f aca="false">'2018.IX'!M7</f>
        <v>99.47</v>
      </c>
      <c r="L13" s="48" t="n">
        <f aca="false">'2018.IX'!N7</f>
        <v>47.74</v>
      </c>
      <c r="M13" s="49" t="n">
        <f aca="false">'2018.IX'!O7</f>
        <v>10230.99</v>
      </c>
      <c r="N13" s="50" t="n">
        <f aca="false">'2018.IX'!P7</f>
        <v>2550.96</v>
      </c>
      <c r="O13" s="51" t="n">
        <f aca="false">'2018.IX'!Q7</f>
        <v>77.99</v>
      </c>
      <c r="P13" s="52" t="n">
        <f aca="false">'2018.IX'!R7</f>
        <v>0</v>
      </c>
      <c r="Q13" s="53" t="n">
        <f aca="false">'2018.IX'!S7</f>
        <v>741.61</v>
      </c>
      <c r="R13" s="53" t="n">
        <f aca="false">'2018.IX'!T7</f>
        <v>647.42</v>
      </c>
      <c r="S13" s="54" t="n">
        <f aca="false">'2018.IX'!U7</f>
        <v>0</v>
      </c>
      <c r="T13" s="54" t="n">
        <f aca="false">'2018.IX'!V7</f>
        <v>132.39</v>
      </c>
      <c r="U13" s="55" t="n">
        <f aca="false">'2018.IX'!W7</f>
        <v>195.89</v>
      </c>
      <c r="V13" s="56" t="n">
        <f aca="false">'2018.IX'!X7</f>
        <v>63.3</v>
      </c>
      <c r="W13" s="56" t="n">
        <f aca="false">'2018.IX'!Y7</f>
        <v>17.83</v>
      </c>
      <c r="X13" s="57" t="n">
        <f aca="false">'2018.IX'!Z7</f>
        <v>449.99</v>
      </c>
      <c r="Y13" s="58" t="n">
        <f aca="false">'2018.IX'!AA7</f>
        <v>49.82</v>
      </c>
      <c r="Z13" s="50" t="n">
        <f aca="false">'2018.IX'!AB7</f>
        <v>150.79</v>
      </c>
      <c r="AA13" s="65"/>
      <c r="AB13" s="65"/>
    </row>
    <row r="14" customFormat="false" ht="13.8" hidden="false" customHeight="false" outlineLevel="0" collapsed="false">
      <c r="A14" s="59"/>
      <c r="B14" s="60" t="s">
        <v>42</v>
      </c>
      <c r="C14" s="61" t="n">
        <v>43374</v>
      </c>
      <c r="D14" s="62" t="n">
        <f aca="false">'2018.X'!C6</f>
        <v>11075.64</v>
      </c>
      <c r="E14" s="62" t="n">
        <f aca="false">'2018.X'!H6</f>
        <v>7889.04</v>
      </c>
      <c r="F14" s="62" t="n">
        <f aca="false">'2018.X'!I4</f>
        <v>3186.6</v>
      </c>
      <c r="G14" s="63" t="n">
        <f aca="false">G13+F14</f>
        <v>3946.84</v>
      </c>
      <c r="H14" s="64"/>
      <c r="I14" s="46" t="n">
        <f aca="false">'2018.X'!J7</f>
        <v>834.08</v>
      </c>
      <c r="J14" s="47" t="n">
        <f aca="false">'2018.X'!L7</f>
        <v>1411.11</v>
      </c>
      <c r="K14" s="47" t="n">
        <f aca="false">'2018.X'!M7</f>
        <v>152.56</v>
      </c>
      <c r="L14" s="48" t="n">
        <f aca="false">'2018.X'!N7</f>
        <v>711.96</v>
      </c>
      <c r="M14" s="49" t="n">
        <f aca="false">'2018.X'!O7</f>
        <v>481.48</v>
      </c>
      <c r="N14" s="50" t="n">
        <f aca="false">'2018.X'!P7</f>
        <v>78.93</v>
      </c>
      <c r="O14" s="51" t="n">
        <f aca="false">'2018.X'!Q7</f>
        <v>69.98</v>
      </c>
      <c r="P14" s="52" t="n">
        <f aca="false">'2018.X'!R7</f>
        <v>19.98</v>
      </c>
      <c r="Q14" s="53" t="n">
        <f aca="false">'2018.X'!S7</f>
        <v>1011.2</v>
      </c>
      <c r="R14" s="53" t="n">
        <f aca="false">'2018.X'!T7</f>
        <v>328.87</v>
      </c>
      <c r="S14" s="54" t="n">
        <f aca="false">'2018.X'!U7</f>
        <v>216.74</v>
      </c>
      <c r="T14" s="54" t="n">
        <f aca="false">'2018.X'!V7</f>
        <v>90</v>
      </c>
      <c r="U14" s="55" t="n">
        <f aca="false">'2018.X'!W7</f>
        <v>1789.59</v>
      </c>
      <c r="V14" s="56" t="n">
        <f aca="false">'2018.X'!X7</f>
        <v>89.82</v>
      </c>
      <c r="W14" s="56" t="n">
        <f aca="false">'2018.X'!Y7</f>
        <v>59.98</v>
      </c>
      <c r="X14" s="57" t="n">
        <f aca="false">'2018.X'!Z7</f>
        <v>321.76</v>
      </c>
      <c r="Y14" s="58" t="n">
        <f aca="false">'2018.X'!AA7</f>
        <v>221</v>
      </c>
      <c r="Z14" s="50" t="n">
        <f aca="false">'2018.X'!AB7</f>
        <v>0</v>
      </c>
      <c r="AA14" s="65"/>
      <c r="AB14" s="65"/>
    </row>
    <row r="15" customFormat="false" ht="13.8" hidden="false" customHeight="false" outlineLevel="0" collapsed="false">
      <c r="A15" s="59"/>
      <c r="B15" s="60" t="s">
        <v>43</v>
      </c>
      <c r="C15" s="61" t="n">
        <v>43405</v>
      </c>
      <c r="D15" s="62" t="n">
        <f aca="false">'2018.XI'!C6</f>
        <v>8895.64</v>
      </c>
      <c r="E15" s="62" t="n">
        <f aca="false">'2018.XI'!H6</f>
        <v>8234.05</v>
      </c>
      <c r="F15" s="62" t="n">
        <f aca="false">'2018.XI'!I4</f>
        <v>661.589999999998</v>
      </c>
      <c r="G15" s="63" t="n">
        <f aca="false">G14+F15</f>
        <v>4608.43</v>
      </c>
      <c r="H15" s="64"/>
      <c r="I15" s="46" t="n">
        <f aca="false">'2018.XI'!J7</f>
        <v>840.1</v>
      </c>
      <c r="J15" s="47" t="n">
        <f aca="false">'2018.XI'!L7</f>
        <v>1212.87</v>
      </c>
      <c r="K15" s="47" t="n">
        <f aca="false">'2018.XI'!M7</f>
        <v>158.77</v>
      </c>
      <c r="L15" s="48" t="n">
        <f aca="false">'2018.XI'!N7</f>
        <v>165.29</v>
      </c>
      <c r="M15" s="49" t="n">
        <f aca="false">'2018.XI'!O7</f>
        <v>50</v>
      </c>
      <c r="N15" s="50" t="n">
        <f aca="false">'2018.XI'!P7</f>
        <v>192.99</v>
      </c>
      <c r="O15" s="51" t="n">
        <f aca="false">'2018.XI'!Q7</f>
        <v>71.5</v>
      </c>
      <c r="P15" s="52" t="n">
        <f aca="false">'2018.XI'!R7</f>
        <v>0</v>
      </c>
      <c r="Q15" s="53" t="n">
        <f aca="false">'2018.XI'!S7</f>
        <v>635.53</v>
      </c>
      <c r="R15" s="53" t="n">
        <f aca="false">'2018.XI'!T7</f>
        <v>1260.95</v>
      </c>
      <c r="S15" s="54" t="n">
        <f aca="false">'2018.XI'!U7</f>
        <v>399.7</v>
      </c>
      <c r="T15" s="54" t="n">
        <f aca="false">'2018.XI'!V7</f>
        <v>1058.9</v>
      </c>
      <c r="U15" s="55" t="n">
        <f aca="false">'2018.XI'!W7</f>
        <v>877.83</v>
      </c>
      <c r="V15" s="56" t="n">
        <f aca="false">'2018.XI'!X7</f>
        <v>68.54</v>
      </c>
      <c r="W15" s="56" t="n">
        <f aca="false">'2018.XI'!Y7</f>
        <v>0</v>
      </c>
      <c r="X15" s="57" t="n">
        <f aca="false">'2018.XI'!Z7</f>
        <v>123.3</v>
      </c>
      <c r="Y15" s="58" t="n">
        <f aca="false">'2018.XI'!AA7</f>
        <v>0</v>
      </c>
      <c r="Z15" s="50" t="n">
        <f aca="false">'2018.XI'!AB7</f>
        <v>1117.78</v>
      </c>
      <c r="AA15" s="65"/>
      <c r="AB15" s="65"/>
    </row>
    <row r="16" customFormat="false" ht="14.2" hidden="false" customHeight="false" outlineLevel="0" collapsed="false">
      <c r="A16" s="59"/>
      <c r="B16" s="60" t="s">
        <v>44</v>
      </c>
      <c r="C16" s="61" t="n">
        <v>43435</v>
      </c>
      <c r="D16" s="62" t="n">
        <f aca="false">'2018.XII'!C6</f>
        <v>9771.12</v>
      </c>
      <c r="E16" s="62" t="n">
        <f aca="false">'2018.XII'!H6</f>
        <v>7859.23</v>
      </c>
      <c r="F16" s="62" t="n">
        <f aca="false">'2018.XII'!I4</f>
        <v>1911.89</v>
      </c>
      <c r="G16" s="63" t="n">
        <f aca="false">G15+F16</f>
        <v>6520.32</v>
      </c>
      <c r="H16" s="64"/>
      <c r="I16" s="46" t="n">
        <f aca="false">'2018.XII'!J7</f>
        <v>1283.27</v>
      </c>
      <c r="J16" s="47" t="n">
        <f aca="false">'2018.XII'!L7</f>
        <v>1269.51</v>
      </c>
      <c r="K16" s="47" t="n">
        <f aca="false">'2018.XII'!M7</f>
        <v>465.34</v>
      </c>
      <c r="L16" s="48" t="n">
        <f aca="false">'2018.XII'!N7</f>
        <v>509.59</v>
      </c>
      <c r="M16" s="49" t="n">
        <f aca="false">'2018.XII'!O7</f>
        <v>646.83</v>
      </c>
      <c r="N16" s="50" t="n">
        <f aca="false">'2018.XII'!P7</f>
        <v>93.1</v>
      </c>
      <c r="O16" s="51" t="n">
        <f aca="false">'2018.XII'!Q7</f>
        <v>91.95</v>
      </c>
      <c r="P16" s="52" t="n">
        <f aca="false">'2018.XII'!R7</f>
        <v>0</v>
      </c>
      <c r="Q16" s="53" t="n">
        <f aca="false">'2018.XII'!S7</f>
        <v>783.3</v>
      </c>
      <c r="R16" s="53" t="n">
        <f aca="false">'2018.XII'!T7</f>
        <v>43.4</v>
      </c>
      <c r="S16" s="54" t="n">
        <f aca="false">'2018.XII'!U7</f>
        <v>154.05</v>
      </c>
      <c r="T16" s="54" t="n">
        <f aca="false">'2018.XII'!V7</f>
        <v>350</v>
      </c>
      <c r="U16" s="55" t="n">
        <f aca="false">'2018.XII'!W7</f>
        <v>1084.22</v>
      </c>
      <c r="V16" s="56" t="n">
        <f aca="false">'2018.XII'!X7</f>
        <v>166.59</v>
      </c>
      <c r="W16" s="56" t="n">
        <f aca="false">'2018.XII'!Y7</f>
        <v>303.78</v>
      </c>
      <c r="X16" s="57" t="n">
        <f aca="false">'2018.XII'!Z7</f>
        <v>144.1</v>
      </c>
      <c r="Y16" s="58" t="n">
        <f aca="false">'2018.XII'!AA7</f>
        <v>0</v>
      </c>
      <c r="Z16" s="50" t="n">
        <f aca="false">'2018.XII'!AB7</f>
        <v>470.2</v>
      </c>
      <c r="AA16" s="65"/>
      <c r="AB16" s="65"/>
    </row>
    <row r="17" customFormat="false" ht="17.35" hidden="false" customHeight="true" outlineLevel="0" collapsed="false">
      <c r="A17" s="59" t="n">
        <v>2019</v>
      </c>
      <c r="B17" s="60" t="s">
        <v>33</v>
      </c>
      <c r="C17" s="66" t="n">
        <v>43466</v>
      </c>
      <c r="D17" s="62" t="n">
        <f aca="false">'2019.I'!C6</f>
        <v>9218.64</v>
      </c>
      <c r="E17" s="62" t="n">
        <f aca="false">'2019.I'!H6</f>
        <v>26064.42</v>
      </c>
      <c r="F17" s="62" t="n">
        <f aca="false">'2019.I'!I4</f>
        <v>-16845.78</v>
      </c>
      <c r="G17" s="63" t="n">
        <f aca="false">G16+F17</f>
        <v>-10325.46</v>
      </c>
      <c r="AA17" s="65"/>
      <c r="AB17" s="65"/>
    </row>
    <row r="18" customFormat="false" ht="15.75" hidden="false" customHeight="true" outlineLevel="0" collapsed="false">
      <c r="A18" s="59"/>
      <c r="B18" s="60" t="s">
        <v>34</v>
      </c>
      <c r="C18" s="66" t="n">
        <v>43497</v>
      </c>
      <c r="D18" s="62" t="n">
        <f aca="false">'2019.II'!C6</f>
        <v>7939.5</v>
      </c>
      <c r="E18" s="62" t="n">
        <f aca="false">'2019.II'!H6</f>
        <v>5926.99</v>
      </c>
      <c r="F18" s="62" t="n">
        <f aca="false">'2019.II'!I4</f>
        <v>2012.51</v>
      </c>
      <c r="G18" s="63" t="n">
        <f aca="false">G17+F18</f>
        <v>-8312.95</v>
      </c>
      <c r="I18" s="67" t="n">
        <f aca="false">SUM(I19:I31)</f>
        <v>0</v>
      </c>
      <c r="J18" s="67" t="n">
        <f aca="false">SUM(J19:J31)</f>
        <v>0</v>
      </c>
      <c r="K18" s="67" t="n">
        <f aca="false">SUM(K19:K31)</f>
        <v>0</v>
      </c>
      <c r="L18" s="67" t="n">
        <f aca="false">SUM(L19:L31)</f>
        <v>0</v>
      </c>
      <c r="M18" s="67" t="n">
        <f aca="false">SUM(M19:M31)</f>
        <v>0</v>
      </c>
      <c r="N18" s="67" t="n">
        <f aca="false">SUM(N19:N31)</f>
        <v>0</v>
      </c>
      <c r="O18" s="67" t="n">
        <f aca="false">SUM(O19:O31)</f>
        <v>0</v>
      </c>
      <c r="P18" s="67" t="n">
        <f aca="false">SUM(P19:P31)</f>
        <v>0</v>
      </c>
      <c r="Q18" s="67" t="n">
        <f aca="false">SUM(Q19:Q31)</f>
        <v>0</v>
      </c>
      <c r="R18" s="67" t="n">
        <f aca="false">SUM(R19:R31)</f>
        <v>0</v>
      </c>
      <c r="S18" s="67" t="n">
        <f aca="false">SUM(S19:S31)</f>
        <v>0</v>
      </c>
      <c r="T18" s="67" t="n">
        <f aca="false">SUM(T19:T31)</f>
        <v>0</v>
      </c>
      <c r="U18" s="67" t="n">
        <f aca="false">SUM(U19:U31)</f>
        <v>0</v>
      </c>
      <c r="V18" s="67" t="n">
        <f aca="false">SUM(V19:V31)</f>
        <v>0</v>
      </c>
      <c r="W18" s="67" t="n">
        <f aca="false">SUM(W19:W31)</f>
        <v>0</v>
      </c>
      <c r="X18" s="67" t="n">
        <f aca="false">SUM(X19:X31)</f>
        <v>0</v>
      </c>
      <c r="Y18" s="67" t="n">
        <f aca="false">SUM(Y19:Y31)</f>
        <v>0</v>
      </c>
      <c r="Z18" s="67" t="n">
        <f aca="false">SUM(Z19:Z31)</f>
        <v>0</v>
      </c>
      <c r="AA18" s="67" t="n">
        <f aca="false">SUM(AA19:AA31)</f>
        <v>0</v>
      </c>
      <c r="AB18" s="65"/>
    </row>
    <row r="19" customFormat="false" ht="13.8" hidden="false" customHeight="false" outlineLevel="0" collapsed="false">
      <c r="A19" s="59"/>
      <c r="B19" s="60" t="s">
        <v>35</v>
      </c>
      <c r="C19" s="66" t="n">
        <v>43525</v>
      </c>
      <c r="D19" s="62" t="n">
        <f aca="false">'2019.III'!C6</f>
        <v>22441.64</v>
      </c>
      <c r="E19" s="62" t="n">
        <f aca="false">'2019.III'!H6</f>
        <v>10347.3</v>
      </c>
      <c r="F19" s="62" t="n">
        <f aca="false">'2019.III'!I4</f>
        <v>12094.34</v>
      </c>
      <c r="G19" s="63" t="n">
        <f aca="false">G18+F19</f>
        <v>3781.39</v>
      </c>
      <c r="AA19" s="65"/>
      <c r="AB19" s="65"/>
    </row>
    <row r="20" customFormat="false" ht="13.8" hidden="false" customHeight="false" outlineLevel="0" collapsed="false">
      <c r="A20" s="59"/>
      <c r="B20" s="60" t="s">
        <v>36</v>
      </c>
      <c r="C20" s="66" t="n">
        <v>43556</v>
      </c>
      <c r="D20" s="62" t="n">
        <f aca="false">'2019.II'!C6</f>
        <v>7939.5</v>
      </c>
      <c r="E20" s="62" t="n">
        <f aca="false">'2019.IV'!H6</f>
        <v>6510.38</v>
      </c>
      <c r="F20" s="62" t="n">
        <f aca="false">'2019.IV'!I4</f>
        <v>3251.62</v>
      </c>
      <c r="G20" s="63" t="n">
        <f aca="false">G19+F20</f>
        <v>7033.01</v>
      </c>
      <c r="AA20" s="65"/>
      <c r="AB20" s="65"/>
    </row>
    <row r="21" customFormat="false" ht="13.8" hidden="false" customHeight="false" outlineLevel="0" collapsed="false">
      <c r="A21" s="59"/>
      <c r="B21" s="60" t="s">
        <v>37</v>
      </c>
      <c r="C21" s="66" t="n">
        <v>43586</v>
      </c>
      <c r="D21" s="62" t="n">
        <f aca="false">'2019.I'!C10</f>
        <v>0</v>
      </c>
      <c r="E21" s="62"/>
      <c r="F21" s="62"/>
      <c r="AA21" s="65"/>
      <c r="AB21" s="65"/>
    </row>
    <row r="22" customFormat="false" ht="13.8" hidden="false" customHeight="false" outlineLevel="0" collapsed="false">
      <c r="A22" s="59"/>
      <c r="B22" s="60" t="s">
        <v>38</v>
      </c>
      <c r="C22" s="66" t="n">
        <v>43617</v>
      </c>
      <c r="D22" s="62" t="n">
        <f aca="false">'2019.II'!C10</f>
        <v>0</v>
      </c>
      <c r="E22" s="62"/>
      <c r="F22" s="62"/>
    </row>
    <row r="23" customFormat="false" ht="13.8" hidden="false" customHeight="false" outlineLevel="0" collapsed="false">
      <c r="A23" s="59"/>
      <c r="B23" s="60" t="s">
        <v>39</v>
      </c>
      <c r="C23" s="66" t="n">
        <v>43647</v>
      </c>
      <c r="D23" s="62" t="n">
        <f aca="false">'2019.I'!C12</f>
        <v>0</v>
      </c>
      <c r="E23" s="62"/>
      <c r="F23" s="62"/>
    </row>
    <row r="24" customFormat="false" ht="13.8" hidden="false" customHeight="false" outlineLevel="0" collapsed="false">
      <c r="A24" s="59"/>
      <c r="B24" s="60" t="s">
        <v>40</v>
      </c>
      <c r="C24" s="66" t="n">
        <v>43678</v>
      </c>
      <c r="D24" s="62" t="n">
        <f aca="false">'2019.II'!C12</f>
        <v>0</v>
      </c>
      <c r="E24" s="62"/>
      <c r="F24" s="62"/>
    </row>
    <row r="25" customFormat="false" ht="13.8" hidden="false" customHeight="false" outlineLevel="0" collapsed="false">
      <c r="A25" s="59"/>
      <c r="B25" s="60" t="s">
        <v>41</v>
      </c>
      <c r="C25" s="66" t="n">
        <v>43709</v>
      </c>
      <c r="D25" s="62" t="n">
        <f aca="false">'2019.I'!C14</f>
        <v>0</v>
      </c>
      <c r="E25" s="62"/>
      <c r="F25" s="62"/>
    </row>
    <row r="26" customFormat="false" ht="13.8" hidden="false" customHeight="false" outlineLevel="0" collapsed="false">
      <c r="A26" s="59"/>
      <c r="B26" s="60" t="s">
        <v>42</v>
      </c>
      <c r="C26" s="66" t="n">
        <v>43739</v>
      </c>
      <c r="D26" s="62" t="n">
        <f aca="false">'2019.II'!C14</f>
        <v>0</v>
      </c>
      <c r="E26" s="62"/>
      <c r="F26" s="62"/>
    </row>
    <row r="27" customFormat="false" ht="13.8" hidden="false" customHeight="false" outlineLevel="0" collapsed="false">
      <c r="A27" s="59"/>
      <c r="B27" s="60" t="s">
        <v>43</v>
      </c>
      <c r="C27" s="66" t="n">
        <v>43770</v>
      </c>
      <c r="D27" s="62" t="n">
        <f aca="false">'2019.I'!C16</f>
        <v>0</v>
      </c>
      <c r="E27" s="62"/>
      <c r="F27" s="62"/>
    </row>
    <row r="28" customFormat="false" ht="13.8" hidden="false" customHeight="false" outlineLevel="0" collapsed="false">
      <c r="A28" s="59"/>
      <c r="B28" s="60" t="s">
        <v>44</v>
      </c>
      <c r="C28" s="66" t="n">
        <v>43800</v>
      </c>
      <c r="D28" s="62" t="n">
        <f aca="false">'2019.II'!C16</f>
        <v>0</v>
      </c>
      <c r="E28" s="62"/>
      <c r="F28" s="62"/>
    </row>
    <row r="1048576" customFormat="false" ht="15" hidden="false" customHeight="true" outlineLevel="0" collapsed="false"/>
  </sheetData>
  <mergeCells count="9">
    <mergeCell ref="B1:F1"/>
    <mergeCell ref="B2:C2"/>
    <mergeCell ref="B3:C3"/>
    <mergeCell ref="J3:K3"/>
    <mergeCell ref="Q3:R3"/>
    <mergeCell ref="S3:T3"/>
    <mergeCell ref="V3:W3"/>
    <mergeCell ref="A5:A16"/>
    <mergeCell ref="A17:A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21.71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30</v>
      </c>
    </row>
    <row r="2" customFormat="false" ht="15" hidden="false" customHeight="false" outlineLevel="0" collapsed="false">
      <c r="B2" s="71" t="s">
        <v>50</v>
      </c>
      <c r="C2" s="72" t="n">
        <v>4661.64</v>
      </c>
      <c r="D2" s="72" t="n">
        <v>2807</v>
      </c>
      <c r="E2" s="72"/>
    </row>
    <row r="3" customFormat="false" ht="60" hidden="false" customHeight="false" outlineLevel="0" collapsed="false">
      <c r="B3" s="71" t="s">
        <v>51</v>
      </c>
      <c r="C3" s="72"/>
      <c r="D3" s="72" t="n">
        <v>1600</v>
      </c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/>
      <c r="D4" s="72" t="n">
        <v>200</v>
      </c>
      <c r="E4" s="72"/>
      <c r="F4" s="181" t="n">
        <v>1000</v>
      </c>
      <c r="G4" s="182" t="n">
        <f aca="false">C6-F4</f>
        <v>10268.64</v>
      </c>
      <c r="H4" s="183" t="n">
        <f aca="false">G4-H6</f>
        <v>-7009.36</v>
      </c>
      <c r="I4" s="217" t="n">
        <f aca="false">C6-H6</f>
        <v>-6009.36</v>
      </c>
    </row>
    <row r="5" customFormat="false" ht="18" hidden="false" customHeight="false" outlineLevel="0" collapsed="false">
      <c r="B5" s="83" t="s">
        <v>53</v>
      </c>
      <c r="C5" s="84"/>
      <c r="D5" s="84"/>
      <c r="E5" s="84" t="n">
        <v>2000</v>
      </c>
      <c r="J5" s="218" t="n">
        <f aca="false">J7/H6</f>
        <v>0.0842898483620789</v>
      </c>
      <c r="K5" s="218"/>
      <c r="L5" s="219" t="n">
        <f aca="false">(L7+M7)/H6</f>
        <v>0.0269082069683991</v>
      </c>
      <c r="M5" s="219"/>
      <c r="N5" s="220" t="n">
        <f aca="false">N7/H6</f>
        <v>0.00276305127908323</v>
      </c>
      <c r="O5" s="221" t="n">
        <f aca="false">O7/H6</f>
        <v>0.59213971524482</v>
      </c>
      <c r="P5" s="222" t="n">
        <f aca="false">P7/H6</f>
        <v>0.147642088204653</v>
      </c>
      <c r="Q5" s="223" t="e">
        <f aca="false">Q7/K6</f>
        <v>#DIV/0!</v>
      </c>
      <c r="R5" s="224" t="n">
        <f aca="false">R7/H6</f>
        <v>0</v>
      </c>
      <c r="S5" s="225" t="n">
        <f aca="false">(S7+T7)/H6</f>
        <v>0.0803929852992244</v>
      </c>
      <c r="T5" s="225"/>
      <c r="U5" s="226" t="n">
        <f aca="false">(U7+V7)/H6</f>
        <v>0.00766234517884014</v>
      </c>
      <c r="V5" s="226"/>
      <c r="W5" s="227" t="n">
        <f aca="false">W7/H6</f>
        <v>0.0113375390670216</v>
      </c>
      <c r="X5" s="228" t="n">
        <f aca="false">(X7+Y7)/H6</f>
        <v>0.00469556661650654</v>
      </c>
      <c r="Y5" s="228"/>
      <c r="Z5" s="229" t="n">
        <f aca="false">Z7/H6</f>
        <v>0.0260441023266582</v>
      </c>
      <c r="AA5" s="263" t="n">
        <f aca="false">AA7/H6</f>
        <v>0.00288343558282209</v>
      </c>
      <c r="AB5" s="264" t="n">
        <f aca="false">AB7/H6</f>
        <v>0.0087272832503762</v>
      </c>
    </row>
    <row r="6" customFormat="false" ht="57" hidden="false" customHeight="true" outlineLevel="0" collapsed="false">
      <c r="B6" s="98" t="s">
        <v>56</v>
      </c>
      <c r="C6" s="230" t="n">
        <f aca="false">SUM(C2:C5)+SUM(D2:D5)+SUM(E2:E5)</f>
        <v>11268.64</v>
      </c>
      <c r="D6" s="100"/>
      <c r="E6" s="101"/>
      <c r="G6" s="102" t="s">
        <v>57</v>
      </c>
      <c r="H6" s="103" t="n">
        <f aca="false">SUM(J7:AB7)</f>
        <v>17278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</row>
    <row r="7" customFormat="false" ht="15.75" hidden="false" customHeight="false" outlineLevel="0" collapsed="false">
      <c r="B7" s="116"/>
      <c r="J7" s="117" t="n">
        <f aca="false">SUM(J9:J38)</f>
        <v>1456.36</v>
      </c>
      <c r="K7" s="117"/>
      <c r="L7" s="118" t="n">
        <f aca="false">SUM(L9:L38)</f>
        <v>365.45</v>
      </c>
      <c r="M7" s="118" t="n">
        <f aca="false">SUM(M9:M38)</f>
        <v>99.47</v>
      </c>
      <c r="N7" s="119" t="n">
        <f aca="false">SUM(N9:N38)</f>
        <v>47.74</v>
      </c>
      <c r="O7" s="120" t="n">
        <f aca="false">SUM(O9:O38)</f>
        <v>10230.99</v>
      </c>
      <c r="P7" s="121" t="n">
        <f aca="false">SUM(P9:P38)</f>
        <v>2550.96</v>
      </c>
      <c r="Q7" s="122" t="n">
        <f aca="false">SUM(Q9:Q38)</f>
        <v>77.99</v>
      </c>
      <c r="R7" s="123" t="n">
        <f aca="false">SUM(R9:R38)</f>
        <v>0</v>
      </c>
      <c r="S7" s="37" t="n">
        <f aca="false">SUM(S9:S38)</f>
        <v>741.61</v>
      </c>
      <c r="T7" s="37" t="n">
        <f aca="false">SUM(T9:T38)</f>
        <v>647.42</v>
      </c>
      <c r="U7" s="36" t="n">
        <f aca="false">SUM(U9:U38)</f>
        <v>0</v>
      </c>
      <c r="V7" s="124" t="n">
        <f aca="false">SUM(V9:V38)</f>
        <v>132.39</v>
      </c>
      <c r="W7" s="38" t="n">
        <f aca="false">SUM(W9:W38)</f>
        <v>195.89</v>
      </c>
      <c r="X7" s="39" t="n">
        <f aca="false">SUM(X9:X38)</f>
        <v>63.3</v>
      </c>
      <c r="Y7" s="39" t="n">
        <f aca="false">SUM(Y9:Y38)</f>
        <v>17.83</v>
      </c>
      <c r="Z7" s="40" t="n">
        <f aca="false">SUM(Z9:Z38)</f>
        <v>449.99</v>
      </c>
      <c r="AA7" s="41" t="n">
        <f aca="false">SUM(AA9:AA38)</f>
        <v>49.82</v>
      </c>
      <c r="AB7" s="34" t="n">
        <f aca="false">SUM(AB9:AB38)</f>
        <v>150.79</v>
      </c>
    </row>
    <row r="8" customFormat="false" ht="69.75" hidden="false" customHeight="false" outlineLevel="0" collapsed="false">
      <c r="A8" s="126" t="s">
        <v>61</v>
      </c>
      <c r="B8" s="127" t="s">
        <v>62</v>
      </c>
      <c r="C8" s="128" t="s">
        <v>103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267"/>
      <c r="AB8" s="266"/>
    </row>
    <row r="9" s="156" customFormat="true" ht="15" hidden="false" customHeight="false" outlineLevel="0" collapsed="false">
      <c r="A9" s="141" t="n">
        <v>1</v>
      </c>
      <c r="B9" s="272" t="n">
        <v>43344</v>
      </c>
      <c r="C9" s="145"/>
      <c r="D9" s="144" t="n">
        <f aca="false">F9</f>
        <v>214.741333333333</v>
      </c>
      <c r="E9" s="145" t="n">
        <f aca="false">G9</f>
        <v>375.621333333333</v>
      </c>
      <c r="F9" s="146" t="n">
        <f aca="false">G9-I9</f>
        <v>214.741333333333</v>
      </c>
      <c r="G9" s="147" t="n">
        <f aca="false">$C$6/$G$1</f>
        <v>375.621333333333</v>
      </c>
      <c r="H9" s="148" t="n">
        <f aca="false">I9</f>
        <v>160.88</v>
      </c>
      <c r="I9" s="149" t="n">
        <f aca="false">SUM(J9:AA9)</f>
        <v>160.88</v>
      </c>
      <c r="J9" s="150" t="n">
        <v>19.9</v>
      </c>
      <c r="K9" s="117" t="s">
        <v>109</v>
      </c>
      <c r="L9" s="118"/>
      <c r="M9" s="118"/>
      <c r="N9" s="152" t="n">
        <f aca="false">15.98</f>
        <v>15.98</v>
      </c>
      <c r="O9" s="120" t="n">
        <v>50</v>
      </c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 t="n">
        <f aca="false">75</f>
        <v>75</v>
      </c>
      <c r="AA9" s="269"/>
      <c r="AB9" s="270"/>
    </row>
    <row r="10" customFormat="false" ht="15" hidden="false" customHeight="false" outlineLevel="0" collapsed="false">
      <c r="A10" s="157" t="n">
        <v>2</v>
      </c>
      <c r="B10" s="268" t="n">
        <v>43345</v>
      </c>
      <c r="C10" s="159"/>
      <c r="D10" s="242" t="n">
        <f aca="false">D9+F10</f>
        <v>466.462666666667</v>
      </c>
      <c r="E10" s="159" t="n">
        <f aca="false">E9+G10</f>
        <v>751.242666666667</v>
      </c>
      <c r="F10" s="146" t="n">
        <f aca="false">G10-I10</f>
        <v>251.721333333333</v>
      </c>
      <c r="G10" s="160" t="n">
        <f aca="false">$C$6/$G$1</f>
        <v>375.621333333333</v>
      </c>
      <c r="H10" s="161" t="n">
        <f aca="false">H9+I10</f>
        <v>284.78</v>
      </c>
      <c r="I10" s="149" t="n">
        <f aca="false">SUM(J10:AA10)</f>
        <v>123.9</v>
      </c>
      <c r="J10" s="150"/>
      <c r="K10" s="135"/>
      <c r="L10" s="118" t="n">
        <f aca="false">3.2+7.89</f>
        <v>11.09</v>
      </c>
      <c r="M10" s="118" t="n">
        <f aca="false">2.8</f>
        <v>2.8</v>
      </c>
      <c r="N10" s="152"/>
      <c r="O10" s="120"/>
      <c r="P10" s="121"/>
      <c r="Q10" s="122"/>
      <c r="R10" s="123"/>
      <c r="S10" s="153" t="n">
        <f aca="false">110.01</f>
        <v>110.01</v>
      </c>
      <c r="T10" s="153"/>
      <c r="U10" s="123"/>
      <c r="V10" s="154"/>
      <c r="W10" s="240"/>
      <c r="X10" s="155"/>
      <c r="Y10" s="155"/>
      <c r="Z10" s="140"/>
      <c r="AA10" s="267"/>
      <c r="AB10" s="266"/>
    </row>
    <row r="11" customFormat="false" ht="15" hidden="false" customHeight="false" outlineLevel="0" collapsed="false">
      <c r="A11" s="167" t="n">
        <v>3</v>
      </c>
      <c r="B11" s="271" t="n">
        <v>43346</v>
      </c>
      <c r="C11" s="169"/>
      <c r="D11" s="242" t="n">
        <f aca="false">D10+F11</f>
        <v>587.664</v>
      </c>
      <c r="E11" s="169" t="n">
        <f aca="false">E10+G11</f>
        <v>1126.864</v>
      </c>
      <c r="F11" s="146" t="n">
        <f aca="false">G11-I11</f>
        <v>121.201333333333</v>
      </c>
      <c r="G11" s="170" t="n">
        <f aca="false">$C$6/$G$1</f>
        <v>375.621333333333</v>
      </c>
      <c r="H11" s="171" t="n">
        <f aca="false">H10+I11</f>
        <v>539.2</v>
      </c>
      <c r="I11" s="149" t="n">
        <f aca="false">SUM(J11:AA11)</f>
        <v>254.42</v>
      </c>
      <c r="J11" s="150"/>
      <c r="K11" s="117"/>
      <c r="L11" s="202" t="n">
        <f aca="false">47.43</f>
        <v>47.43</v>
      </c>
      <c r="M11" s="202"/>
      <c r="N11" s="203"/>
      <c r="O11" s="204"/>
      <c r="P11" s="205"/>
      <c r="Q11" s="206"/>
      <c r="R11" s="178"/>
      <c r="S11" s="173"/>
      <c r="T11" s="173" t="n">
        <f aca="false">50+117</f>
        <v>167</v>
      </c>
      <c r="U11" s="178"/>
      <c r="V11" s="179" t="n">
        <f aca="false">39.99</f>
        <v>39.99</v>
      </c>
      <c r="W11" s="46"/>
      <c r="X11" s="155"/>
      <c r="Y11" s="155"/>
      <c r="Z11" s="140"/>
      <c r="AA11" s="267"/>
      <c r="AB11" s="266"/>
    </row>
    <row r="12" customFormat="false" ht="15" hidden="false" customHeight="false" outlineLevel="0" collapsed="false">
      <c r="A12" s="141" t="n">
        <v>4</v>
      </c>
      <c r="B12" s="271" t="n">
        <v>43347</v>
      </c>
      <c r="C12" s="145"/>
      <c r="D12" s="242" t="n">
        <f aca="false">D11+F12</f>
        <v>-534.684666666667</v>
      </c>
      <c r="E12" s="145" t="n">
        <f aca="false">E11+G12</f>
        <v>1502.48533333333</v>
      </c>
      <c r="F12" s="146" t="n">
        <f aca="false">G12-I12</f>
        <v>-1122.34866666667</v>
      </c>
      <c r="G12" s="147" t="n">
        <f aca="false">$C$6/$G$1</f>
        <v>375.621333333333</v>
      </c>
      <c r="H12" s="148" t="n">
        <f aca="false">H11+I12</f>
        <v>2037.17</v>
      </c>
      <c r="I12" s="149" t="n">
        <f aca="false">SUM(J12:AA12)</f>
        <v>1497.97</v>
      </c>
      <c r="J12" s="150"/>
      <c r="K12" s="117"/>
      <c r="L12" s="244"/>
      <c r="M12" s="244"/>
      <c r="N12" s="245"/>
      <c r="O12" s="246" t="n">
        <f aca="false">1398</f>
        <v>1398</v>
      </c>
      <c r="P12" s="247"/>
      <c r="Q12" s="248"/>
      <c r="R12" s="249"/>
      <c r="S12" s="250"/>
      <c r="T12" s="250" t="n">
        <f aca="false">99.97</f>
        <v>99.97</v>
      </c>
      <c r="U12" s="249"/>
      <c r="V12" s="251"/>
      <c r="W12" s="252"/>
      <c r="X12" s="155"/>
      <c r="Y12" s="155"/>
      <c r="Z12" s="140"/>
      <c r="AA12" s="269"/>
      <c r="AB12" s="270"/>
    </row>
    <row r="13" customFormat="false" ht="15" hidden="false" customHeight="false" outlineLevel="0" collapsed="false">
      <c r="A13" s="157" t="n">
        <v>5</v>
      </c>
      <c r="B13" s="271" t="n">
        <v>43348</v>
      </c>
      <c r="C13" s="159"/>
      <c r="D13" s="242" t="n">
        <f aca="false">D12+F13</f>
        <v>-328.143333333333</v>
      </c>
      <c r="E13" s="159" t="n">
        <f aca="false">E12+G13</f>
        <v>1878.10666666667</v>
      </c>
      <c r="F13" s="146" t="n">
        <f aca="false">G13-I13</f>
        <v>206.541333333333</v>
      </c>
      <c r="G13" s="160" t="n">
        <f aca="false">$C$6/$G$1</f>
        <v>375.621333333333</v>
      </c>
      <c r="H13" s="161" t="n">
        <f aca="false">H12+I13</f>
        <v>2206.25</v>
      </c>
      <c r="I13" s="149" t="n">
        <f aca="false">SUM(J13:AA13)</f>
        <v>169.08</v>
      </c>
      <c r="J13" s="150"/>
      <c r="K13" s="117"/>
      <c r="L13" s="254" t="n">
        <f aca="false">14.71+45.38+4.1</f>
        <v>64.19</v>
      </c>
      <c r="M13" s="254" t="n">
        <f aca="false">12.9</f>
        <v>12.9</v>
      </c>
      <c r="N13" s="255"/>
      <c r="O13" s="256" t="n">
        <f aca="false">84</f>
        <v>84</v>
      </c>
      <c r="P13" s="257"/>
      <c r="Q13" s="258"/>
      <c r="R13" s="259"/>
      <c r="S13" s="176"/>
      <c r="T13" s="176" t="n">
        <f aca="false">7.99</f>
        <v>7.99</v>
      </c>
      <c r="U13" s="259"/>
      <c r="V13" s="260"/>
      <c r="W13" s="261"/>
      <c r="X13" s="155"/>
      <c r="Y13" s="155"/>
      <c r="Z13" s="140"/>
      <c r="AA13" s="267"/>
      <c r="AB13" s="266"/>
    </row>
    <row r="14" customFormat="false" ht="15" hidden="false" customHeight="false" outlineLevel="0" collapsed="false">
      <c r="A14" s="167" t="n">
        <v>6</v>
      </c>
      <c r="B14" s="271" t="n">
        <v>43349</v>
      </c>
      <c r="C14" s="159"/>
      <c r="D14" s="242" t="n">
        <f aca="false">D13+F14</f>
        <v>-110.742</v>
      </c>
      <c r="E14" s="169" t="n">
        <f aca="false">E13+G14</f>
        <v>2253.728</v>
      </c>
      <c r="F14" s="146" t="n">
        <f aca="false">G14-I14</f>
        <v>217.401333333333</v>
      </c>
      <c r="G14" s="170" t="n">
        <f aca="false">$C$6/$G$1</f>
        <v>375.621333333333</v>
      </c>
      <c r="H14" s="171" t="n">
        <f aca="false">H13+I14</f>
        <v>2364.47</v>
      </c>
      <c r="I14" s="149" t="n">
        <f aca="false">SUM(J14:AA14)</f>
        <v>158.22</v>
      </c>
      <c r="J14" s="150"/>
      <c r="K14" s="135"/>
      <c r="L14" s="118" t="n">
        <f aca="false">5.94+19.52-6.49</f>
        <v>18.97</v>
      </c>
      <c r="M14" s="118"/>
      <c r="N14" s="152" t="n">
        <f aca="false">6.49</f>
        <v>6.49</v>
      </c>
      <c r="O14" s="120"/>
      <c r="P14" s="121"/>
      <c r="Q14" s="122"/>
      <c r="R14" s="123"/>
      <c r="S14" s="153"/>
      <c r="T14" s="153" t="n">
        <f aca="false">52.94</f>
        <v>52.94</v>
      </c>
      <c r="U14" s="123"/>
      <c r="V14" s="154"/>
      <c r="W14" s="240"/>
      <c r="X14" s="155"/>
      <c r="Y14" s="155"/>
      <c r="Z14" s="140" t="n">
        <v>30</v>
      </c>
      <c r="AA14" s="267" t="n">
        <f aca="false">49.82</f>
        <v>49.82</v>
      </c>
      <c r="AB14" s="266"/>
    </row>
    <row r="15" s="156" customFormat="true" ht="16.5" hidden="false" customHeight="true" outlineLevel="0" collapsed="false">
      <c r="A15" s="141" t="n">
        <v>7</v>
      </c>
      <c r="B15" s="271" t="n">
        <v>43350</v>
      </c>
      <c r="C15" s="159"/>
      <c r="D15" s="242" t="n">
        <f aca="false">D14+F15</f>
        <v>-1678.26066666667</v>
      </c>
      <c r="E15" s="145" t="n">
        <f aca="false">E14+G15</f>
        <v>2629.34933333333</v>
      </c>
      <c r="F15" s="146" t="n">
        <f aca="false">G15-I15</f>
        <v>-1567.51866666667</v>
      </c>
      <c r="G15" s="147" t="n">
        <f aca="false">$C$6/$G$1</f>
        <v>375.621333333333</v>
      </c>
      <c r="H15" s="148" t="n">
        <f aca="false">H14+I15</f>
        <v>4307.61</v>
      </c>
      <c r="I15" s="149" t="n">
        <f aca="false">SUM(J15:AA15)</f>
        <v>1943.14</v>
      </c>
      <c r="J15" s="150" t="n">
        <v>69.42</v>
      </c>
      <c r="K15" s="117" t="s">
        <v>108</v>
      </c>
      <c r="L15" s="118" t="n">
        <f aca="false">6</f>
        <v>6</v>
      </c>
      <c r="M15" s="118" t="n">
        <f aca="false">1.79</f>
        <v>1.79</v>
      </c>
      <c r="N15" s="152" t="n">
        <f aca="false">25.27</f>
        <v>25.27</v>
      </c>
      <c r="O15" s="120" t="n">
        <f aca="false">649+49.99</f>
        <v>698.99</v>
      </c>
      <c r="P15" s="121" t="n">
        <f aca="false">19.99+39.99</f>
        <v>59.98</v>
      </c>
      <c r="Q15" s="122"/>
      <c r="R15" s="123"/>
      <c r="S15" s="153" t="n">
        <f aca="false">252.34+72.44</f>
        <v>324.78</v>
      </c>
      <c r="T15" s="153" t="n">
        <f aca="false">70+100+50+57.56+41.96</f>
        <v>319.52</v>
      </c>
      <c r="U15" s="123"/>
      <c r="V15" s="154" t="n">
        <f aca="false">92.4</f>
        <v>92.4</v>
      </c>
      <c r="W15" s="240"/>
      <c r="X15" s="155"/>
      <c r="Y15" s="155"/>
      <c r="Z15" s="140" t="n">
        <f aca="false">20+99+186+39.99</f>
        <v>344.99</v>
      </c>
      <c r="AA15" s="269"/>
      <c r="AB15" s="270" t="n">
        <f aca="false">90.8+59.99</f>
        <v>150.79</v>
      </c>
    </row>
    <row r="16" customFormat="false" ht="15" hidden="false" customHeight="false" outlineLevel="0" collapsed="false">
      <c r="A16" s="157" t="n">
        <v>8</v>
      </c>
      <c r="B16" s="272" t="n">
        <v>43351</v>
      </c>
      <c r="C16" s="159"/>
      <c r="D16" s="242" t="n">
        <f aca="false">D15+F16</f>
        <v>-2001.33933333333</v>
      </c>
      <c r="E16" s="159" t="n">
        <f aca="false">E15+G16</f>
        <v>3004.97066666667</v>
      </c>
      <c r="F16" s="146" t="n">
        <f aca="false">G16-I16</f>
        <v>-323.078666666667</v>
      </c>
      <c r="G16" s="160" t="n">
        <f aca="false">$C$6/$G$1</f>
        <v>375.621333333333</v>
      </c>
      <c r="H16" s="161" t="n">
        <f aca="false">H15+I16</f>
        <v>5006.31</v>
      </c>
      <c r="I16" s="149" t="n">
        <f aca="false">SUM(J16:AA16)</f>
        <v>698.7</v>
      </c>
      <c r="J16" s="150" t="n">
        <v>607.4</v>
      </c>
      <c r="K16" s="135" t="s">
        <v>86</v>
      </c>
      <c r="L16" s="118"/>
      <c r="M16" s="118" t="n">
        <f aca="false">28</f>
        <v>28</v>
      </c>
      <c r="N16" s="152"/>
      <c r="O16" s="120"/>
      <c r="P16" s="121"/>
      <c r="Q16" s="122"/>
      <c r="R16" s="123"/>
      <c r="S16" s="153"/>
      <c r="T16" s="153"/>
      <c r="U16" s="123"/>
      <c r="V16" s="154"/>
      <c r="W16" s="240"/>
      <c r="X16" s="155" t="n">
        <f aca="false">63.3</f>
        <v>63.3</v>
      </c>
      <c r="Y16" s="155"/>
      <c r="Z16" s="140"/>
      <c r="AA16" s="267"/>
      <c r="AB16" s="266"/>
    </row>
    <row r="17" customFormat="false" ht="15" hidden="false" customHeight="false" outlineLevel="0" collapsed="false">
      <c r="A17" s="162" t="n">
        <v>9</v>
      </c>
      <c r="B17" s="268" t="n">
        <v>43352</v>
      </c>
      <c r="C17" s="164"/>
      <c r="D17" s="242" t="n">
        <f aca="false">D16+F17</f>
        <v>-2200.488</v>
      </c>
      <c r="E17" s="164" t="n">
        <f aca="false">E16+G17</f>
        <v>3380.592</v>
      </c>
      <c r="F17" s="146" t="n">
        <f aca="false">G17-I17</f>
        <v>-199.148666666667</v>
      </c>
      <c r="G17" s="165" t="n">
        <f aca="false">$C$6/$G$1</f>
        <v>375.621333333333</v>
      </c>
      <c r="H17" s="166" t="n">
        <f aca="false">H16+I17</f>
        <v>5581.08</v>
      </c>
      <c r="I17" s="149" t="n">
        <f aca="false">SUM(J17:AA17)</f>
        <v>574.77</v>
      </c>
      <c r="J17" s="150" t="n">
        <v>574.77</v>
      </c>
      <c r="K17" s="135" t="s">
        <v>87</v>
      </c>
      <c r="L17" s="118"/>
      <c r="M17" s="118"/>
      <c r="N17" s="152"/>
      <c r="O17" s="120"/>
      <c r="P17" s="121"/>
      <c r="Q17" s="122"/>
      <c r="R17" s="123"/>
      <c r="S17" s="153"/>
      <c r="T17" s="153"/>
      <c r="U17" s="123"/>
      <c r="V17" s="154"/>
      <c r="W17" s="240"/>
      <c r="X17" s="155"/>
      <c r="Y17" s="155"/>
      <c r="Z17" s="140"/>
      <c r="AA17" s="267"/>
      <c r="AB17" s="266"/>
    </row>
    <row r="18" customFormat="false" ht="15" hidden="false" customHeight="false" outlineLevel="0" collapsed="false">
      <c r="A18" s="167" t="n">
        <v>10</v>
      </c>
      <c r="B18" s="271" t="n">
        <v>43353</v>
      </c>
      <c r="C18" s="169"/>
      <c r="D18" s="242" t="n">
        <f aca="false">D17+F18</f>
        <v>-1914.74666666667</v>
      </c>
      <c r="E18" s="169" t="n">
        <f aca="false">E17+G18</f>
        <v>3756.21333333333</v>
      </c>
      <c r="F18" s="146" t="n">
        <f aca="false">G18-I18</f>
        <v>285.741333333333</v>
      </c>
      <c r="G18" s="170" t="n">
        <f aca="false">$C$6/$G$1</f>
        <v>375.621333333333</v>
      </c>
      <c r="H18" s="171" t="n">
        <f aca="false">H17+I18</f>
        <v>5670.96</v>
      </c>
      <c r="I18" s="149" t="n">
        <f aca="false">SUM(J18:AA18)</f>
        <v>89.88</v>
      </c>
      <c r="J18" s="307" t="n">
        <v>89.88</v>
      </c>
      <c r="K18" s="308" t="s">
        <v>92</v>
      </c>
      <c r="L18" s="202"/>
      <c r="M18" s="202"/>
      <c r="N18" s="203"/>
      <c r="O18" s="204"/>
      <c r="P18" s="205"/>
      <c r="Q18" s="206"/>
      <c r="R18" s="178"/>
      <c r="S18" s="173"/>
      <c r="T18" s="173"/>
      <c r="U18" s="178"/>
      <c r="V18" s="179"/>
      <c r="W18" s="46"/>
      <c r="X18" s="155"/>
      <c r="Y18" s="155"/>
      <c r="Z18" s="140"/>
      <c r="AA18" s="267"/>
      <c r="AB18" s="266"/>
    </row>
    <row r="19" customFormat="false" ht="15" hidden="false" customHeight="false" outlineLevel="0" collapsed="false">
      <c r="A19" s="141" t="n">
        <v>11</v>
      </c>
      <c r="B19" s="271" t="n">
        <v>43354</v>
      </c>
      <c r="C19" s="145"/>
      <c r="D19" s="242" t="n">
        <f aca="false">D18+F19</f>
        <v>-1539.12533333333</v>
      </c>
      <c r="E19" s="145" t="n">
        <f aca="false">E18+G19</f>
        <v>4131.83466666667</v>
      </c>
      <c r="F19" s="146" t="n">
        <f aca="false">G19-I19</f>
        <v>375.621333333333</v>
      </c>
      <c r="G19" s="147" t="n">
        <f aca="false">$C$6/$G$1</f>
        <v>375.621333333333</v>
      </c>
      <c r="H19" s="148" t="n">
        <f aca="false">H18+I19</f>
        <v>5670.96</v>
      </c>
      <c r="I19" s="149" t="n">
        <f aca="false">SUM(J19:AA19)</f>
        <v>0</v>
      </c>
      <c r="J19" s="135"/>
      <c r="K19" s="135"/>
      <c r="L19" s="244"/>
      <c r="M19" s="244"/>
      <c r="N19" s="245"/>
      <c r="O19" s="246"/>
      <c r="P19" s="262"/>
      <c r="Q19" s="248"/>
      <c r="R19" s="249"/>
      <c r="S19" s="250"/>
      <c r="T19" s="250"/>
      <c r="U19" s="249"/>
      <c r="V19" s="251"/>
      <c r="W19" s="252"/>
      <c r="X19" s="155"/>
      <c r="Y19" s="155"/>
      <c r="Z19" s="140"/>
      <c r="AA19" s="269"/>
      <c r="AB19" s="270"/>
    </row>
    <row r="20" customFormat="false" ht="15" hidden="false" customHeight="false" outlineLevel="0" collapsed="false">
      <c r="A20" s="157" t="n">
        <v>12</v>
      </c>
      <c r="B20" s="271" t="n">
        <v>43355</v>
      </c>
      <c r="C20" s="159"/>
      <c r="D20" s="242" t="n">
        <f aca="false">D19+F20</f>
        <v>-1163.504</v>
      </c>
      <c r="E20" s="159" t="n">
        <f aca="false">E19+G20</f>
        <v>4507.456</v>
      </c>
      <c r="F20" s="146" t="n">
        <f aca="false">G20-I20</f>
        <v>375.621333333333</v>
      </c>
      <c r="G20" s="160" t="n">
        <f aca="false">$C$6/$G$1</f>
        <v>375.621333333333</v>
      </c>
      <c r="H20" s="161" t="n">
        <f aca="false">H19+I20</f>
        <v>5670.96</v>
      </c>
      <c r="I20" s="149" t="n">
        <f aca="false">SUM(J20:AA20)</f>
        <v>0</v>
      </c>
      <c r="J20" s="150"/>
      <c r="K20" s="117"/>
      <c r="L20" s="254"/>
      <c r="M20" s="254"/>
      <c r="N20" s="255"/>
      <c r="O20" s="256"/>
      <c r="P20" s="257"/>
      <c r="Q20" s="258"/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</row>
    <row r="21" customFormat="false" ht="15" hidden="false" customHeight="false" outlineLevel="0" collapsed="false">
      <c r="A21" s="167" t="n">
        <v>13</v>
      </c>
      <c r="B21" s="271" t="n">
        <v>43356</v>
      </c>
      <c r="C21" s="169"/>
      <c r="D21" s="242" t="n">
        <f aca="false">D20+F21</f>
        <v>-787.882666666667</v>
      </c>
      <c r="E21" s="169" t="n">
        <f aca="false">E20+G21</f>
        <v>4883.07733333333</v>
      </c>
      <c r="F21" s="146" t="n">
        <f aca="false">G21-I21</f>
        <v>375.621333333333</v>
      </c>
      <c r="G21" s="170" t="n">
        <f aca="false">$C$6/$G$1</f>
        <v>375.621333333333</v>
      </c>
      <c r="H21" s="171" t="n">
        <f aca="false">H20+I21</f>
        <v>5670.96</v>
      </c>
      <c r="I21" s="149" t="n">
        <f aca="false">SUM(J21:AA21)</f>
        <v>0</v>
      </c>
      <c r="J21" s="150"/>
      <c r="K21" s="135"/>
      <c r="L21" s="118"/>
      <c r="M21" s="118"/>
      <c r="N21" s="152"/>
      <c r="O21" s="120"/>
      <c r="P21" s="121"/>
      <c r="Q21" s="122"/>
      <c r="R21" s="123"/>
      <c r="S21" s="153"/>
      <c r="T21" s="153"/>
      <c r="U21" s="123"/>
      <c r="V21" s="154"/>
      <c r="W21" s="240"/>
      <c r="X21" s="155"/>
      <c r="Y21" s="155"/>
      <c r="Z21" s="140"/>
      <c r="AA21" s="267"/>
      <c r="AB21" s="266"/>
    </row>
    <row r="22" s="156" customFormat="true" ht="15" hidden="false" customHeight="false" outlineLevel="0" collapsed="false">
      <c r="A22" s="141" t="n">
        <v>14</v>
      </c>
      <c r="B22" s="271" t="n">
        <v>43357</v>
      </c>
      <c r="C22" s="145"/>
      <c r="D22" s="242" t="n">
        <f aca="false">D21+F22</f>
        <v>-464.261333333334</v>
      </c>
      <c r="E22" s="145" t="n">
        <f aca="false">E21+G22</f>
        <v>5258.69866666667</v>
      </c>
      <c r="F22" s="146" t="n">
        <f aca="false">G22-I22</f>
        <v>323.621333333333</v>
      </c>
      <c r="G22" s="147" t="n">
        <f aca="false">$C$6/$G$1</f>
        <v>375.621333333333</v>
      </c>
      <c r="H22" s="148" t="n">
        <f aca="false">H21+I22</f>
        <v>5722.96</v>
      </c>
      <c r="I22" s="149" t="n">
        <f aca="false">SUM(J22:AA22)</f>
        <v>52</v>
      </c>
      <c r="J22" s="150" t="n">
        <v>52</v>
      </c>
      <c r="K22" s="135" t="s">
        <v>89</v>
      </c>
      <c r="L22" s="118"/>
      <c r="M22" s="118"/>
      <c r="N22" s="152"/>
      <c r="O22" s="120"/>
      <c r="P22" s="121"/>
      <c r="Q22" s="122"/>
      <c r="R22" s="123"/>
      <c r="S22" s="153"/>
      <c r="T22" s="153"/>
      <c r="U22" s="123"/>
      <c r="V22" s="154"/>
      <c r="W22" s="240"/>
      <c r="X22" s="155"/>
      <c r="Y22" s="155"/>
      <c r="Z22" s="140"/>
      <c r="AA22" s="269"/>
      <c r="AB22" s="270"/>
    </row>
    <row r="23" customFormat="false" ht="15" hidden="false" customHeight="false" outlineLevel="0" collapsed="false">
      <c r="A23" s="157" t="n">
        <v>15</v>
      </c>
      <c r="B23" s="272" t="n">
        <v>43358</v>
      </c>
      <c r="C23" s="159"/>
      <c r="D23" s="242" t="n">
        <f aca="false">D22+F23</f>
        <v>-88.6400000000004</v>
      </c>
      <c r="E23" s="159" t="n">
        <f aca="false">E22+G23</f>
        <v>5634.32</v>
      </c>
      <c r="F23" s="146" t="n">
        <f aca="false">G23-I23</f>
        <v>375.621333333333</v>
      </c>
      <c r="G23" s="160" t="n">
        <f aca="false">$C$6/$G$1</f>
        <v>375.621333333333</v>
      </c>
      <c r="H23" s="161" t="n">
        <f aca="false">H22+I23</f>
        <v>5722.96</v>
      </c>
      <c r="I23" s="149" t="n">
        <f aca="false">SUM(J23:AA23)</f>
        <v>0</v>
      </c>
      <c r="J23" s="150"/>
      <c r="K23" s="117"/>
      <c r="L23" s="118"/>
      <c r="M23" s="118"/>
      <c r="N23" s="152"/>
      <c r="O23" s="120"/>
      <c r="P23" s="121"/>
      <c r="Q23" s="122"/>
      <c r="R23" s="123"/>
      <c r="S23" s="153"/>
      <c r="T23" s="153"/>
      <c r="U23" s="123"/>
      <c r="V23" s="154"/>
      <c r="W23" s="240"/>
      <c r="X23" s="155"/>
      <c r="Y23" s="155"/>
      <c r="Z23" s="140"/>
      <c r="AA23" s="267"/>
      <c r="AB23" s="266"/>
    </row>
    <row r="24" customFormat="false" ht="15" hidden="false" customHeight="false" outlineLevel="0" collapsed="false">
      <c r="A24" s="162" t="n">
        <v>16</v>
      </c>
      <c r="B24" s="268" t="n">
        <v>43359</v>
      </c>
      <c r="C24" s="164"/>
      <c r="D24" s="242" t="n">
        <f aca="false">D23+F24</f>
        <v>286.981333333333</v>
      </c>
      <c r="E24" s="164" t="n">
        <f aca="false">E23+G24</f>
        <v>6009.94133333334</v>
      </c>
      <c r="F24" s="146" t="n">
        <f aca="false">G24-I24</f>
        <v>375.621333333333</v>
      </c>
      <c r="G24" s="165" t="n">
        <f aca="false">$C$6/$G$1</f>
        <v>375.621333333333</v>
      </c>
      <c r="H24" s="166" t="n">
        <f aca="false">H23+I24</f>
        <v>5722.96</v>
      </c>
      <c r="I24" s="149" t="n">
        <f aca="false">SUM(J24:AA24)</f>
        <v>0</v>
      </c>
      <c r="J24" s="150"/>
      <c r="K24" s="117"/>
      <c r="L24" s="118"/>
      <c r="M24" s="118"/>
      <c r="N24" s="152"/>
      <c r="O24" s="120"/>
      <c r="P24" s="121"/>
      <c r="Q24" s="122"/>
      <c r="R24" s="123"/>
      <c r="S24" s="153"/>
      <c r="T24" s="153"/>
      <c r="U24" s="123"/>
      <c r="V24" s="154"/>
      <c r="W24" s="240"/>
      <c r="X24" s="155"/>
      <c r="Y24" s="155"/>
      <c r="Z24" s="140"/>
      <c r="AA24" s="267"/>
      <c r="AB24" s="266"/>
    </row>
    <row r="25" customFormat="false" ht="15" hidden="false" customHeight="false" outlineLevel="0" collapsed="false">
      <c r="A25" s="167" t="n">
        <v>17</v>
      </c>
      <c r="B25" s="271" t="n">
        <v>43360</v>
      </c>
      <c r="C25" s="169"/>
      <c r="D25" s="242" t="n">
        <f aca="false">D24+F25</f>
        <v>662.602666666666</v>
      </c>
      <c r="E25" s="169" t="n">
        <f aca="false">E24+G25</f>
        <v>6385.56266666667</v>
      </c>
      <c r="F25" s="146" t="n">
        <f aca="false">G25-I25</f>
        <v>375.621333333333</v>
      </c>
      <c r="G25" s="170" t="n">
        <f aca="false">$C$6/$G$1</f>
        <v>375.621333333333</v>
      </c>
      <c r="H25" s="171" t="n">
        <f aca="false">H24+I25</f>
        <v>5722.96</v>
      </c>
      <c r="I25" s="149" t="n">
        <f aca="false">SUM(J25:AA25)</f>
        <v>0</v>
      </c>
      <c r="J25" s="150"/>
      <c r="K25" s="117"/>
      <c r="L25" s="202"/>
      <c r="M25" s="202"/>
      <c r="N25" s="203"/>
      <c r="O25" s="204"/>
      <c r="P25" s="205"/>
      <c r="Q25" s="206"/>
      <c r="R25" s="178"/>
      <c r="S25" s="173"/>
      <c r="T25" s="173"/>
      <c r="U25" s="178"/>
      <c r="V25" s="179"/>
      <c r="W25" s="46"/>
      <c r="X25" s="155"/>
      <c r="Y25" s="155"/>
      <c r="Z25" s="140"/>
      <c r="AA25" s="267"/>
      <c r="AB25" s="266"/>
    </row>
    <row r="26" customFormat="false" ht="15" hidden="false" customHeight="false" outlineLevel="0" collapsed="false">
      <c r="A26" s="141" t="n">
        <v>18</v>
      </c>
      <c r="B26" s="271" t="n">
        <v>43361</v>
      </c>
      <c r="C26" s="145"/>
      <c r="D26" s="242" t="n">
        <f aca="false">D25+F26</f>
        <v>1038.224</v>
      </c>
      <c r="E26" s="145" t="n">
        <f aca="false">E25+G26</f>
        <v>6761.184</v>
      </c>
      <c r="F26" s="146" t="n">
        <f aca="false">G26-I26</f>
        <v>375.621333333333</v>
      </c>
      <c r="G26" s="147" t="n">
        <f aca="false">$C$6/$G$1</f>
        <v>375.621333333333</v>
      </c>
      <c r="H26" s="148" t="n">
        <f aca="false">H25+I26</f>
        <v>5722.96</v>
      </c>
      <c r="I26" s="149" t="n">
        <f aca="false">SUM(J26:AA26)</f>
        <v>0</v>
      </c>
      <c r="J26" s="150"/>
      <c r="K26" s="117"/>
      <c r="L26" s="244"/>
      <c r="M26" s="244"/>
      <c r="N26" s="245"/>
      <c r="O26" s="246"/>
      <c r="P26" s="247"/>
      <c r="Q26" s="248"/>
      <c r="R26" s="249"/>
      <c r="S26" s="250"/>
      <c r="T26" s="250"/>
      <c r="U26" s="249"/>
      <c r="V26" s="251"/>
      <c r="W26" s="252"/>
      <c r="X26" s="155"/>
      <c r="Y26" s="155"/>
      <c r="Z26" s="140"/>
      <c r="AA26" s="269"/>
      <c r="AB26" s="270"/>
    </row>
    <row r="27" customFormat="false" ht="15" hidden="false" customHeight="false" outlineLevel="0" collapsed="false">
      <c r="A27" s="157" t="n">
        <v>19</v>
      </c>
      <c r="B27" s="271" t="n">
        <v>43362</v>
      </c>
      <c r="C27" s="159"/>
      <c r="D27" s="242" t="n">
        <f aca="false">D26+F27</f>
        <v>1413.84533333333</v>
      </c>
      <c r="E27" s="159" t="n">
        <f aca="false">E26+G27</f>
        <v>7136.80533333334</v>
      </c>
      <c r="F27" s="146" t="n">
        <f aca="false">G27-I27</f>
        <v>375.621333333333</v>
      </c>
      <c r="G27" s="160" t="n">
        <f aca="false">$C$6/$G$1</f>
        <v>375.621333333333</v>
      </c>
      <c r="H27" s="161" t="n">
        <f aca="false">H26+I27</f>
        <v>5722.96</v>
      </c>
      <c r="I27" s="149" t="n">
        <f aca="false">SUM(J27:AA27)</f>
        <v>0</v>
      </c>
      <c r="J27" s="150"/>
      <c r="K27" s="117"/>
      <c r="L27" s="254"/>
      <c r="M27" s="254"/>
      <c r="N27" s="255"/>
      <c r="O27" s="256"/>
      <c r="P27" s="257"/>
      <c r="Q27" s="258"/>
      <c r="R27" s="259"/>
      <c r="S27" s="176"/>
      <c r="T27" s="176"/>
      <c r="U27" s="259"/>
      <c r="V27" s="260"/>
      <c r="W27" s="261"/>
      <c r="X27" s="155"/>
      <c r="Y27" s="155"/>
      <c r="Z27" s="140"/>
      <c r="AA27" s="267"/>
      <c r="AB27" s="266"/>
    </row>
    <row r="28" customFormat="false" ht="15" hidden="false" customHeight="false" outlineLevel="0" collapsed="false">
      <c r="A28" s="167" t="n">
        <v>20</v>
      </c>
      <c r="B28" s="271" t="n">
        <v>43363</v>
      </c>
      <c r="C28" s="169"/>
      <c r="D28" s="242" t="n">
        <f aca="false">D27+F28</f>
        <v>-6276.54333333333</v>
      </c>
      <c r="E28" s="169" t="n">
        <f aca="false">E27+G28</f>
        <v>7512.42666666667</v>
      </c>
      <c r="F28" s="146" t="n">
        <f aca="false">G28-I28</f>
        <v>-7690.38866666667</v>
      </c>
      <c r="G28" s="170" t="n">
        <f aca="false">$C$6/$G$1</f>
        <v>375.621333333333</v>
      </c>
      <c r="H28" s="171" t="n">
        <f aca="false">H27+I28</f>
        <v>13788.97</v>
      </c>
      <c r="I28" s="149" t="n">
        <f aca="false">SUM(J28:AA28)</f>
        <v>8066.01</v>
      </c>
      <c r="J28" s="150" t="n">
        <v>13</v>
      </c>
      <c r="K28" s="135" t="s">
        <v>91</v>
      </c>
      <c r="L28" s="118"/>
      <c r="M28" s="118"/>
      <c r="N28" s="152"/>
      <c r="O28" s="120" t="n">
        <v>8000</v>
      </c>
      <c r="P28" s="121"/>
      <c r="Q28" s="122"/>
      <c r="R28" s="123"/>
      <c r="S28" s="153" t="n">
        <f aca="false">53.01</f>
        <v>53.01</v>
      </c>
      <c r="T28" s="153"/>
      <c r="U28" s="123"/>
      <c r="V28" s="154"/>
      <c r="W28" s="240"/>
      <c r="X28" s="155"/>
      <c r="Y28" s="155"/>
      <c r="Z28" s="140"/>
      <c r="AA28" s="267"/>
      <c r="AB28" s="266"/>
    </row>
    <row r="29" s="156" customFormat="true" ht="15" hidden="false" customHeight="false" outlineLevel="0" collapsed="false">
      <c r="A29" s="141" t="n">
        <v>21</v>
      </c>
      <c r="B29" s="271" t="n">
        <v>43364</v>
      </c>
      <c r="C29" s="145"/>
      <c r="D29" s="242" t="n">
        <f aca="false">D28+F29</f>
        <v>-6196.022</v>
      </c>
      <c r="E29" s="145" t="n">
        <f aca="false">E28+G29</f>
        <v>7888.048</v>
      </c>
      <c r="F29" s="146" t="n">
        <f aca="false">G29-I29</f>
        <v>80.5213333333333</v>
      </c>
      <c r="G29" s="147" t="n">
        <f aca="false">$C$6/$G$1</f>
        <v>375.621333333333</v>
      </c>
      <c r="H29" s="148" t="n">
        <f aca="false">H28+I29</f>
        <v>14084.07</v>
      </c>
      <c r="I29" s="149" t="n">
        <f aca="false">SUM(J29:AA29)</f>
        <v>295.1</v>
      </c>
      <c r="J29" s="150"/>
      <c r="K29" s="117"/>
      <c r="L29" s="118" t="n">
        <f aca="false">20.07+5.24+15.98</f>
        <v>41.29</v>
      </c>
      <c r="M29" s="118"/>
      <c r="N29" s="152"/>
      <c r="O29" s="120"/>
      <c r="P29" s="121"/>
      <c r="Q29" s="122"/>
      <c r="R29" s="123"/>
      <c r="S29" s="153" t="n">
        <f aca="false">253.81</f>
        <v>253.81</v>
      </c>
      <c r="T29" s="153"/>
      <c r="U29" s="123"/>
      <c r="V29" s="154"/>
      <c r="W29" s="240"/>
      <c r="X29" s="155"/>
      <c r="Y29" s="155"/>
      <c r="Z29" s="140"/>
      <c r="AA29" s="269"/>
      <c r="AB29" s="270"/>
    </row>
    <row r="30" customFormat="false" ht="15" hidden="false" customHeight="false" outlineLevel="0" collapsed="false">
      <c r="A30" s="157" t="n">
        <v>22</v>
      </c>
      <c r="B30" s="272" t="n">
        <v>43365</v>
      </c>
      <c r="C30" s="159"/>
      <c r="D30" s="242" t="n">
        <f aca="false">D29+F30</f>
        <v>-5920.40066666667</v>
      </c>
      <c r="E30" s="159" t="n">
        <f aca="false">E29+G30</f>
        <v>8263.66933333333</v>
      </c>
      <c r="F30" s="146" t="n">
        <f aca="false">G30-I30</f>
        <v>275.621333333333</v>
      </c>
      <c r="G30" s="160" t="n">
        <f aca="false">$C$6/$G$1</f>
        <v>375.621333333333</v>
      </c>
      <c r="H30" s="161" t="n">
        <f aca="false">H29+I30</f>
        <v>14184.07</v>
      </c>
      <c r="I30" s="149" t="n">
        <f aca="false">SUM(J30:AA30)</f>
        <v>100</v>
      </c>
      <c r="J30" s="150"/>
      <c r="K30" s="117"/>
      <c r="L30" s="118"/>
      <c r="M30" s="118"/>
      <c r="N30" s="152"/>
      <c r="O30" s="120"/>
      <c r="P30" s="121"/>
      <c r="Q30" s="122"/>
      <c r="R30" s="123"/>
      <c r="S30" s="153"/>
      <c r="T30" s="153"/>
      <c r="U30" s="123"/>
      <c r="V30" s="154"/>
      <c r="W30" s="240" t="n">
        <v>100</v>
      </c>
      <c r="X30" s="155"/>
      <c r="Y30" s="155"/>
      <c r="Z30" s="140"/>
      <c r="AA30" s="267"/>
      <c r="AB30" s="266"/>
    </row>
    <row r="31" customFormat="false" ht="15" hidden="false" customHeight="false" outlineLevel="0" collapsed="false">
      <c r="A31" s="162" t="n">
        <v>23</v>
      </c>
      <c r="B31" s="268" t="n">
        <v>43366</v>
      </c>
      <c r="C31" s="164"/>
      <c r="D31" s="242" t="n">
        <f aca="false">D30+F31</f>
        <v>-5544.77933333333</v>
      </c>
      <c r="E31" s="164" t="n">
        <f aca="false">E30+G31</f>
        <v>8639.29066666667</v>
      </c>
      <c r="F31" s="146" t="n">
        <f aca="false">G31-I31</f>
        <v>375.621333333333</v>
      </c>
      <c r="G31" s="165" t="n">
        <f aca="false">$C$6/$G$1</f>
        <v>375.621333333333</v>
      </c>
      <c r="H31" s="166" t="n">
        <f aca="false">H30+I31</f>
        <v>14184.07</v>
      </c>
      <c r="I31" s="149" t="n">
        <f aca="false">SUM(J31:AA31)</f>
        <v>0</v>
      </c>
      <c r="J31" s="150"/>
      <c r="K31" s="117"/>
      <c r="L31" s="118"/>
      <c r="M31" s="118"/>
      <c r="N31" s="152"/>
      <c r="O31" s="120"/>
      <c r="P31" s="121"/>
      <c r="Q31" s="122"/>
      <c r="R31" s="123"/>
      <c r="S31" s="153"/>
      <c r="T31" s="153"/>
      <c r="U31" s="123"/>
      <c r="V31" s="154"/>
      <c r="W31" s="240"/>
      <c r="X31" s="155"/>
      <c r="Y31" s="155"/>
      <c r="Z31" s="140"/>
      <c r="AA31" s="267"/>
      <c r="AB31" s="266"/>
    </row>
    <row r="32" customFormat="false" ht="15" hidden="false" customHeight="false" outlineLevel="0" collapsed="false">
      <c r="A32" s="167" t="n">
        <v>24</v>
      </c>
      <c r="B32" s="271" t="n">
        <v>43367</v>
      </c>
      <c r="C32" s="169"/>
      <c r="D32" s="242" t="n">
        <f aca="false">D31+F32</f>
        <v>-5169.158</v>
      </c>
      <c r="E32" s="169" t="n">
        <f aca="false">E31+G32</f>
        <v>9014.912</v>
      </c>
      <c r="F32" s="146" t="n">
        <f aca="false">G32-I32</f>
        <v>375.621333333333</v>
      </c>
      <c r="G32" s="170" t="n">
        <f aca="false">$C$6/$G$1</f>
        <v>375.621333333333</v>
      </c>
      <c r="H32" s="171" t="n">
        <f aca="false">H31+I32</f>
        <v>14184.07</v>
      </c>
      <c r="I32" s="149" t="n">
        <f aca="false">SUM(J32:AA32)</f>
        <v>0</v>
      </c>
      <c r="J32" s="150"/>
      <c r="K32" s="117"/>
      <c r="L32" s="202"/>
      <c r="M32" s="202"/>
      <c r="N32" s="203"/>
      <c r="O32" s="204"/>
      <c r="P32" s="205"/>
      <c r="Q32" s="206"/>
      <c r="R32" s="178"/>
      <c r="S32" s="173"/>
      <c r="T32" s="173"/>
      <c r="U32" s="178"/>
      <c r="V32" s="179"/>
      <c r="W32" s="46"/>
      <c r="X32" s="155"/>
      <c r="Y32" s="155"/>
      <c r="Z32" s="140"/>
      <c r="AA32" s="267"/>
      <c r="AB32" s="266"/>
    </row>
    <row r="33" customFormat="false" ht="15" hidden="false" customHeight="false" outlineLevel="0" collapsed="false">
      <c r="A33" s="141" t="n">
        <v>25</v>
      </c>
      <c r="B33" s="271" t="n">
        <v>43368</v>
      </c>
      <c r="C33" s="145"/>
      <c r="D33" s="242" t="n">
        <f aca="false">D32+F33</f>
        <v>-4793.53666666667</v>
      </c>
      <c r="E33" s="145" t="n">
        <f aca="false">E32+G33</f>
        <v>9390.53333333333</v>
      </c>
      <c r="F33" s="146" t="n">
        <f aca="false">G33-I33</f>
        <v>375.621333333333</v>
      </c>
      <c r="G33" s="147" t="n">
        <f aca="false">$C$6/$G$1</f>
        <v>375.621333333333</v>
      </c>
      <c r="H33" s="148" t="n">
        <f aca="false">H32+I33</f>
        <v>14184.07</v>
      </c>
      <c r="I33" s="149" t="n">
        <f aca="false">SUM(J33:AA33)</f>
        <v>0</v>
      </c>
      <c r="J33" s="150"/>
      <c r="K33" s="117"/>
      <c r="L33" s="244"/>
      <c r="M33" s="244"/>
      <c r="N33" s="245"/>
      <c r="O33" s="246"/>
      <c r="P33" s="247"/>
      <c r="Q33" s="248"/>
      <c r="R33" s="249"/>
      <c r="S33" s="250"/>
      <c r="T33" s="250"/>
      <c r="U33" s="249"/>
      <c r="V33" s="251"/>
      <c r="W33" s="252"/>
      <c r="X33" s="155"/>
      <c r="Y33" s="155"/>
      <c r="Z33" s="140"/>
      <c r="AA33" s="269"/>
      <c r="AB33" s="270"/>
    </row>
    <row r="34" customFormat="false" ht="15" hidden="false" customHeight="false" outlineLevel="0" collapsed="false">
      <c r="A34" s="157" t="n">
        <v>26</v>
      </c>
      <c r="B34" s="271" t="n">
        <v>43369</v>
      </c>
      <c r="C34" s="159"/>
      <c r="D34" s="242" t="n">
        <f aca="false">D33+F34</f>
        <v>-4480.91533333333</v>
      </c>
      <c r="E34" s="159" t="n">
        <f aca="false">E33+G34</f>
        <v>9766.15466666667</v>
      </c>
      <c r="F34" s="146" t="n">
        <f aca="false">G34-I34</f>
        <v>312.621333333333</v>
      </c>
      <c r="G34" s="160" t="n">
        <f aca="false">$C$6/$G$1</f>
        <v>375.621333333333</v>
      </c>
      <c r="H34" s="161" t="n">
        <f aca="false">H33+I34</f>
        <v>14247.07</v>
      </c>
      <c r="I34" s="149" t="n">
        <f aca="false">SUM(J34:AA34)</f>
        <v>63</v>
      </c>
      <c r="J34" s="150"/>
      <c r="K34" s="117"/>
      <c r="L34" s="254"/>
      <c r="M34" s="254"/>
      <c r="N34" s="255"/>
      <c r="O34" s="256"/>
      <c r="P34" s="257"/>
      <c r="Q34" s="258" t="n">
        <f aca="false">63</f>
        <v>63</v>
      </c>
      <c r="R34" s="259"/>
      <c r="S34" s="176"/>
      <c r="T34" s="176"/>
      <c r="U34" s="259"/>
      <c r="V34" s="260"/>
      <c r="W34" s="261"/>
      <c r="X34" s="155"/>
      <c r="Y34" s="155"/>
      <c r="Z34" s="140"/>
      <c r="AA34" s="267"/>
      <c r="AB34" s="266"/>
    </row>
    <row r="35" customFormat="false" ht="15" hidden="false" customHeight="false" outlineLevel="0" collapsed="false">
      <c r="A35" s="167" t="n">
        <v>27</v>
      </c>
      <c r="B35" s="271" t="n">
        <v>43370</v>
      </c>
      <c r="C35" s="169"/>
      <c r="D35" s="242" t="n">
        <f aca="false">D34+F35</f>
        <v>-4105.294</v>
      </c>
      <c r="E35" s="169" t="n">
        <f aca="false">E34+G35</f>
        <v>10141.776</v>
      </c>
      <c r="F35" s="146" t="n">
        <f aca="false">G35-I35</f>
        <v>375.621333333333</v>
      </c>
      <c r="G35" s="170" t="n">
        <f aca="false">$C$6/$G$1</f>
        <v>375.621333333333</v>
      </c>
      <c r="H35" s="171" t="n">
        <f aca="false">H34+I35</f>
        <v>14247.07</v>
      </c>
      <c r="I35" s="149" t="n">
        <f aca="false">SUM(J35:AA35)</f>
        <v>0</v>
      </c>
      <c r="J35" s="150"/>
      <c r="K35" s="117"/>
      <c r="L35" s="118"/>
      <c r="M35" s="118"/>
      <c r="N35" s="152"/>
      <c r="O35" s="120"/>
      <c r="P35" s="121"/>
      <c r="Q35" s="122"/>
      <c r="R35" s="123"/>
      <c r="S35" s="153"/>
      <c r="T35" s="153"/>
      <c r="U35" s="123"/>
      <c r="V35" s="154"/>
      <c r="W35" s="240"/>
      <c r="X35" s="155"/>
      <c r="Y35" s="155"/>
      <c r="Z35" s="140"/>
      <c r="AA35" s="267"/>
      <c r="AB35" s="266"/>
    </row>
    <row r="36" s="156" customFormat="true" ht="15" hidden="false" customHeight="false" outlineLevel="0" collapsed="false">
      <c r="A36" s="141" t="n">
        <v>28</v>
      </c>
      <c r="B36" s="271" t="n">
        <v>43371</v>
      </c>
      <c r="C36" s="145"/>
      <c r="D36" s="242" t="n">
        <f aca="false">D35+F36</f>
        <v>-6355.36266666667</v>
      </c>
      <c r="E36" s="145" t="n">
        <f aca="false">E35+G36</f>
        <v>10517.3973333333</v>
      </c>
      <c r="F36" s="146" t="n">
        <f aca="false">G36-I36</f>
        <v>-2250.06866666667</v>
      </c>
      <c r="G36" s="147" t="n">
        <f aca="false">$C$6/$G$1</f>
        <v>375.621333333333</v>
      </c>
      <c r="H36" s="148" t="n">
        <f aca="false">H35+I36</f>
        <v>16872.76</v>
      </c>
      <c r="I36" s="149" t="n">
        <f aca="false">SUM(J36:AA36)</f>
        <v>2625.69</v>
      </c>
      <c r="J36" s="201" t="n">
        <v>29.99</v>
      </c>
      <c r="K36" s="117" t="s">
        <v>97</v>
      </c>
      <c r="L36" s="118"/>
      <c r="M36" s="118" t="n">
        <f aca="false">53.98</f>
        <v>53.98</v>
      </c>
      <c r="N36" s="152"/>
      <c r="O36" s="120"/>
      <c r="P36" s="121" t="n">
        <f aca="false">2428</f>
        <v>2428</v>
      </c>
      <c r="Q36" s="122"/>
      <c r="R36" s="123"/>
      <c r="S36" s="153"/>
      <c r="T36" s="153"/>
      <c r="U36" s="123"/>
      <c r="V36" s="154"/>
      <c r="W36" s="240" t="n">
        <f aca="false">89.9+5.99</f>
        <v>95.89</v>
      </c>
      <c r="X36" s="155"/>
      <c r="Y36" s="155" t="n">
        <f aca="false">17.83</f>
        <v>17.83</v>
      </c>
      <c r="Z36" s="209"/>
      <c r="AA36" s="269"/>
      <c r="AB36" s="270"/>
    </row>
    <row r="37" customFormat="false" ht="15" hidden="false" customHeight="false" outlineLevel="0" collapsed="false">
      <c r="A37" s="157" t="n">
        <v>29</v>
      </c>
      <c r="B37" s="272" t="n">
        <v>43372</v>
      </c>
      <c r="C37" s="159"/>
      <c r="D37" s="242" t="n">
        <f aca="false">D36+F37</f>
        <v>-6230.23133333333</v>
      </c>
      <c r="E37" s="159" t="n">
        <f aca="false">E36+G37</f>
        <v>10893.0186666667</v>
      </c>
      <c r="F37" s="146" t="n">
        <f aca="false">G37-I37</f>
        <v>125.131333333333</v>
      </c>
      <c r="G37" s="160" t="n">
        <f aca="false">$C$6/$G$1</f>
        <v>375.621333333333</v>
      </c>
      <c r="H37" s="161" t="n">
        <f aca="false">H36+I37</f>
        <v>17123.25</v>
      </c>
      <c r="I37" s="149" t="n">
        <f aca="false">SUM(J37:AA37)</f>
        <v>250.49</v>
      </c>
      <c r="J37" s="150"/>
      <c r="K37" s="117"/>
      <c r="L37" s="118" t="n">
        <f aca="false">31+43.09+15.4+146.01-49.99-12.99</f>
        <v>172.52</v>
      </c>
      <c r="M37" s="118"/>
      <c r="N37" s="152"/>
      <c r="O37" s="120"/>
      <c r="P37" s="121" t="n">
        <f aca="false">49.99+12.99</f>
        <v>62.98</v>
      </c>
      <c r="Q37" s="122" t="n">
        <f aca="false">14.99</f>
        <v>14.99</v>
      </c>
      <c r="R37" s="123"/>
      <c r="S37" s="153"/>
      <c r="T37" s="153"/>
      <c r="U37" s="123"/>
      <c r="V37" s="154"/>
      <c r="W37" s="240"/>
      <c r="X37" s="155"/>
      <c r="Y37" s="155"/>
      <c r="Z37" s="209"/>
      <c r="AA37" s="267"/>
      <c r="AB37" s="266"/>
    </row>
    <row r="38" customFormat="false" ht="15" hidden="false" customHeight="false" outlineLevel="0" collapsed="false">
      <c r="A38" s="162" t="n">
        <v>30</v>
      </c>
      <c r="B38" s="268" t="n">
        <v>43373</v>
      </c>
      <c r="C38" s="164"/>
      <c r="D38" s="242" t="n">
        <f aca="false">D37+F38</f>
        <v>-5858.57</v>
      </c>
      <c r="E38" s="164" t="n">
        <f aca="false">E37+G38</f>
        <v>11268.64</v>
      </c>
      <c r="F38" s="146" t="n">
        <f aca="false">G38-I38</f>
        <v>371.661333333333</v>
      </c>
      <c r="G38" s="165" t="n">
        <f aca="false">$C$6/$G$1</f>
        <v>375.621333333333</v>
      </c>
      <c r="H38" s="166" t="n">
        <f aca="false">H37+I38</f>
        <v>17127.21</v>
      </c>
      <c r="I38" s="149" t="n">
        <f aca="false">SUM(J38:AA38)</f>
        <v>3.96</v>
      </c>
      <c r="J38" s="150"/>
      <c r="K38" s="117"/>
      <c r="L38" s="118" t="n">
        <f aca="false">3.96</f>
        <v>3.96</v>
      </c>
      <c r="M38" s="118"/>
      <c r="N38" s="152"/>
      <c r="O38" s="120"/>
      <c r="P38" s="121"/>
      <c r="Q38" s="122"/>
      <c r="R38" s="123"/>
      <c r="S38" s="153"/>
      <c r="T38" s="153"/>
      <c r="U38" s="123"/>
      <c r="V38" s="154"/>
      <c r="W38" s="240"/>
      <c r="X38" s="155"/>
      <c r="Y38" s="155"/>
      <c r="Z38" s="209"/>
      <c r="AA38" s="267"/>
      <c r="AB38" s="266"/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4.57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11.17"/>
    <col collapsed="false" customWidth="true" hidden="false" outlineLevel="0" max="11" min="11" style="65" width="17.01"/>
    <col collapsed="false" customWidth="true" hidden="false" outlineLevel="0" max="12" min="12" style="65" width="8"/>
    <col collapsed="false" customWidth="true" hidden="false" outlineLevel="0" max="13" min="13" style="65" width="9.6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7.09"/>
    <col collapsed="false" customWidth="true" hidden="false" outlineLevel="0" max="18" min="18" style="65" width="6.3"/>
    <col collapsed="false" customWidth="true" hidden="false" outlineLevel="0" max="19" min="19" style="65" width="6.61"/>
    <col collapsed="false" customWidth="true" hidden="false" outlineLevel="0" max="20" min="20" style="65" width="6.77"/>
    <col collapsed="false" customWidth="true" hidden="false" outlineLevel="0" max="21" min="21" style="65" width="7.09"/>
    <col collapsed="false" customWidth="true" hidden="false" outlineLevel="0" max="23" min="22" style="65" width="6.77"/>
    <col collapsed="false" customWidth="true" hidden="false" outlineLevel="0" max="24" min="24" style="65" width="5.83"/>
    <col collapsed="false" customWidth="true" hidden="false" outlineLevel="0" max="25" min="25" style="65" width="7.7"/>
    <col collapsed="false" customWidth="true" hidden="false" outlineLevel="0" max="1025" min="26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30</v>
      </c>
    </row>
    <row r="2" customFormat="false" ht="13.8" hidden="false" customHeight="false" outlineLevel="0" collapsed="false">
      <c r="B2" s="71" t="s">
        <v>50</v>
      </c>
      <c r="C2" s="72" t="n">
        <v>4661.64</v>
      </c>
      <c r="D2" s="72" t="n">
        <v>2834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 t="n">
        <f aca="false">300+80</f>
        <v>380</v>
      </c>
      <c r="D4" s="72"/>
      <c r="E4" s="72"/>
      <c r="F4" s="181" t="n">
        <f aca="false">1000+SUM(C4:E5)</f>
        <v>4580</v>
      </c>
      <c r="G4" s="182" t="n">
        <f aca="false">C6-F4</f>
        <v>6495.64</v>
      </c>
      <c r="H4" s="183" t="n">
        <f aca="false">G4-H6</f>
        <v>-1393.4</v>
      </c>
      <c r="I4" s="217" t="n">
        <f aca="false">C6-H6</f>
        <v>3186.6</v>
      </c>
    </row>
    <row r="5" customFormat="false" ht="18" hidden="false" customHeight="false" outlineLevel="0" collapsed="false">
      <c r="B5" s="83" t="s">
        <v>53</v>
      </c>
      <c r="C5" s="84"/>
      <c r="D5" s="84"/>
      <c r="E5" s="84" t="n">
        <f aca="false">3200</f>
        <v>3200</v>
      </c>
      <c r="J5" s="218" t="n">
        <f aca="false">J7/H6</f>
        <v>0.10572642552199</v>
      </c>
      <c r="K5" s="218"/>
      <c r="L5" s="219" t="n">
        <f aca="false">(L7+M7)/H6</f>
        <v>0.198207893482604</v>
      </c>
      <c r="M5" s="219"/>
      <c r="N5" s="220" t="n">
        <f aca="false">N7/H6</f>
        <v>0.0902467220346202</v>
      </c>
      <c r="O5" s="221" t="n">
        <f aca="false">O7/H6</f>
        <v>0.0610315070021194</v>
      </c>
      <c r="P5" s="222" t="n">
        <f aca="false">P7/H6</f>
        <v>0.0100050196221594</v>
      </c>
      <c r="Q5" s="223" t="e">
        <f aca="false">Q7/K6</f>
        <v>#DIV/0!</v>
      </c>
      <c r="R5" s="224" t="n">
        <f aca="false">R7/H6</f>
        <v>0.00253262754403578</v>
      </c>
      <c r="S5" s="225" t="n">
        <f aca="false">(S7+T7)/H6</f>
        <v>0.169864774421222</v>
      </c>
      <c r="T5" s="225"/>
      <c r="U5" s="226" t="n">
        <f aca="false">(U7+V7)/H6</f>
        <v>0.03888179043331</v>
      </c>
      <c r="V5" s="226"/>
      <c r="W5" s="227" t="n">
        <f aca="false">W7/H6</f>
        <v>0.226845091417967</v>
      </c>
      <c r="X5" s="228" t="n">
        <f aca="false">(X7+Y7)/H6</f>
        <v>0.0189883686735015</v>
      </c>
      <c r="Y5" s="228"/>
      <c r="Z5" s="229" t="n">
        <f aca="false">Z7/H6</f>
        <v>0.0407856976260737</v>
      </c>
      <c r="AA5" s="263" t="n">
        <f aca="false">AA7/H6</f>
        <v>0.0280135479095048</v>
      </c>
      <c r="AB5" s="264" t="n">
        <f aca="false">AB7/H6</f>
        <v>0</v>
      </c>
    </row>
    <row r="6" customFormat="false" ht="57" hidden="false" customHeight="true" outlineLevel="0" collapsed="false">
      <c r="B6" s="98" t="s">
        <v>56</v>
      </c>
      <c r="C6" s="230" t="n">
        <f aca="false">SUM(C2:C5)+SUM(D2:D5)+SUM(E2:E5)</f>
        <v>11075.64</v>
      </c>
      <c r="D6" s="100"/>
      <c r="E6" s="101"/>
      <c r="G6" s="102" t="s">
        <v>57</v>
      </c>
      <c r="H6" s="103" t="n">
        <f aca="false">SUM(J7:AB7)</f>
        <v>7889.04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</row>
    <row r="7" customFormat="false" ht="15.75" hidden="false" customHeight="false" outlineLevel="0" collapsed="false">
      <c r="B7" s="116"/>
      <c r="J7" s="117" t="n">
        <f aca="false">SUM(J9:J39)</f>
        <v>834.08</v>
      </c>
      <c r="K7" s="117"/>
      <c r="L7" s="118" t="n">
        <f aca="false">SUM(L9:L39)</f>
        <v>1411.11</v>
      </c>
      <c r="M7" s="118" t="n">
        <f aca="false">SUM(M9:M39)</f>
        <v>152.56</v>
      </c>
      <c r="N7" s="118" t="n">
        <f aca="false">SUM(N9:N39)</f>
        <v>711.96</v>
      </c>
      <c r="O7" s="118" t="n">
        <f aca="false">SUM(O9:O39)</f>
        <v>481.48</v>
      </c>
      <c r="P7" s="118" t="n">
        <f aca="false">SUM(P9:P39)</f>
        <v>78.93</v>
      </c>
      <c r="Q7" s="118" t="n">
        <f aca="false">SUM(Q9:Q39)</f>
        <v>69.98</v>
      </c>
      <c r="R7" s="118" t="n">
        <f aca="false">SUM(R9:R39)</f>
        <v>19.98</v>
      </c>
      <c r="S7" s="118" t="n">
        <f aca="false">SUM(S9:S39)</f>
        <v>1011.2</v>
      </c>
      <c r="T7" s="118" t="n">
        <f aca="false">SUM(T9:T39)</f>
        <v>328.87</v>
      </c>
      <c r="U7" s="118" t="n">
        <f aca="false">SUM(U9:U39)</f>
        <v>216.74</v>
      </c>
      <c r="V7" s="118" t="n">
        <f aca="false">SUM(V9:V39)</f>
        <v>90</v>
      </c>
      <c r="W7" s="118" t="n">
        <f aca="false">SUM(W9:W39)</f>
        <v>1789.59</v>
      </c>
      <c r="X7" s="118" t="n">
        <f aca="false">SUM(X9:X39)</f>
        <v>89.82</v>
      </c>
      <c r="Y7" s="118" t="n">
        <f aca="false">SUM(Y9:Y39)</f>
        <v>59.98</v>
      </c>
      <c r="Z7" s="118" t="n">
        <f aca="false">SUM(Z9:Z39)</f>
        <v>321.76</v>
      </c>
      <c r="AA7" s="118" t="n">
        <f aca="false">SUM(AA9:AA39)</f>
        <v>221</v>
      </c>
      <c r="AB7" s="118" t="n">
        <f aca="false">SUM(AB9:AB39)</f>
        <v>0</v>
      </c>
    </row>
    <row r="8" customFormat="false" ht="69.75" hidden="false" customHeight="false" outlineLevel="0" collapsed="false">
      <c r="A8" s="126" t="s">
        <v>61</v>
      </c>
      <c r="B8" s="127" t="s">
        <v>62</v>
      </c>
      <c r="C8" s="128" t="s">
        <v>103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267"/>
      <c r="AB8" s="266"/>
    </row>
    <row r="9" s="156" customFormat="true" ht="15" hidden="false" customHeight="false" outlineLevel="0" collapsed="false">
      <c r="A9" s="141" t="n">
        <v>1</v>
      </c>
      <c r="B9" s="273" t="n">
        <v>43374</v>
      </c>
      <c r="C9" s="145"/>
      <c r="D9" s="144" t="n">
        <f aca="false">F9</f>
        <v>27.158</v>
      </c>
      <c r="E9" s="145" t="n">
        <f aca="false">G9</f>
        <v>369.188</v>
      </c>
      <c r="F9" s="146" t="n">
        <f aca="false">G9-I9</f>
        <v>27.158</v>
      </c>
      <c r="G9" s="147" t="n">
        <f aca="false">$C$6/$G$1</f>
        <v>369.188</v>
      </c>
      <c r="H9" s="148" t="n">
        <f aca="false">I9</f>
        <v>342.03</v>
      </c>
      <c r="I9" s="149" t="n">
        <f aca="false">SUM(J9:AA9)</f>
        <v>342.03</v>
      </c>
      <c r="J9" s="150" t="n">
        <v>19.9</v>
      </c>
      <c r="K9" s="117" t="s">
        <v>109</v>
      </c>
      <c r="L9" s="118" t="n">
        <f aca="false">5.1+12.99+7.04</f>
        <v>25.13</v>
      </c>
      <c r="M9" s="118" t="n">
        <f aca="false">26</f>
        <v>26</v>
      </c>
      <c r="N9" s="152"/>
      <c r="O9" s="120" t="n">
        <v>50</v>
      </c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/>
      <c r="AA9" s="269" t="n">
        <f aca="false">221</f>
        <v>221</v>
      </c>
      <c r="AB9" s="270"/>
    </row>
    <row r="10" customFormat="false" ht="15" hidden="false" customHeight="false" outlineLevel="0" collapsed="false">
      <c r="A10" s="157" t="n">
        <v>2</v>
      </c>
      <c r="B10" s="273" t="n">
        <v>43375</v>
      </c>
      <c r="C10" s="159"/>
      <c r="D10" s="242" t="n">
        <f aca="false">D9+F10</f>
        <v>352.856</v>
      </c>
      <c r="E10" s="159" t="n">
        <f aca="false">E9+G10</f>
        <v>738.376</v>
      </c>
      <c r="F10" s="146" t="n">
        <f aca="false">G10-I10</f>
        <v>325.698</v>
      </c>
      <c r="G10" s="160" t="n">
        <f aca="false">$C$6/$G$1</f>
        <v>369.188</v>
      </c>
      <c r="H10" s="161" t="n">
        <f aca="false">H9+I10</f>
        <v>385.52</v>
      </c>
      <c r="I10" s="149" t="n">
        <f aca="false">SUM(J10:AA10)</f>
        <v>43.49</v>
      </c>
      <c r="J10" s="150"/>
      <c r="K10" s="135"/>
      <c r="L10" s="118" t="n">
        <f aca="false">13.25+4.7+19.54</f>
        <v>37.49</v>
      </c>
      <c r="M10" s="118"/>
      <c r="N10" s="152"/>
      <c r="O10" s="120"/>
      <c r="P10" s="121"/>
      <c r="Q10" s="122"/>
      <c r="R10" s="123"/>
      <c r="S10" s="153"/>
      <c r="T10" s="153" t="n">
        <v>6</v>
      </c>
      <c r="U10" s="123"/>
      <c r="V10" s="154"/>
      <c r="W10" s="240"/>
      <c r="X10" s="155"/>
      <c r="Y10" s="155"/>
      <c r="Z10" s="140"/>
      <c r="AA10" s="267"/>
      <c r="AB10" s="266"/>
    </row>
    <row r="11" customFormat="false" ht="15" hidden="false" customHeight="false" outlineLevel="0" collapsed="false">
      <c r="A11" s="167" t="n">
        <v>3</v>
      </c>
      <c r="B11" s="273" t="n">
        <v>43376</v>
      </c>
      <c r="C11" s="169"/>
      <c r="D11" s="242" t="n">
        <f aca="false">D10+F11</f>
        <v>643.394</v>
      </c>
      <c r="E11" s="169" t="n">
        <f aca="false">E10+G11</f>
        <v>1107.564</v>
      </c>
      <c r="F11" s="146" t="n">
        <f aca="false">G11-I11</f>
        <v>290.538</v>
      </c>
      <c r="G11" s="170" t="n">
        <f aca="false">$C$6/$G$1</f>
        <v>369.188</v>
      </c>
      <c r="H11" s="171" t="n">
        <f aca="false">H10+I11</f>
        <v>464.17</v>
      </c>
      <c r="I11" s="149" t="n">
        <f aca="false">SUM(J11:AA11)</f>
        <v>78.65</v>
      </c>
      <c r="J11" s="150"/>
      <c r="K11" s="117"/>
      <c r="L11" s="202" t="n">
        <f aca="false">1.49+3.99+2.69</f>
        <v>8.17</v>
      </c>
      <c r="M11" s="202" t="n">
        <f aca="false">7+6.5</f>
        <v>13.5</v>
      </c>
      <c r="N11" s="203" t="n">
        <f aca="false">15.99+4.99</f>
        <v>20.98</v>
      </c>
      <c r="O11" s="204" t="n">
        <v>36</v>
      </c>
      <c r="P11" s="205"/>
      <c r="Q11" s="206"/>
      <c r="R11" s="178"/>
      <c r="S11" s="173"/>
      <c r="T11" s="173"/>
      <c r="U11" s="178"/>
      <c r="V11" s="179"/>
      <c r="W11" s="46"/>
      <c r="X11" s="155"/>
      <c r="Y11" s="155"/>
      <c r="Z11" s="140"/>
      <c r="AA11" s="267"/>
      <c r="AB11" s="266"/>
    </row>
    <row r="12" customFormat="false" ht="15" hidden="false" customHeight="false" outlineLevel="0" collapsed="false">
      <c r="A12" s="141" t="n">
        <v>4</v>
      </c>
      <c r="B12" s="273" t="n">
        <v>43377</v>
      </c>
      <c r="C12" s="145"/>
      <c r="D12" s="242" t="n">
        <f aca="false">D11+F12</f>
        <v>723.752</v>
      </c>
      <c r="E12" s="145" t="n">
        <f aca="false">E11+G12</f>
        <v>1476.752</v>
      </c>
      <c r="F12" s="146" t="n">
        <f aca="false">G12-I12</f>
        <v>80.358</v>
      </c>
      <c r="G12" s="147" t="n">
        <f aca="false">$C$6/$G$1</f>
        <v>369.188</v>
      </c>
      <c r="H12" s="148" t="n">
        <f aca="false">H11+I12</f>
        <v>753</v>
      </c>
      <c r="I12" s="149" t="n">
        <f aca="false">SUM(J12:AA12)</f>
        <v>288.83</v>
      </c>
      <c r="J12" s="150"/>
      <c r="K12" s="117"/>
      <c r="L12" s="244" t="n">
        <f aca="false">6.72+250.12-35.99-(5*3.29)-(7*3.49)-12.9</f>
        <v>167.07</v>
      </c>
      <c r="M12" s="244"/>
      <c r="N12" s="245" t="n">
        <f aca="false">35.99</f>
        <v>35.99</v>
      </c>
      <c r="O12" s="246"/>
      <c r="P12" s="247"/>
      <c r="Q12" s="248"/>
      <c r="R12" s="249"/>
      <c r="S12" s="250"/>
      <c r="T12" s="250" t="n">
        <f aca="false">26.99+5+12.9</f>
        <v>44.89</v>
      </c>
      <c r="U12" s="249"/>
      <c r="V12" s="251"/>
      <c r="W12" s="252"/>
      <c r="X12" s="155" t="n">
        <f aca="false">(5*3.29)+(7*3.49)</f>
        <v>40.88</v>
      </c>
      <c r="Y12" s="155"/>
      <c r="Z12" s="140"/>
      <c r="AA12" s="269"/>
      <c r="AB12" s="270"/>
    </row>
    <row r="13" customFormat="false" ht="15" hidden="false" customHeight="false" outlineLevel="0" collapsed="false">
      <c r="A13" s="157" t="n">
        <v>5</v>
      </c>
      <c r="B13" s="273" t="n">
        <v>43378</v>
      </c>
      <c r="C13" s="159"/>
      <c r="D13" s="242" t="n">
        <f aca="false">D12+F13</f>
        <v>613.72</v>
      </c>
      <c r="E13" s="159" t="n">
        <f aca="false">E12+G13</f>
        <v>1845.94</v>
      </c>
      <c r="F13" s="146" t="n">
        <f aca="false">G13-I13</f>
        <v>-110.032</v>
      </c>
      <c r="G13" s="160" t="n">
        <f aca="false">$C$6/$G$1</f>
        <v>369.188</v>
      </c>
      <c r="H13" s="161" t="n">
        <f aca="false">H12+I13</f>
        <v>1232.22</v>
      </c>
      <c r="I13" s="149" t="n">
        <f aca="false">SUM(J13:AA13)</f>
        <v>479.22</v>
      </c>
      <c r="J13" s="150"/>
      <c r="K13" s="117"/>
      <c r="L13" s="254" t="n">
        <f aca="false">7.98+35.84+2.5+7.07+6.87+30.06+12.4+7.21+10.07+28+78.78</f>
        <v>226.78</v>
      </c>
      <c r="M13" s="254" t="n">
        <f aca="false">22+2.5</f>
        <v>24.5</v>
      </c>
      <c r="N13" s="255" t="n">
        <f aca="false">6.99+15.99</f>
        <v>22.98</v>
      </c>
      <c r="O13" s="256"/>
      <c r="P13" s="257" t="n">
        <f aca="false">65.92-6.98</f>
        <v>58.94</v>
      </c>
      <c r="Q13" s="258" t="n">
        <f aca="false">69.98</f>
        <v>69.98</v>
      </c>
      <c r="R13" s="259"/>
      <c r="S13" s="176" t="n">
        <f aca="false">50.41</f>
        <v>50.41</v>
      </c>
      <c r="T13" s="176" t="n">
        <f aca="false">5+6.98</f>
        <v>11.98</v>
      </c>
      <c r="U13" s="259"/>
      <c r="V13" s="260"/>
      <c r="W13" s="261"/>
      <c r="X13" s="155" t="n">
        <f aca="false">13.65</f>
        <v>13.65</v>
      </c>
      <c r="Y13" s="155"/>
      <c r="Z13" s="140"/>
      <c r="AA13" s="267"/>
      <c r="AB13" s="266"/>
    </row>
    <row r="14" customFormat="false" ht="15" hidden="false" customHeight="false" outlineLevel="0" collapsed="false">
      <c r="A14" s="167" t="n">
        <v>6</v>
      </c>
      <c r="B14" s="272" t="n">
        <v>43379</v>
      </c>
      <c r="C14" s="159"/>
      <c r="D14" s="242" t="n">
        <f aca="false">D13+F14</f>
        <v>656.498</v>
      </c>
      <c r="E14" s="169" t="n">
        <f aca="false">E13+G14</f>
        <v>2215.128</v>
      </c>
      <c r="F14" s="146" t="n">
        <f aca="false">G14-I14</f>
        <v>42.778</v>
      </c>
      <c r="G14" s="170" t="n">
        <f aca="false">$C$6/$G$1</f>
        <v>369.188</v>
      </c>
      <c r="H14" s="171" t="n">
        <f aca="false">H13+I14</f>
        <v>1558.63</v>
      </c>
      <c r="I14" s="149" t="n">
        <f aca="false">SUM(J14:AA14)</f>
        <v>326.41</v>
      </c>
      <c r="J14" s="150"/>
      <c r="K14" s="135"/>
      <c r="L14" s="118"/>
      <c r="M14" s="118" t="n">
        <f aca="false">2.39+6.99+6.88</f>
        <v>16.26</v>
      </c>
      <c r="N14" s="152"/>
      <c r="O14" s="120" t="n">
        <f aca="false">50+26+10</f>
        <v>86</v>
      </c>
      <c r="P14" s="121"/>
      <c r="Q14" s="122"/>
      <c r="R14" s="123"/>
      <c r="S14" s="153" t="n">
        <f aca="false">224.15</f>
        <v>224.15</v>
      </c>
      <c r="T14" s="153"/>
      <c r="U14" s="123"/>
      <c r="V14" s="154"/>
      <c r="W14" s="240"/>
      <c r="X14" s="155"/>
      <c r="Y14" s="155"/>
      <c r="Z14" s="140"/>
      <c r="AA14" s="267"/>
      <c r="AB14" s="266"/>
    </row>
    <row r="15" s="156" customFormat="true" ht="16.5" hidden="false" customHeight="true" outlineLevel="0" collapsed="false">
      <c r="A15" s="141" t="n">
        <v>7</v>
      </c>
      <c r="B15" s="268" t="n">
        <v>43380</v>
      </c>
      <c r="C15" s="159"/>
      <c r="D15" s="242" t="n">
        <f aca="false">D14+F15</f>
        <v>36.266</v>
      </c>
      <c r="E15" s="145" t="n">
        <f aca="false">E14+G15</f>
        <v>2584.316</v>
      </c>
      <c r="F15" s="146" t="n">
        <f aca="false">G15-I15</f>
        <v>-620.232</v>
      </c>
      <c r="G15" s="147" t="n">
        <f aca="false">$C$6/$G$1</f>
        <v>369.188</v>
      </c>
      <c r="H15" s="148" t="n">
        <f aca="false">H14+I15</f>
        <v>2548.05</v>
      </c>
      <c r="I15" s="149" t="n">
        <f aca="false">SUM(J15:AA15)</f>
        <v>989.42</v>
      </c>
      <c r="J15" s="150" t="n">
        <v>69.42</v>
      </c>
      <c r="K15" s="117" t="s">
        <v>108</v>
      </c>
      <c r="L15" s="118"/>
      <c r="M15" s="118"/>
      <c r="N15" s="152"/>
      <c r="O15" s="120"/>
      <c r="P15" s="121"/>
      <c r="Q15" s="122"/>
      <c r="R15" s="123"/>
      <c r="S15" s="153"/>
      <c r="T15" s="153"/>
      <c r="U15" s="123"/>
      <c r="V15" s="154"/>
      <c r="W15" s="240" t="n">
        <v>920</v>
      </c>
      <c r="X15" s="155"/>
      <c r="Y15" s="155"/>
      <c r="Z15" s="140"/>
      <c r="AA15" s="269"/>
      <c r="AB15" s="270"/>
    </row>
    <row r="16" customFormat="false" ht="15" hidden="false" customHeight="false" outlineLevel="0" collapsed="false">
      <c r="A16" s="157" t="n">
        <v>8</v>
      </c>
      <c r="B16" s="273" t="n">
        <v>43381</v>
      </c>
      <c r="C16" s="159"/>
      <c r="D16" s="242" t="n">
        <f aca="false">D15+F16</f>
        <v>342.034</v>
      </c>
      <c r="E16" s="159" t="n">
        <f aca="false">E15+G16</f>
        <v>2953.504</v>
      </c>
      <c r="F16" s="146" t="n">
        <f aca="false">G16-I16</f>
        <v>305.768</v>
      </c>
      <c r="G16" s="160" t="n">
        <f aca="false">$C$6/$G$1</f>
        <v>369.188</v>
      </c>
      <c r="H16" s="161" t="n">
        <f aca="false">H15+I16</f>
        <v>2611.47</v>
      </c>
      <c r="I16" s="149" t="n">
        <f aca="false">SUM(J16:AA16)</f>
        <v>63.42</v>
      </c>
      <c r="J16" s="150"/>
      <c r="K16" s="135"/>
      <c r="L16" s="118" t="n">
        <f aca="false">3.99</f>
        <v>3.99</v>
      </c>
      <c r="M16" s="118"/>
      <c r="N16" s="152"/>
      <c r="O16" s="120"/>
      <c r="P16" s="121"/>
      <c r="Q16" s="122"/>
      <c r="R16" s="123"/>
      <c r="S16" s="153" t="n">
        <f aca="false">59.43</f>
        <v>59.43</v>
      </c>
      <c r="T16" s="153"/>
      <c r="U16" s="123"/>
      <c r="V16" s="154"/>
      <c r="W16" s="240"/>
      <c r="X16" s="155"/>
      <c r="Y16" s="155"/>
      <c r="Z16" s="140"/>
      <c r="AA16" s="267"/>
      <c r="AB16" s="266"/>
    </row>
    <row r="17" customFormat="false" ht="15" hidden="false" customHeight="false" outlineLevel="0" collapsed="false">
      <c r="A17" s="162" t="n">
        <v>9</v>
      </c>
      <c r="B17" s="273" t="n">
        <v>43382</v>
      </c>
      <c r="C17" s="164"/>
      <c r="D17" s="242" t="n">
        <f aca="false">D16+F17</f>
        <v>-277.758</v>
      </c>
      <c r="E17" s="164" t="n">
        <f aca="false">E16+G17</f>
        <v>3322.692</v>
      </c>
      <c r="F17" s="146" t="n">
        <f aca="false">G17-I17</f>
        <v>-619.792</v>
      </c>
      <c r="G17" s="165" t="n">
        <f aca="false">$C$6/$G$1</f>
        <v>369.188</v>
      </c>
      <c r="H17" s="166" t="n">
        <f aca="false">H16+I17</f>
        <v>3600.45</v>
      </c>
      <c r="I17" s="149" t="n">
        <f aca="false">SUM(J17:AA17)</f>
        <v>988.98</v>
      </c>
      <c r="J17" s="150" t="n">
        <v>574.77</v>
      </c>
      <c r="K17" s="135" t="s">
        <v>87</v>
      </c>
      <c r="L17" s="118"/>
      <c r="M17" s="118" t="n">
        <f aca="false">12.8+3.2</f>
        <v>16</v>
      </c>
      <c r="N17" s="152"/>
      <c r="O17" s="120"/>
      <c r="P17" s="121"/>
      <c r="Q17" s="122"/>
      <c r="R17" s="123" t="n">
        <f aca="false">19.98</f>
        <v>19.98</v>
      </c>
      <c r="S17" s="153" t="n">
        <f aca="false">267.23</f>
        <v>267.23</v>
      </c>
      <c r="T17" s="153" t="n">
        <f aca="false">20+80+6+5</f>
        <v>111</v>
      </c>
      <c r="U17" s="123"/>
      <c r="V17" s="154"/>
      <c r="W17" s="240"/>
      <c r="X17" s="155"/>
      <c r="Y17" s="155"/>
      <c r="Z17" s="140"/>
      <c r="AA17" s="267"/>
      <c r="AB17" s="266"/>
    </row>
    <row r="18" customFormat="false" ht="15" hidden="false" customHeight="false" outlineLevel="0" collapsed="false">
      <c r="A18" s="167" t="n">
        <v>10</v>
      </c>
      <c r="B18" s="273" t="n">
        <v>43383</v>
      </c>
      <c r="C18" s="169"/>
      <c r="D18" s="242" t="n">
        <f aca="false">D17+F18</f>
        <v>-89.7400000000001</v>
      </c>
      <c r="E18" s="169" t="n">
        <f aca="false">E17+G18</f>
        <v>3691.88</v>
      </c>
      <c r="F18" s="146" t="n">
        <f aca="false">G18-I18</f>
        <v>188.018</v>
      </c>
      <c r="G18" s="170" t="n">
        <f aca="false">$C$6/$G$1</f>
        <v>369.188</v>
      </c>
      <c r="H18" s="171" t="n">
        <f aca="false">H17+I18</f>
        <v>3781.62</v>
      </c>
      <c r="I18" s="149" t="n">
        <f aca="false">SUM(J18:AA18)</f>
        <v>181.17</v>
      </c>
      <c r="J18" s="150"/>
      <c r="K18" s="135"/>
      <c r="L18" s="202" t="n">
        <f aca="false">30.19+5.98</f>
        <v>36.17</v>
      </c>
      <c r="M18" s="202"/>
      <c r="N18" s="203"/>
      <c r="O18" s="204"/>
      <c r="P18" s="205"/>
      <c r="Q18" s="206"/>
      <c r="R18" s="178"/>
      <c r="S18" s="173"/>
      <c r="T18" s="173" t="n">
        <f aca="false">98+26+1+10</f>
        <v>135</v>
      </c>
      <c r="U18" s="178"/>
      <c r="V18" s="179"/>
      <c r="W18" s="46" t="n">
        <f aca="false">10</f>
        <v>10</v>
      </c>
      <c r="X18" s="155"/>
      <c r="Y18" s="155"/>
      <c r="Z18" s="140"/>
      <c r="AA18" s="267"/>
      <c r="AB18" s="266"/>
    </row>
    <row r="19" customFormat="false" ht="15" hidden="false" customHeight="false" outlineLevel="0" collapsed="false">
      <c r="A19" s="141" t="n">
        <v>11</v>
      </c>
      <c r="B19" s="273" t="n">
        <v>43384</v>
      </c>
      <c r="C19" s="145"/>
      <c r="D19" s="242" t="n">
        <f aca="false">D18+F19</f>
        <v>255.318</v>
      </c>
      <c r="E19" s="145" t="n">
        <f aca="false">E18+G19</f>
        <v>4061.068</v>
      </c>
      <c r="F19" s="146" t="n">
        <f aca="false">G19-I19</f>
        <v>345.058</v>
      </c>
      <c r="G19" s="147" t="n">
        <f aca="false">$C$6/$G$1</f>
        <v>369.188</v>
      </c>
      <c r="H19" s="148" t="n">
        <f aca="false">H18+I19</f>
        <v>3805.75</v>
      </c>
      <c r="I19" s="149" t="n">
        <f aca="false">SUM(J19:AA19)</f>
        <v>24.13</v>
      </c>
      <c r="J19" s="135"/>
      <c r="K19" s="135"/>
      <c r="L19" s="244" t="n">
        <f aca="false">5.94+13.2</f>
        <v>19.14</v>
      </c>
      <c r="M19" s="244"/>
      <c r="N19" s="245" t="n">
        <f aca="false">4.99</f>
        <v>4.99</v>
      </c>
      <c r="O19" s="246"/>
      <c r="P19" s="262"/>
      <c r="Q19" s="248"/>
      <c r="R19" s="249"/>
      <c r="S19" s="250"/>
      <c r="T19" s="250"/>
      <c r="U19" s="249"/>
      <c r="V19" s="251"/>
      <c r="W19" s="252"/>
      <c r="X19" s="155"/>
      <c r="Y19" s="155"/>
      <c r="Z19" s="140"/>
      <c r="AA19" s="269"/>
      <c r="AB19" s="270"/>
    </row>
    <row r="20" customFormat="false" ht="15" hidden="false" customHeight="false" outlineLevel="0" collapsed="false">
      <c r="A20" s="157" t="n">
        <v>12</v>
      </c>
      <c r="B20" s="273" t="n">
        <v>43385</v>
      </c>
      <c r="C20" s="159"/>
      <c r="D20" s="242" t="n">
        <f aca="false">D19+F20</f>
        <v>548.506</v>
      </c>
      <c r="E20" s="159" t="n">
        <f aca="false">E19+G20</f>
        <v>4430.256</v>
      </c>
      <c r="F20" s="146" t="n">
        <f aca="false">G20-I20</f>
        <v>293.188</v>
      </c>
      <c r="G20" s="160" t="n">
        <f aca="false">$C$6/$G$1</f>
        <v>369.188</v>
      </c>
      <c r="H20" s="161" t="n">
        <f aca="false">H19+I20</f>
        <v>3881.75</v>
      </c>
      <c r="I20" s="149" t="n">
        <f aca="false">SUM(J20:AA20)</f>
        <v>76</v>
      </c>
      <c r="J20" s="150" t="n">
        <v>75</v>
      </c>
      <c r="K20" s="117" t="s">
        <v>92</v>
      </c>
      <c r="L20" s="254"/>
      <c r="M20" s="254" t="n">
        <f aca="false">1</f>
        <v>1</v>
      </c>
      <c r="N20" s="255"/>
      <c r="O20" s="256"/>
      <c r="P20" s="257"/>
      <c r="Q20" s="258"/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</row>
    <row r="21" customFormat="false" ht="15" hidden="false" customHeight="false" outlineLevel="0" collapsed="false">
      <c r="A21" s="167" t="n">
        <v>13</v>
      </c>
      <c r="B21" s="272" t="n">
        <v>43386</v>
      </c>
      <c r="C21" s="169"/>
      <c r="D21" s="242" t="n">
        <f aca="false">D20+F21</f>
        <v>644.504</v>
      </c>
      <c r="E21" s="169" t="n">
        <f aca="false">E20+G21</f>
        <v>4799.444</v>
      </c>
      <c r="F21" s="146" t="n">
        <f aca="false">G21-I21</f>
        <v>95.998</v>
      </c>
      <c r="G21" s="170" t="n">
        <f aca="false">$C$6/$G$1</f>
        <v>369.188</v>
      </c>
      <c r="H21" s="171" t="n">
        <f aca="false">H20+I21</f>
        <v>4154.94</v>
      </c>
      <c r="I21" s="149" t="n">
        <f aca="false">SUM(J21:AA21)</f>
        <v>273.19</v>
      </c>
      <c r="J21" s="150"/>
      <c r="K21" s="135"/>
      <c r="L21" s="118" t="n">
        <f aca="false">159.24-19.99-19.49-8.99</f>
        <v>110.77</v>
      </c>
      <c r="M21" s="118"/>
      <c r="N21" s="152" t="n">
        <f aca="false">63.95</f>
        <v>63.95</v>
      </c>
      <c r="O21" s="120"/>
      <c r="P21" s="121" t="n">
        <f aca="false">19.99</f>
        <v>19.99</v>
      </c>
      <c r="Q21" s="122"/>
      <c r="R21" s="123"/>
      <c r="S21" s="153"/>
      <c r="T21" s="153"/>
      <c r="U21" s="123"/>
      <c r="V21" s="154"/>
      <c r="W21" s="240" t="n">
        <f aca="false">50+19.49+8.99</f>
        <v>78.48</v>
      </c>
      <c r="X21" s="155"/>
      <c r="Y21" s="155"/>
      <c r="Z21" s="140"/>
      <c r="AA21" s="267"/>
      <c r="AB21" s="266"/>
    </row>
    <row r="22" s="156" customFormat="true" ht="15" hidden="false" customHeight="false" outlineLevel="0" collapsed="false">
      <c r="A22" s="141" t="n">
        <v>14</v>
      </c>
      <c r="B22" s="268" t="n">
        <v>43387</v>
      </c>
      <c r="C22" s="145"/>
      <c r="D22" s="242" t="n">
        <f aca="false">D21+F22</f>
        <v>961.692</v>
      </c>
      <c r="E22" s="145" t="n">
        <f aca="false">E21+G22</f>
        <v>5168.632</v>
      </c>
      <c r="F22" s="146" t="n">
        <f aca="false">G22-I22</f>
        <v>317.188</v>
      </c>
      <c r="G22" s="147" t="n">
        <f aca="false">$C$6/$G$1</f>
        <v>369.188</v>
      </c>
      <c r="H22" s="148" t="n">
        <f aca="false">H21+I22</f>
        <v>4206.94</v>
      </c>
      <c r="I22" s="149" t="n">
        <f aca="false">SUM(J22:AA22)</f>
        <v>52</v>
      </c>
      <c r="J22" s="150" t="n">
        <v>52</v>
      </c>
      <c r="K22" s="135" t="s">
        <v>89</v>
      </c>
      <c r="L22" s="118"/>
      <c r="M22" s="118"/>
      <c r="N22" s="152"/>
      <c r="O22" s="120"/>
      <c r="P22" s="121"/>
      <c r="Q22" s="122"/>
      <c r="R22" s="123"/>
      <c r="S22" s="153"/>
      <c r="T22" s="153"/>
      <c r="U22" s="123"/>
      <c r="V22" s="154"/>
      <c r="W22" s="240"/>
      <c r="X22" s="155"/>
      <c r="Y22" s="155"/>
      <c r="Z22" s="140"/>
      <c r="AA22" s="269"/>
      <c r="AB22" s="270"/>
    </row>
    <row r="23" customFormat="false" ht="15" hidden="false" customHeight="false" outlineLevel="0" collapsed="false">
      <c r="A23" s="157" t="n">
        <v>15</v>
      </c>
      <c r="B23" s="273" t="n">
        <v>43388</v>
      </c>
      <c r="C23" s="159"/>
      <c r="D23" s="242" t="n">
        <f aca="false">D22+F23</f>
        <v>1229.23</v>
      </c>
      <c r="E23" s="159" t="n">
        <f aca="false">E22+G23</f>
        <v>5537.82</v>
      </c>
      <c r="F23" s="146" t="n">
        <f aca="false">G23-I23</f>
        <v>267.538</v>
      </c>
      <c r="G23" s="160" t="n">
        <f aca="false">$C$6/$G$1</f>
        <v>369.188</v>
      </c>
      <c r="H23" s="161" t="n">
        <f aca="false">H22+I23</f>
        <v>4308.59</v>
      </c>
      <c r="I23" s="149" t="n">
        <f aca="false">SUM(J23:AA23)</f>
        <v>101.65</v>
      </c>
      <c r="J23" s="150"/>
      <c r="K23" s="117"/>
      <c r="L23" s="118" t="n">
        <f aca="false">23.39+3.91+4.4+6</f>
        <v>37.7</v>
      </c>
      <c r="M23" s="118"/>
      <c r="N23" s="152" t="n">
        <f aca="false">33.98+29.97</f>
        <v>63.95</v>
      </c>
      <c r="O23" s="120"/>
      <c r="P23" s="121"/>
      <c r="Q23" s="122"/>
      <c r="R23" s="123"/>
      <c r="S23" s="153"/>
      <c r="T23" s="153"/>
      <c r="U23" s="123"/>
      <c r="V23" s="154"/>
      <c r="W23" s="240"/>
      <c r="X23" s="155"/>
      <c r="Y23" s="155"/>
      <c r="Z23" s="140"/>
      <c r="AA23" s="267"/>
      <c r="AB23" s="266"/>
    </row>
    <row r="24" customFormat="false" ht="15" hidden="false" customHeight="false" outlineLevel="0" collapsed="false">
      <c r="A24" s="162" t="n">
        <v>16</v>
      </c>
      <c r="B24" s="273" t="n">
        <v>43389</v>
      </c>
      <c r="C24" s="164"/>
      <c r="D24" s="242" t="n">
        <f aca="false">D23+F24</f>
        <v>1490.938</v>
      </c>
      <c r="E24" s="164" t="n">
        <f aca="false">E23+G24</f>
        <v>5907.008</v>
      </c>
      <c r="F24" s="146" t="n">
        <f aca="false">G24-I24</f>
        <v>261.708</v>
      </c>
      <c r="G24" s="165" t="n">
        <f aca="false">$C$6/$G$1</f>
        <v>369.188</v>
      </c>
      <c r="H24" s="166" t="n">
        <f aca="false">H23+I24</f>
        <v>4416.07</v>
      </c>
      <c r="I24" s="149" t="n">
        <f aca="false">SUM(J24:AA24)</f>
        <v>107.48</v>
      </c>
      <c r="J24" s="150"/>
      <c r="K24" s="117"/>
      <c r="L24" s="118" t="n">
        <f aca="false">10.1+4+6.98+30.45</f>
        <v>51.53</v>
      </c>
      <c r="M24" s="118"/>
      <c r="N24" s="152" t="n">
        <f aca="false">35.95</f>
        <v>35.95</v>
      </c>
      <c r="O24" s="120"/>
      <c r="P24" s="121"/>
      <c r="Q24" s="122"/>
      <c r="R24" s="123"/>
      <c r="S24" s="153"/>
      <c r="T24" s="153"/>
      <c r="U24" s="123"/>
      <c r="V24" s="154"/>
      <c r="W24" s="240"/>
      <c r="X24" s="155"/>
      <c r="Y24" s="155"/>
      <c r="Z24" s="140" t="n">
        <f aca="false">20</f>
        <v>20</v>
      </c>
      <c r="AA24" s="267"/>
      <c r="AB24" s="266"/>
    </row>
    <row r="25" customFormat="false" ht="15" hidden="false" customHeight="false" outlineLevel="0" collapsed="false">
      <c r="A25" s="167" t="n">
        <v>17</v>
      </c>
      <c r="B25" s="273" t="n">
        <v>43390</v>
      </c>
      <c r="C25" s="169"/>
      <c r="D25" s="242" t="n">
        <f aca="false">D24+F25</f>
        <v>1221.156</v>
      </c>
      <c r="E25" s="169" t="n">
        <f aca="false">E24+G25</f>
        <v>6276.196</v>
      </c>
      <c r="F25" s="146" t="n">
        <f aca="false">G25-I25</f>
        <v>-269.782</v>
      </c>
      <c r="G25" s="170" t="n">
        <f aca="false">$C$6/$G$1</f>
        <v>369.188</v>
      </c>
      <c r="H25" s="171" t="n">
        <f aca="false">H24+I25</f>
        <v>5055.04</v>
      </c>
      <c r="I25" s="149" t="n">
        <f aca="false">SUM(J25:AA25)</f>
        <v>638.97</v>
      </c>
      <c r="J25" s="150"/>
      <c r="K25" s="117"/>
      <c r="L25" s="202" t="n">
        <f aca="false">7</f>
        <v>7</v>
      </c>
      <c r="M25" s="202"/>
      <c r="N25" s="203" t="n">
        <f aca="false">299.99</f>
        <v>299.99</v>
      </c>
      <c r="O25" s="204"/>
      <c r="P25" s="205"/>
      <c r="Q25" s="206"/>
      <c r="R25" s="178"/>
      <c r="S25" s="173"/>
      <c r="T25" s="173"/>
      <c r="U25" s="178" t="n">
        <f aca="false">131.98</f>
        <v>131.98</v>
      </c>
      <c r="V25" s="179"/>
      <c r="W25" s="46"/>
      <c r="X25" s="155"/>
      <c r="Y25" s="155"/>
      <c r="Z25" s="140" t="n">
        <f aca="false">200</f>
        <v>200</v>
      </c>
      <c r="AA25" s="267"/>
      <c r="AB25" s="266"/>
    </row>
    <row r="26" customFormat="false" ht="15" hidden="false" customHeight="false" outlineLevel="0" collapsed="false">
      <c r="A26" s="141" t="n">
        <v>18</v>
      </c>
      <c r="B26" s="273" t="n">
        <v>43391</v>
      </c>
      <c r="C26" s="145"/>
      <c r="D26" s="242" t="n">
        <f aca="false">D25+F26</f>
        <v>1268.614</v>
      </c>
      <c r="E26" s="145" t="n">
        <f aca="false">E25+G26</f>
        <v>6645.384</v>
      </c>
      <c r="F26" s="146" t="n">
        <f aca="false">G26-I26</f>
        <v>47.458</v>
      </c>
      <c r="G26" s="147" t="n">
        <f aca="false">$C$6/$G$1</f>
        <v>369.188</v>
      </c>
      <c r="H26" s="148" t="n">
        <f aca="false">H25+I26</f>
        <v>5376.77</v>
      </c>
      <c r="I26" s="149" t="n">
        <f aca="false">SUM(J26:AA26)</f>
        <v>321.73</v>
      </c>
      <c r="J26" s="150"/>
      <c r="K26" s="117"/>
      <c r="L26" s="244" t="n">
        <f aca="false">3.3+8.95</f>
        <v>12.25</v>
      </c>
      <c r="M26" s="244"/>
      <c r="N26" s="245"/>
      <c r="O26" s="246" t="n">
        <f aca="false">309.48</f>
        <v>309.48</v>
      </c>
      <c r="P26" s="247"/>
      <c r="Q26" s="248"/>
      <c r="R26" s="249"/>
      <c r="S26" s="250"/>
      <c r="T26" s="250"/>
      <c r="U26" s="249"/>
      <c r="V26" s="251"/>
      <c r="W26" s="252"/>
      <c r="X26" s="155"/>
      <c r="Y26" s="155"/>
      <c r="Z26" s="140"/>
      <c r="AA26" s="269"/>
      <c r="AB26" s="270"/>
    </row>
    <row r="27" customFormat="false" ht="15" hidden="false" customHeight="false" outlineLevel="0" collapsed="false">
      <c r="A27" s="157" t="n">
        <v>19</v>
      </c>
      <c r="B27" s="273" t="n">
        <v>43392</v>
      </c>
      <c r="C27" s="159"/>
      <c r="D27" s="242" t="n">
        <f aca="false">D26+F27</f>
        <v>1521.352</v>
      </c>
      <c r="E27" s="159" t="n">
        <f aca="false">E26+G27</f>
        <v>7014.572</v>
      </c>
      <c r="F27" s="146" t="n">
        <f aca="false">G27-I27</f>
        <v>252.738</v>
      </c>
      <c r="G27" s="160" t="n">
        <f aca="false">$C$6/$G$1</f>
        <v>369.188</v>
      </c>
      <c r="H27" s="161" t="n">
        <f aca="false">H26+I27</f>
        <v>5493.22</v>
      </c>
      <c r="I27" s="149" t="n">
        <f aca="false">SUM(J27:AA27)</f>
        <v>116.45</v>
      </c>
      <c r="J27" s="150"/>
      <c r="K27" s="117"/>
      <c r="L27" s="254" t="n">
        <f aca="false">20.94-8.97+58.54-15.98+10.65</f>
        <v>65.18</v>
      </c>
      <c r="M27" s="254"/>
      <c r="N27" s="255" t="n">
        <f aca="false">15.98</f>
        <v>15.98</v>
      </c>
      <c r="O27" s="256"/>
      <c r="P27" s="257"/>
      <c r="Q27" s="258"/>
      <c r="R27" s="259"/>
      <c r="S27" s="176"/>
      <c r="T27" s="176"/>
      <c r="U27" s="259"/>
      <c r="V27" s="260"/>
      <c r="W27" s="261"/>
      <c r="X27" s="155" t="n">
        <f aca="false">8.97+(4*3.99)+(4*2.59)</f>
        <v>35.29</v>
      </c>
      <c r="Y27" s="155"/>
      <c r="Z27" s="140"/>
      <c r="AA27" s="267"/>
      <c r="AB27" s="266"/>
    </row>
    <row r="28" customFormat="false" ht="15" hidden="false" customHeight="false" outlineLevel="0" collapsed="false">
      <c r="A28" s="167" t="n">
        <v>20</v>
      </c>
      <c r="B28" s="272" t="n">
        <v>43393</v>
      </c>
      <c r="C28" s="169"/>
      <c r="D28" s="242" t="n">
        <f aca="false">D27+F28</f>
        <v>1216.49</v>
      </c>
      <c r="E28" s="169" t="n">
        <f aca="false">E27+G28</f>
        <v>7383.76</v>
      </c>
      <c r="F28" s="146" t="n">
        <f aca="false">G28-I28</f>
        <v>-304.862</v>
      </c>
      <c r="G28" s="170" t="n">
        <f aca="false">$C$6/$G$1</f>
        <v>369.188</v>
      </c>
      <c r="H28" s="171" t="n">
        <f aca="false">H27+I28</f>
        <v>6167.27</v>
      </c>
      <c r="I28" s="149" t="n">
        <f aca="false">SUM(J28:AA28)</f>
        <v>674.05</v>
      </c>
      <c r="J28" s="150" t="n">
        <v>13</v>
      </c>
      <c r="K28" s="135" t="s">
        <v>91</v>
      </c>
      <c r="L28" s="118" t="n">
        <f aca="false">13.6+37.28-7.99+60.13-(4*3.99)-(4*2.59)</f>
        <v>76.7</v>
      </c>
      <c r="M28" s="118" t="n">
        <f aca="false">38.8</f>
        <v>38.8</v>
      </c>
      <c r="N28" s="152" t="n">
        <f aca="false">27.57+7.99</f>
        <v>35.56</v>
      </c>
      <c r="O28" s="120"/>
      <c r="P28" s="121"/>
      <c r="Q28" s="122"/>
      <c r="R28" s="123"/>
      <c r="S28" s="153"/>
      <c r="T28" s="153"/>
      <c r="U28" s="123"/>
      <c r="V28" s="154"/>
      <c r="W28" s="240" t="n">
        <f aca="false">500+9.99</f>
        <v>509.99</v>
      </c>
      <c r="X28" s="155"/>
      <c r="Y28" s="155"/>
      <c r="Z28" s="140"/>
      <c r="AA28" s="267"/>
      <c r="AB28" s="266"/>
    </row>
    <row r="29" s="156" customFormat="true" ht="15" hidden="false" customHeight="false" outlineLevel="0" collapsed="false">
      <c r="A29" s="141" t="n">
        <v>21</v>
      </c>
      <c r="B29" s="268" t="n">
        <v>43394</v>
      </c>
      <c r="C29" s="145"/>
      <c r="D29" s="242" t="n">
        <f aca="false">D28+F29</f>
        <v>1376.778</v>
      </c>
      <c r="E29" s="145" t="n">
        <f aca="false">E28+G29</f>
        <v>7752.948</v>
      </c>
      <c r="F29" s="146" t="n">
        <f aca="false">G29-I29</f>
        <v>160.288</v>
      </c>
      <c r="G29" s="147" t="n">
        <f aca="false">$C$6/$G$1</f>
        <v>369.188</v>
      </c>
      <c r="H29" s="148" t="n">
        <f aca="false">H28+I29</f>
        <v>6376.17</v>
      </c>
      <c r="I29" s="149" t="n">
        <f aca="false">SUM(J29:AA29)</f>
        <v>208.9</v>
      </c>
      <c r="J29" s="150"/>
      <c r="K29" s="117"/>
      <c r="L29" s="118"/>
      <c r="M29" s="118"/>
      <c r="N29" s="152"/>
      <c r="O29" s="120"/>
      <c r="P29" s="121"/>
      <c r="Q29" s="122"/>
      <c r="R29" s="123"/>
      <c r="S29" s="153" t="n">
        <f aca="false">70.14</f>
        <v>70.14</v>
      </c>
      <c r="T29" s="153"/>
      <c r="U29" s="123"/>
      <c r="V29" s="154"/>
      <c r="W29" s="240" t="n">
        <f aca="false">70.79+67.97</f>
        <v>138.76</v>
      </c>
      <c r="X29" s="155"/>
      <c r="Y29" s="155"/>
      <c r="Z29" s="140"/>
      <c r="AA29" s="269"/>
      <c r="AB29" s="270"/>
    </row>
    <row r="30" customFormat="false" ht="15" hidden="false" customHeight="false" outlineLevel="0" collapsed="false">
      <c r="A30" s="157" t="n">
        <v>22</v>
      </c>
      <c r="B30" s="273" t="n">
        <v>43395</v>
      </c>
      <c r="C30" s="159"/>
      <c r="D30" s="242" t="n">
        <f aca="false">D29+F30</f>
        <v>1553.876</v>
      </c>
      <c r="E30" s="159" t="n">
        <f aca="false">E29+G30</f>
        <v>8122.136</v>
      </c>
      <c r="F30" s="146" t="n">
        <f aca="false">G30-I30</f>
        <v>177.098</v>
      </c>
      <c r="G30" s="160" t="n">
        <f aca="false">$C$6/$G$1</f>
        <v>369.188</v>
      </c>
      <c r="H30" s="161" t="n">
        <f aca="false">H29+I30</f>
        <v>6568.26</v>
      </c>
      <c r="I30" s="149" t="n">
        <f aca="false">SUM(J30:AA30)</f>
        <v>192.09</v>
      </c>
      <c r="J30" s="150"/>
      <c r="K30" s="117"/>
      <c r="L30" s="118" t="n">
        <f aca="false">21.55+15.77+22.41</f>
        <v>59.73</v>
      </c>
      <c r="M30" s="118"/>
      <c r="N30" s="152"/>
      <c r="O30" s="120"/>
      <c r="P30" s="121"/>
      <c r="Q30" s="122"/>
      <c r="R30" s="123"/>
      <c r="S30" s="153"/>
      <c r="T30" s="153"/>
      <c r="U30" s="123"/>
      <c r="V30" s="154"/>
      <c r="W30" s="240" t="n">
        <f aca="false">132.36</f>
        <v>132.36</v>
      </c>
      <c r="X30" s="155"/>
      <c r="Y30" s="155"/>
      <c r="Z30" s="140"/>
      <c r="AA30" s="267"/>
      <c r="AB30" s="266"/>
    </row>
    <row r="31" customFormat="false" ht="15" hidden="false" customHeight="false" outlineLevel="0" collapsed="false">
      <c r="A31" s="162" t="n">
        <v>23</v>
      </c>
      <c r="B31" s="273" t="n">
        <v>43396</v>
      </c>
      <c r="C31" s="164"/>
      <c r="D31" s="242" t="n">
        <f aca="false">D30+F31</f>
        <v>1673.644</v>
      </c>
      <c r="E31" s="164" t="n">
        <f aca="false">E30+G31</f>
        <v>8491.324</v>
      </c>
      <c r="F31" s="146" t="n">
        <f aca="false">G31-I31</f>
        <v>119.768</v>
      </c>
      <c r="G31" s="165" t="n">
        <f aca="false">$C$6/$G$1</f>
        <v>369.188</v>
      </c>
      <c r="H31" s="166" t="n">
        <f aca="false">H30+I31</f>
        <v>6817.68</v>
      </c>
      <c r="I31" s="149" t="n">
        <f aca="false">SUM(J31:AA31)</f>
        <v>249.42</v>
      </c>
      <c r="J31" s="150"/>
      <c r="K31" s="117"/>
      <c r="L31" s="118" t="n">
        <f aca="false">19.67+99.94</f>
        <v>119.61</v>
      </c>
      <c r="M31" s="118"/>
      <c r="N31" s="152"/>
      <c r="O31" s="120"/>
      <c r="P31" s="121"/>
      <c r="Q31" s="122"/>
      <c r="R31" s="123"/>
      <c r="S31" s="153" t="n">
        <f aca="false">39.81</f>
        <v>39.81</v>
      </c>
      <c r="T31" s="153"/>
      <c r="U31" s="123"/>
      <c r="V31" s="154" t="n">
        <f aca="false">90</f>
        <v>90</v>
      </c>
      <c r="W31" s="240"/>
      <c r="X31" s="155"/>
      <c r="Y31" s="155"/>
      <c r="Z31" s="140"/>
      <c r="AA31" s="267"/>
      <c r="AB31" s="266"/>
    </row>
    <row r="32" customFormat="false" ht="15" hidden="false" customHeight="false" outlineLevel="0" collapsed="false">
      <c r="A32" s="167" t="n">
        <v>24</v>
      </c>
      <c r="B32" s="273" t="n">
        <v>43397</v>
      </c>
      <c r="C32" s="169"/>
      <c r="D32" s="242" t="n">
        <f aca="false">D31+F32</f>
        <v>2001.622</v>
      </c>
      <c r="E32" s="169" t="n">
        <f aca="false">E31+G32</f>
        <v>8860.512</v>
      </c>
      <c r="F32" s="146" t="n">
        <f aca="false">G32-I32</f>
        <v>327.978</v>
      </c>
      <c r="G32" s="170" t="n">
        <f aca="false">$C$6/$G$1</f>
        <v>369.188</v>
      </c>
      <c r="H32" s="171" t="n">
        <f aca="false">H31+I32</f>
        <v>6858.89</v>
      </c>
      <c r="I32" s="149" t="n">
        <f aca="false">SUM(J32:AA32)</f>
        <v>41.21</v>
      </c>
      <c r="J32" s="150"/>
      <c r="K32" s="117"/>
      <c r="L32" s="202" t="n">
        <f aca="false">32.12+4.6</f>
        <v>36.72</v>
      </c>
      <c r="M32" s="202"/>
      <c r="N32" s="203" t="n">
        <f aca="false">3.29</f>
        <v>3.29</v>
      </c>
      <c r="O32" s="204"/>
      <c r="P32" s="205"/>
      <c r="Q32" s="206"/>
      <c r="R32" s="178"/>
      <c r="S32" s="173"/>
      <c r="T32" s="173"/>
      <c r="U32" s="178" t="n">
        <f aca="false">1.2</f>
        <v>1.2</v>
      </c>
      <c r="V32" s="179"/>
      <c r="W32" s="46"/>
      <c r="X32" s="155"/>
      <c r="Y32" s="155"/>
      <c r="Z32" s="140"/>
      <c r="AA32" s="267"/>
      <c r="AB32" s="266"/>
    </row>
    <row r="33" customFormat="false" ht="15" hidden="false" customHeight="false" outlineLevel="0" collapsed="false">
      <c r="A33" s="141" t="n">
        <v>25</v>
      </c>
      <c r="B33" s="273" t="n">
        <v>43398</v>
      </c>
      <c r="C33" s="145"/>
      <c r="D33" s="242" t="n">
        <f aca="false">D32+F33</f>
        <v>2167.5</v>
      </c>
      <c r="E33" s="145" t="n">
        <f aca="false">E32+G33</f>
        <v>9229.7</v>
      </c>
      <c r="F33" s="146" t="n">
        <f aca="false">G33-I33</f>
        <v>165.878</v>
      </c>
      <c r="G33" s="147" t="n">
        <f aca="false">$C$6/$G$1</f>
        <v>369.188</v>
      </c>
      <c r="H33" s="148" t="n">
        <f aca="false">H32+I33</f>
        <v>7062.2</v>
      </c>
      <c r="I33" s="149" t="n">
        <f aca="false">SUM(J33:AA33)</f>
        <v>203.31</v>
      </c>
      <c r="J33" s="150"/>
      <c r="K33" s="117"/>
      <c r="L33" s="244" t="n">
        <f aca="false">35.75-7.99+6</f>
        <v>33.76</v>
      </c>
      <c r="M33" s="244" t="n">
        <f aca="false">16.5</f>
        <v>16.5</v>
      </c>
      <c r="N33" s="245" t="n">
        <f aca="false">17.99+7.99</f>
        <v>25.98</v>
      </c>
      <c r="O33" s="246"/>
      <c r="P33" s="247"/>
      <c r="Q33" s="248"/>
      <c r="R33" s="249"/>
      <c r="S33" s="250" t="n">
        <f aca="false">76.09</f>
        <v>76.09</v>
      </c>
      <c r="T33" s="250" t="n">
        <f aca="false">20</f>
        <v>20</v>
      </c>
      <c r="U33" s="249" t="n">
        <f aca="false">30.98</f>
        <v>30.98</v>
      </c>
      <c r="V33" s="251"/>
      <c r="W33" s="252"/>
      <c r="X33" s="155"/>
      <c r="Y33" s="155"/>
      <c r="Z33" s="140"/>
      <c r="AA33" s="269"/>
      <c r="AB33" s="270"/>
    </row>
    <row r="34" customFormat="false" ht="15" hidden="false" customHeight="false" outlineLevel="0" collapsed="false">
      <c r="A34" s="157" t="n">
        <v>26</v>
      </c>
      <c r="B34" s="273" t="n">
        <v>43399</v>
      </c>
      <c r="C34" s="159"/>
      <c r="D34" s="242" t="n">
        <f aca="false">D33+F34</f>
        <v>2441.088</v>
      </c>
      <c r="E34" s="159" t="n">
        <f aca="false">E33+G34</f>
        <v>9598.888</v>
      </c>
      <c r="F34" s="146" t="n">
        <f aca="false">G34-I34</f>
        <v>273.588</v>
      </c>
      <c r="G34" s="160" t="n">
        <f aca="false">$C$6/$G$1</f>
        <v>369.188</v>
      </c>
      <c r="H34" s="161" t="n">
        <f aca="false">H33+I34</f>
        <v>7157.8</v>
      </c>
      <c r="I34" s="149" t="n">
        <f aca="false">SUM(J34:AA34)</f>
        <v>95.6</v>
      </c>
      <c r="J34" s="150"/>
      <c r="K34" s="117"/>
      <c r="L34" s="254" t="n">
        <f aca="false">43.02</f>
        <v>43.02</v>
      </c>
      <c r="M34" s="254"/>
      <c r="N34" s="255"/>
      <c r="O34" s="256"/>
      <c r="P34" s="257"/>
      <c r="Q34" s="258"/>
      <c r="R34" s="259"/>
      <c r="S34" s="176"/>
      <c r="T34" s="176"/>
      <c r="U34" s="259" t="n">
        <f aca="false">52.58</f>
        <v>52.58</v>
      </c>
      <c r="V34" s="260"/>
      <c r="W34" s="261"/>
      <c r="X34" s="155"/>
      <c r="Y34" s="155"/>
      <c r="Z34" s="140"/>
      <c r="AA34" s="267"/>
      <c r="AB34" s="266"/>
    </row>
    <row r="35" customFormat="false" ht="15" hidden="false" customHeight="false" outlineLevel="0" collapsed="false">
      <c r="A35" s="167" t="n">
        <v>27</v>
      </c>
      <c r="B35" s="272" t="n">
        <v>43400</v>
      </c>
      <c r="C35" s="169"/>
      <c r="D35" s="242" t="n">
        <f aca="false">D34+F35</f>
        <v>2627.016</v>
      </c>
      <c r="E35" s="169" t="n">
        <f aca="false">E34+G35</f>
        <v>9968.076</v>
      </c>
      <c r="F35" s="146" t="n">
        <f aca="false">G35-I35</f>
        <v>185.928</v>
      </c>
      <c r="G35" s="170" t="n">
        <f aca="false">$C$6/$G$1</f>
        <v>369.188</v>
      </c>
      <c r="H35" s="171" t="n">
        <f aca="false">H34+I35</f>
        <v>7341.06</v>
      </c>
      <c r="I35" s="149" t="n">
        <f aca="false">SUM(J35:AA35)</f>
        <v>183.26</v>
      </c>
      <c r="J35" s="150"/>
      <c r="K35" s="117"/>
      <c r="L35" s="118" t="n">
        <f aca="false">7.3+8.07+53.52</f>
        <v>68.89</v>
      </c>
      <c r="M35" s="118"/>
      <c r="N35" s="152" t="n">
        <f aca="false">44.39</f>
        <v>44.39</v>
      </c>
      <c r="O35" s="120"/>
      <c r="P35" s="121"/>
      <c r="Q35" s="122"/>
      <c r="R35" s="123"/>
      <c r="S35" s="153"/>
      <c r="T35" s="153"/>
      <c r="U35" s="123"/>
      <c r="V35" s="154"/>
      <c r="W35" s="240"/>
      <c r="X35" s="155"/>
      <c r="Y35" s="155" t="n">
        <f aca="false">59.98</f>
        <v>59.98</v>
      </c>
      <c r="Z35" s="140" t="n">
        <f aca="false">10</f>
        <v>10</v>
      </c>
      <c r="AA35" s="267"/>
      <c r="AB35" s="266"/>
    </row>
    <row r="36" s="156" customFormat="true" ht="15" hidden="false" customHeight="false" outlineLevel="0" collapsed="false">
      <c r="A36" s="141" t="n">
        <v>28</v>
      </c>
      <c r="B36" s="268" t="n">
        <v>43401</v>
      </c>
      <c r="C36" s="145"/>
      <c r="D36" s="242" t="n">
        <f aca="false">D35+F36</f>
        <v>2681.504</v>
      </c>
      <c r="E36" s="145" t="n">
        <f aca="false">E35+G36</f>
        <v>10337.264</v>
      </c>
      <c r="F36" s="146" t="n">
        <f aca="false">G36-I36</f>
        <v>54.488</v>
      </c>
      <c r="G36" s="147" t="n">
        <f aca="false">$C$6/$G$1</f>
        <v>369.188</v>
      </c>
      <c r="H36" s="148" t="n">
        <f aca="false">H35+I36</f>
        <v>7655.76</v>
      </c>
      <c r="I36" s="149" t="n">
        <f aca="false">SUM(J36:AA36)</f>
        <v>314.7</v>
      </c>
      <c r="J36" s="201" t="n">
        <v>29.99</v>
      </c>
      <c r="K36" s="117" t="s">
        <v>97</v>
      </c>
      <c r="L36" s="118" t="n">
        <f aca="false">48.77</f>
        <v>48.77</v>
      </c>
      <c r="M36" s="118"/>
      <c r="N36" s="152"/>
      <c r="O36" s="120"/>
      <c r="P36" s="121"/>
      <c r="Q36" s="122"/>
      <c r="R36" s="123"/>
      <c r="S36" s="153" t="n">
        <f aca="false">223.94</f>
        <v>223.94</v>
      </c>
      <c r="T36" s="153"/>
      <c r="U36" s="123"/>
      <c r="V36" s="154"/>
      <c r="W36" s="240"/>
      <c r="X36" s="155"/>
      <c r="Y36" s="155"/>
      <c r="Z36" s="209" t="n">
        <f aca="false">12</f>
        <v>12</v>
      </c>
      <c r="AA36" s="269"/>
      <c r="AB36" s="270"/>
    </row>
    <row r="37" customFormat="false" ht="15" hidden="false" customHeight="false" outlineLevel="0" collapsed="false">
      <c r="A37" s="157" t="n">
        <v>29</v>
      </c>
      <c r="B37" s="273" t="n">
        <v>43402</v>
      </c>
      <c r="C37" s="159"/>
      <c r="D37" s="242" t="n">
        <f aca="false">D36+F37</f>
        <v>3006.132</v>
      </c>
      <c r="E37" s="159" t="n">
        <f aca="false">E36+G37</f>
        <v>10706.452</v>
      </c>
      <c r="F37" s="146" t="n">
        <f aca="false">G37-I37</f>
        <v>324.628</v>
      </c>
      <c r="G37" s="160" t="n">
        <f aca="false">$C$6/$G$1</f>
        <v>369.188</v>
      </c>
      <c r="H37" s="161" t="n">
        <f aca="false">H36+I37</f>
        <v>7700.32</v>
      </c>
      <c r="I37" s="149" t="n">
        <f aca="false">SUM(J37:AA37)</f>
        <v>44.56</v>
      </c>
      <c r="J37" s="150"/>
      <c r="K37" s="117"/>
      <c r="L37" s="118" t="n">
        <f aca="false">2.15+12.81+29.6</f>
        <v>44.56</v>
      </c>
      <c r="M37" s="118"/>
      <c r="N37" s="152"/>
      <c r="O37" s="120"/>
      <c r="P37" s="121"/>
      <c r="Q37" s="122"/>
      <c r="R37" s="123"/>
      <c r="S37" s="153"/>
      <c r="T37" s="153"/>
      <c r="U37" s="123"/>
      <c r="V37" s="154"/>
      <c r="W37" s="240"/>
      <c r="X37" s="155"/>
      <c r="Y37" s="155"/>
      <c r="Z37" s="209"/>
      <c r="AA37" s="267"/>
      <c r="AB37" s="266"/>
    </row>
    <row r="38" customFormat="false" ht="15" hidden="false" customHeight="false" outlineLevel="0" collapsed="false">
      <c r="A38" s="162" t="n">
        <v>30</v>
      </c>
      <c r="B38" s="273" t="n">
        <v>43403</v>
      </c>
      <c r="C38" s="164"/>
      <c r="D38" s="242" t="n">
        <f aca="false">D37+F38</f>
        <v>3346.5</v>
      </c>
      <c r="E38" s="164" t="n">
        <f aca="false">E37+G38</f>
        <v>11075.64</v>
      </c>
      <c r="F38" s="146" t="n">
        <f aca="false">G38-I38</f>
        <v>340.368</v>
      </c>
      <c r="G38" s="165" t="n">
        <f aca="false">$C$6/$G$1</f>
        <v>369.188</v>
      </c>
      <c r="H38" s="166" t="n">
        <f aca="false">H37+I38</f>
        <v>7729.14</v>
      </c>
      <c r="I38" s="149" t="n">
        <f aca="false">SUM(J38:AA38)</f>
        <v>28.82</v>
      </c>
      <c r="J38" s="150"/>
      <c r="K38" s="117"/>
      <c r="L38" s="118" t="n">
        <f aca="false">28.82</f>
        <v>28.82</v>
      </c>
      <c r="M38" s="118"/>
      <c r="N38" s="152"/>
      <c r="O38" s="120"/>
      <c r="P38" s="121"/>
      <c r="Q38" s="122"/>
      <c r="R38" s="123"/>
      <c r="S38" s="153"/>
      <c r="T38" s="153"/>
      <c r="U38" s="123"/>
      <c r="V38" s="154"/>
      <c r="W38" s="240"/>
      <c r="X38" s="155"/>
      <c r="Y38" s="155"/>
      <c r="Z38" s="209"/>
      <c r="AA38" s="267"/>
      <c r="AB38" s="266"/>
    </row>
    <row r="39" customFormat="false" ht="15" hidden="false" customHeight="false" outlineLevel="0" collapsed="false">
      <c r="A39" s="162" t="n">
        <v>31</v>
      </c>
      <c r="B39" s="273" t="n">
        <v>43404</v>
      </c>
      <c r="C39" s="164"/>
      <c r="D39" s="242" t="n">
        <f aca="false">D38+F39</f>
        <v>3555.788</v>
      </c>
      <c r="E39" s="164" t="n">
        <f aca="false">E38+G39</f>
        <v>11444.828</v>
      </c>
      <c r="F39" s="146" t="n">
        <f aca="false">G39-I39</f>
        <v>209.288</v>
      </c>
      <c r="G39" s="165" t="n">
        <f aca="false">$C$6/$G$1</f>
        <v>369.188</v>
      </c>
      <c r="H39" s="166" t="n">
        <f aca="false">H38+I39</f>
        <v>7889.04</v>
      </c>
      <c r="I39" s="149" t="n">
        <f aca="false">SUM(J39:AA39)</f>
        <v>159.9</v>
      </c>
      <c r="J39" s="150"/>
      <c r="K39" s="117"/>
      <c r="L39" s="118" t="n">
        <f aca="false">28.54-25.56+13.42+4.3+24.45-2.99</f>
        <v>42.16</v>
      </c>
      <c r="M39" s="118"/>
      <c r="N39" s="152" t="n">
        <f aca="false">2.99+34.99</f>
        <v>37.98</v>
      </c>
      <c r="O39" s="120"/>
      <c r="P39" s="121"/>
      <c r="Q39" s="122"/>
      <c r="R39" s="123"/>
      <c r="S39" s="153"/>
      <c r="T39" s="153"/>
      <c r="U39" s="123"/>
      <c r="V39" s="154"/>
      <c r="W39" s="240"/>
      <c r="X39" s="155"/>
      <c r="Y39" s="155"/>
      <c r="Z39" s="209" t="n">
        <f aca="false">54.2+25.56</f>
        <v>79.76</v>
      </c>
      <c r="AA39" s="267"/>
      <c r="AB39" s="266"/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3.8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4.57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15.43"/>
    <col collapsed="false" customWidth="true" hidden="false" outlineLevel="0" max="12" min="12" style="65" width="8"/>
    <col collapsed="false" customWidth="true" hidden="false" outlineLevel="0" max="13" min="13" style="65" width="7.7"/>
    <col collapsed="false" customWidth="true" hidden="false" outlineLevel="0" max="14" min="14" style="65" width="8.85"/>
    <col collapsed="false" customWidth="true" hidden="false" outlineLevel="0" max="15" min="15" style="65" width="8.18"/>
    <col collapsed="false" customWidth="true" hidden="false" outlineLevel="0" max="16" min="16" style="65" width="9.57"/>
    <col collapsed="false" customWidth="true" hidden="false" outlineLevel="0" max="17" min="17" style="65" width="12.75"/>
    <col collapsed="false" customWidth="false" hidden="false" outlineLevel="0" max="18" min="18" style="65" width="11.43"/>
    <col collapsed="false" customWidth="true" hidden="false" outlineLevel="0" max="19" min="19" style="65" width="7.55"/>
    <col collapsed="false" customWidth="true" hidden="false" outlineLevel="0" max="20" min="20" style="65" width="8.03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8.34"/>
    <col collapsed="false" customWidth="true" hidden="false" outlineLevel="0" max="24" min="24" style="65" width="7.55"/>
    <col collapsed="false" customWidth="true" hidden="false" outlineLevel="0" max="25" min="25" style="65" width="7.7"/>
    <col collapsed="false" customWidth="true" hidden="false" outlineLevel="0" max="26" min="26" style="65" width="8.82"/>
    <col collapsed="false" customWidth="true" hidden="false" outlineLevel="0" max="1025" min="27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30</v>
      </c>
    </row>
    <row r="2" customFormat="false" ht="13.8" hidden="false" customHeight="false" outlineLevel="0" collapsed="false">
      <c r="B2" s="71" t="s">
        <v>50</v>
      </c>
      <c r="C2" s="72" t="n">
        <v>4661.64</v>
      </c>
      <c r="D2" s="72" t="n">
        <v>2834</v>
      </c>
      <c r="E2" s="72"/>
    </row>
    <row r="3" customFormat="false" ht="53.55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8.55" hidden="false" customHeight="false" outlineLevel="0" collapsed="false">
      <c r="B4" s="71" t="s">
        <v>52</v>
      </c>
      <c r="C4" s="72"/>
      <c r="D4" s="72"/>
      <c r="E4" s="72"/>
      <c r="F4" s="181" t="n">
        <f aca="false">1000+SUM(C4:E5)</f>
        <v>2400</v>
      </c>
      <c r="G4" s="182" t="n">
        <f aca="false">C6-F4</f>
        <v>6495.64</v>
      </c>
      <c r="H4" s="183" t="n">
        <f aca="false">G4-H6</f>
        <v>-1738.41</v>
      </c>
      <c r="I4" s="217" t="n">
        <f aca="false">C6-H6</f>
        <v>661.589999999998</v>
      </c>
    </row>
    <row r="5" customFormat="false" ht="16.4" hidden="false" customHeight="false" outlineLevel="0" collapsed="false">
      <c r="B5" s="83" t="s">
        <v>53</v>
      </c>
      <c r="C5" s="84"/>
      <c r="D5" s="84"/>
      <c r="E5" s="84" t="n">
        <f aca="false">500+500+400</f>
        <v>1400</v>
      </c>
      <c r="J5" s="218" t="n">
        <f aca="false">J7/H6</f>
        <v>0.102027556305828</v>
      </c>
      <c r="K5" s="218"/>
      <c r="L5" s="219" t="n">
        <f aca="false">(L7+M7)/H6</f>
        <v>0.166581451412124</v>
      </c>
      <c r="M5" s="219"/>
      <c r="N5" s="220" t="n">
        <f aca="false">N7/H6</f>
        <v>0.0200739611734201</v>
      </c>
      <c r="O5" s="221" t="n">
        <f aca="false">O7/H6</f>
        <v>0.00607234592940291</v>
      </c>
      <c r="P5" s="222" t="n">
        <f aca="false">P7/H6</f>
        <v>0.0234380408183093</v>
      </c>
      <c r="Q5" s="223" t="n">
        <f aca="false">Q7/H6</f>
        <v>0.00868345467904615</v>
      </c>
      <c r="R5" s="224" t="n">
        <f aca="false">R7/H6</f>
        <v>0</v>
      </c>
      <c r="S5" s="225" t="n">
        <f aca="false">(S7+T7)/H6</f>
        <v>0.23032165216388</v>
      </c>
      <c r="T5" s="225"/>
      <c r="U5" s="226" t="n">
        <f aca="false">(U7+V7)/H6</f>
        <v>0.177142475452542</v>
      </c>
      <c r="V5" s="226"/>
      <c r="W5" s="227" t="n">
        <f aca="false">W7/H6</f>
        <v>0.106609748544155</v>
      </c>
      <c r="X5" s="228" t="n">
        <f aca="false">(X7+Y7)/H6</f>
        <v>0.0083239718000255</v>
      </c>
      <c r="Y5" s="228"/>
      <c r="Z5" s="229" t="n">
        <f aca="false">Z7/H6</f>
        <v>0.0149744050619076</v>
      </c>
      <c r="AA5" s="263" t="n">
        <f aca="false">AA7/H6</f>
        <v>0</v>
      </c>
      <c r="AB5" s="264" t="n">
        <f aca="false">AB7/H6</f>
        <v>0.13575093665936</v>
      </c>
    </row>
    <row r="6" customFormat="false" ht="57" hidden="false" customHeight="true" outlineLevel="0" collapsed="false">
      <c r="B6" s="98" t="s">
        <v>56</v>
      </c>
      <c r="C6" s="230" t="n">
        <f aca="false">SUM(C2:C5)+SUM(D2:D5)+SUM(E2:E5)</f>
        <v>8895.64</v>
      </c>
      <c r="D6" s="100"/>
      <c r="E6" s="101"/>
      <c r="G6" s="102" t="s">
        <v>57</v>
      </c>
      <c r="H6" s="103" t="n">
        <f aca="false">SUM(J7:AB7)</f>
        <v>8234.05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</row>
    <row r="7" customFormat="false" ht="13.8" hidden="false" customHeight="false" outlineLevel="0" collapsed="false">
      <c r="B7" s="116"/>
      <c r="J7" s="117" t="n">
        <f aca="false">SUM(J9:J38)</f>
        <v>840.1</v>
      </c>
      <c r="K7" s="117"/>
      <c r="L7" s="118" t="n">
        <f aca="false">SUM(L9:L38)</f>
        <v>1212.87</v>
      </c>
      <c r="M7" s="118" t="n">
        <f aca="false">SUM(M9:M38)</f>
        <v>158.77</v>
      </c>
      <c r="N7" s="119" t="n">
        <f aca="false">SUM(N9:N38)</f>
        <v>165.29</v>
      </c>
      <c r="O7" s="120" t="n">
        <f aca="false">SUM(O9:O38)</f>
        <v>50</v>
      </c>
      <c r="P7" s="121" t="n">
        <f aca="false">SUM(P9:P38)</f>
        <v>192.99</v>
      </c>
      <c r="Q7" s="122" t="n">
        <f aca="false">SUM(Q9:Q38)</f>
        <v>71.5</v>
      </c>
      <c r="R7" s="123" t="n">
        <f aca="false">SUM(R9:R38)</f>
        <v>0</v>
      </c>
      <c r="S7" s="37" t="n">
        <f aca="false">SUM(S9:S38)</f>
        <v>635.53</v>
      </c>
      <c r="T7" s="37" t="n">
        <f aca="false">SUM(T9:T38)</f>
        <v>1260.95</v>
      </c>
      <c r="U7" s="36" t="n">
        <f aca="false">SUM(U9:U38)</f>
        <v>399.7</v>
      </c>
      <c r="V7" s="124" t="n">
        <f aca="false">SUM(V9:V38)</f>
        <v>1058.9</v>
      </c>
      <c r="W7" s="38" t="n">
        <f aca="false">SUM(W9:W38)</f>
        <v>877.83</v>
      </c>
      <c r="X7" s="39" t="n">
        <f aca="false">SUM(X9:X38)</f>
        <v>68.54</v>
      </c>
      <c r="Y7" s="39" t="n">
        <f aca="false">SUM(Y9:Y38)</f>
        <v>0</v>
      </c>
      <c r="Z7" s="40" t="n">
        <f aca="false">SUM(Z9:Z38)</f>
        <v>123.3</v>
      </c>
      <c r="AA7" s="41" t="n">
        <f aca="false">SUM(AA9:AA38)</f>
        <v>0</v>
      </c>
      <c r="AB7" s="34" t="n">
        <f aca="false">SUM(AB9:AB38)</f>
        <v>1117.78</v>
      </c>
    </row>
    <row r="8" customFormat="false" ht="61.15" hidden="false" customHeight="false" outlineLevel="0" collapsed="false">
      <c r="A8" s="126" t="s">
        <v>61</v>
      </c>
      <c r="B8" s="127" t="s">
        <v>62</v>
      </c>
      <c r="C8" s="128" t="s">
        <v>103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110</v>
      </c>
      <c r="W8" s="240"/>
      <c r="X8" s="138" t="s">
        <v>26</v>
      </c>
      <c r="Y8" s="139" t="s">
        <v>32</v>
      </c>
      <c r="Z8" s="140"/>
      <c r="AA8" s="267"/>
      <c r="AB8" s="266"/>
    </row>
    <row r="9" s="156" customFormat="true" ht="15" hidden="false" customHeight="false" outlineLevel="0" collapsed="false">
      <c r="A9" s="141" t="n">
        <v>1</v>
      </c>
      <c r="B9" s="273" t="n">
        <v>43405</v>
      </c>
      <c r="C9" s="145"/>
      <c r="D9" s="144" t="n">
        <f aca="false">F9</f>
        <v>226.621333333333</v>
      </c>
      <c r="E9" s="145" t="n">
        <f aca="false">G9</f>
        <v>296.521333333333</v>
      </c>
      <c r="F9" s="146" t="n">
        <f aca="false">G9-I9</f>
        <v>226.621333333333</v>
      </c>
      <c r="G9" s="147" t="n">
        <f aca="false">$C$6/$G$1</f>
        <v>296.521333333333</v>
      </c>
      <c r="H9" s="148" t="n">
        <f aca="false">I9</f>
        <v>69.9</v>
      </c>
      <c r="I9" s="149" t="n">
        <f aca="false">SUM(J9:AA9)</f>
        <v>69.9</v>
      </c>
      <c r="J9" s="150" t="n">
        <v>19.9</v>
      </c>
      <c r="K9" s="117" t="s">
        <v>109</v>
      </c>
      <c r="L9" s="118"/>
      <c r="M9" s="118"/>
      <c r="N9" s="152"/>
      <c r="O9" s="120" t="n">
        <v>50</v>
      </c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/>
      <c r="AA9" s="269"/>
      <c r="AB9" s="270"/>
    </row>
    <row r="10" customFormat="false" ht="15" hidden="false" customHeight="false" outlineLevel="0" collapsed="false">
      <c r="A10" s="157" t="n">
        <v>2</v>
      </c>
      <c r="B10" s="273" t="n">
        <v>43406</v>
      </c>
      <c r="C10" s="159"/>
      <c r="D10" s="242" t="n">
        <f aca="false">D9+F10</f>
        <v>253.072666666667</v>
      </c>
      <c r="E10" s="159" t="n">
        <f aca="false">E9+G10</f>
        <v>593.042666666667</v>
      </c>
      <c r="F10" s="146" t="n">
        <f aca="false">G10-I10</f>
        <v>26.4513333333333</v>
      </c>
      <c r="G10" s="160" t="n">
        <f aca="false">$C$6/$G$1</f>
        <v>296.521333333333</v>
      </c>
      <c r="H10" s="161" t="n">
        <f aca="false">H9+I10</f>
        <v>339.97</v>
      </c>
      <c r="I10" s="149" t="n">
        <f aca="false">SUM(J10:AA10)</f>
        <v>270.07</v>
      </c>
      <c r="J10" s="150"/>
      <c r="K10" s="135"/>
      <c r="L10" s="118" t="n">
        <f aca="false">24.51+40.99+9.5+63.35</f>
        <v>138.35</v>
      </c>
      <c r="M10" s="118"/>
      <c r="N10" s="152" t="n">
        <f aca="false">4.79+126.93-39.99-59.99</f>
        <v>31.74</v>
      </c>
      <c r="O10" s="120"/>
      <c r="P10" s="121"/>
      <c r="Q10" s="122"/>
      <c r="R10" s="123"/>
      <c r="S10" s="153"/>
      <c r="T10" s="153"/>
      <c r="U10" s="123" t="n">
        <f aca="false">99.98</f>
        <v>99.98</v>
      </c>
      <c r="V10" s="154"/>
      <c r="W10" s="240"/>
      <c r="X10" s="155"/>
      <c r="Y10" s="155"/>
      <c r="Z10" s="140"/>
      <c r="AA10" s="267"/>
      <c r="AB10" s="266"/>
    </row>
    <row r="11" customFormat="false" ht="15" hidden="false" customHeight="false" outlineLevel="0" collapsed="false">
      <c r="A11" s="167" t="n">
        <v>3</v>
      </c>
      <c r="B11" s="272" t="n">
        <v>43407</v>
      </c>
      <c r="C11" s="169"/>
      <c r="D11" s="242" t="n">
        <f aca="false">D10+F11</f>
        <v>65.9039999999999</v>
      </c>
      <c r="E11" s="169" t="n">
        <f aca="false">E10+G11</f>
        <v>889.564</v>
      </c>
      <c r="F11" s="146" t="n">
        <f aca="false">G11-I11</f>
        <v>-187.168666666667</v>
      </c>
      <c r="G11" s="170" t="n">
        <f aca="false">$C$6/$G$1</f>
        <v>296.521333333333</v>
      </c>
      <c r="H11" s="171" t="n">
        <f aca="false">H10+I11</f>
        <v>823.66</v>
      </c>
      <c r="I11" s="149" t="n">
        <f aca="false">SUM(J11:AA11)</f>
        <v>483.69</v>
      </c>
      <c r="J11" s="150"/>
      <c r="K11" s="117"/>
      <c r="L11" s="202" t="n">
        <f aca="false">106.8-15.99-15.98+55.51+43.59+17.25</f>
        <v>191.18</v>
      </c>
      <c r="M11" s="202"/>
      <c r="N11" s="203" t="n">
        <f aca="false">5.59+4.99+15.99+15.98</f>
        <v>42.55</v>
      </c>
      <c r="O11" s="204"/>
      <c r="P11" s="205" t="n">
        <f aca="false">188</f>
        <v>188</v>
      </c>
      <c r="Q11" s="206"/>
      <c r="R11" s="178"/>
      <c r="S11" s="173"/>
      <c r="T11" s="173"/>
      <c r="U11" s="178"/>
      <c r="V11" s="179"/>
      <c r="W11" s="46"/>
      <c r="X11" s="155" t="n">
        <f aca="false">61.96</f>
        <v>61.96</v>
      </c>
      <c r="Y11" s="155"/>
      <c r="Z11" s="140"/>
      <c r="AA11" s="267"/>
      <c r="AB11" s="266"/>
    </row>
    <row r="12" customFormat="false" ht="15" hidden="false" customHeight="false" outlineLevel="0" collapsed="false">
      <c r="A12" s="141" t="n">
        <v>4</v>
      </c>
      <c r="B12" s="268" t="n">
        <v>43408</v>
      </c>
      <c r="C12" s="145"/>
      <c r="D12" s="242" t="n">
        <f aca="false">D11+F12</f>
        <v>362.425333333333</v>
      </c>
      <c r="E12" s="145" t="n">
        <f aca="false">E11+G12</f>
        <v>1186.08533333333</v>
      </c>
      <c r="F12" s="146" t="n">
        <f aca="false">G12-I12</f>
        <v>296.521333333333</v>
      </c>
      <c r="G12" s="147" t="n">
        <f aca="false">$C$6/$G$1</f>
        <v>296.521333333333</v>
      </c>
      <c r="H12" s="148" t="n">
        <f aca="false">H11+I12</f>
        <v>823.66</v>
      </c>
      <c r="I12" s="149" t="n">
        <f aca="false">SUM(J12:AA12)</f>
        <v>0</v>
      </c>
      <c r="J12" s="150"/>
      <c r="K12" s="117"/>
      <c r="L12" s="244"/>
      <c r="M12" s="244"/>
      <c r="N12" s="245"/>
      <c r="O12" s="246"/>
      <c r="P12" s="247"/>
      <c r="Q12" s="248"/>
      <c r="R12" s="249"/>
      <c r="S12" s="250"/>
      <c r="T12" s="250"/>
      <c r="U12" s="249"/>
      <c r="V12" s="251"/>
      <c r="W12" s="252"/>
      <c r="X12" s="155"/>
      <c r="Y12" s="155"/>
      <c r="Z12" s="140"/>
      <c r="AA12" s="269"/>
      <c r="AB12" s="270"/>
    </row>
    <row r="13" customFormat="false" ht="15" hidden="false" customHeight="false" outlineLevel="0" collapsed="false">
      <c r="A13" s="157" t="n">
        <v>5</v>
      </c>
      <c r="B13" s="273" t="n">
        <v>43409</v>
      </c>
      <c r="C13" s="159"/>
      <c r="D13" s="242" t="n">
        <f aca="false">D12+F13</f>
        <v>547.526666666667</v>
      </c>
      <c r="E13" s="159" t="n">
        <f aca="false">E12+G13</f>
        <v>1482.60666666667</v>
      </c>
      <c r="F13" s="146" t="n">
        <f aca="false">G13-I13</f>
        <v>185.101333333333</v>
      </c>
      <c r="G13" s="160" t="n">
        <f aca="false">$C$6/$G$1</f>
        <v>296.521333333333</v>
      </c>
      <c r="H13" s="161" t="n">
        <f aca="false">H12+I13</f>
        <v>935.08</v>
      </c>
      <c r="I13" s="149" t="n">
        <f aca="false">SUM(J13:AA13)</f>
        <v>111.42</v>
      </c>
      <c r="J13" s="150"/>
      <c r="K13" s="117"/>
      <c r="L13" s="254" t="n">
        <f aca="false">22.21</f>
        <v>22.21</v>
      </c>
      <c r="M13" s="254"/>
      <c r="N13" s="255"/>
      <c r="O13" s="256"/>
      <c r="P13" s="257"/>
      <c r="Q13" s="258"/>
      <c r="R13" s="259"/>
      <c r="S13" s="176"/>
      <c r="T13" s="176"/>
      <c r="U13" s="259" t="n">
        <f aca="false">89.21</f>
        <v>89.21</v>
      </c>
      <c r="V13" s="260"/>
      <c r="W13" s="261"/>
      <c r="X13" s="155"/>
      <c r="Y13" s="155"/>
      <c r="Z13" s="140"/>
      <c r="AA13" s="267"/>
      <c r="AB13" s="266"/>
    </row>
    <row r="14" customFormat="false" ht="15" hidden="false" customHeight="false" outlineLevel="0" collapsed="false">
      <c r="A14" s="167" t="n">
        <v>6</v>
      </c>
      <c r="B14" s="273" t="n">
        <v>43410</v>
      </c>
      <c r="C14" s="159"/>
      <c r="D14" s="242" t="n">
        <f aca="false">D13+F14</f>
        <v>751.068</v>
      </c>
      <c r="E14" s="169" t="n">
        <f aca="false">E13+G14</f>
        <v>1779.128</v>
      </c>
      <c r="F14" s="146" t="n">
        <f aca="false">G14-I14</f>
        <v>203.541333333333</v>
      </c>
      <c r="G14" s="170" t="n">
        <f aca="false">$C$6/$G$1</f>
        <v>296.521333333333</v>
      </c>
      <c r="H14" s="171" t="n">
        <f aca="false">H13+I14</f>
        <v>1028.06</v>
      </c>
      <c r="I14" s="149" t="n">
        <f aca="false">SUM(J14:AA14)</f>
        <v>92.98</v>
      </c>
      <c r="J14" s="150"/>
      <c r="K14" s="135"/>
      <c r="L14" s="118" t="n">
        <f aca="false">2.98</f>
        <v>2.98</v>
      </c>
      <c r="M14" s="118"/>
      <c r="N14" s="152"/>
      <c r="O14" s="120"/>
      <c r="P14" s="121"/>
      <c r="Q14" s="122"/>
      <c r="R14" s="123"/>
      <c r="S14" s="153"/>
      <c r="T14" s="153"/>
      <c r="U14" s="123"/>
      <c r="V14" s="154"/>
      <c r="W14" s="240"/>
      <c r="X14" s="155"/>
      <c r="Y14" s="155"/>
      <c r="Z14" s="140" t="n">
        <f aca="false">90</f>
        <v>90</v>
      </c>
      <c r="AA14" s="267"/>
      <c r="AB14" s="266" t="n">
        <f aca="false">39.9</f>
        <v>39.9</v>
      </c>
    </row>
    <row r="15" s="156" customFormat="true" ht="16.5" hidden="false" customHeight="true" outlineLevel="0" collapsed="false">
      <c r="A15" s="141" t="n">
        <v>7</v>
      </c>
      <c r="B15" s="273" t="n">
        <v>43411</v>
      </c>
      <c r="C15" s="169"/>
      <c r="D15" s="242" t="n">
        <f aca="false">D14+F15</f>
        <v>906.749333333333</v>
      </c>
      <c r="E15" s="145" t="n">
        <f aca="false">E14+G15</f>
        <v>2075.64933333333</v>
      </c>
      <c r="F15" s="146" t="n">
        <f aca="false">G15-I15</f>
        <v>155.681333333333</v>
      </c>
      <c r="G15" s="147" t="n">
        <f aca="false">$C$6/$G$1</f>
        <v>296.521333333333</v>
      </c>
      <c r="H15" s="148" t="n">
        <f aca="false">H14+I15</f>
        <v>1168.9</v>
      </c>
      <c r="I15" s="149" t="n">
        <f aca="false">SUM(J15:AA15)</f>
        <v>140.84</v>
      </c>
      <c r="J15" s="150" t="n">
        <v>67.29</v>
      </c>
      <c r="K15" s="117" t="s">
        <v>108</v>
      </c>
      <c r="L15" s="118" t="n">
        <f aca="false">67.29+6.26</f>
        <v>73.55</v>
      </c>
      <c r="M15" s="118"/>
      <c r="N15" s="152"/>
      <c r="O15" s="120"/>
      <c r="P15" s="121"/>
      <c r="Q15" s="122"/>
      <c r="R15" s="123"/>
      <c r="S15" s="153"/>
      <c r="T15" s="153"/>
      <c r="U15" s="123"/>
      <c r="V15" s="154"/>
      <c r="W15" s="240"/>
      <c r="X15" s="155"/>
      <c r="Y15" s="155"/>
      <c r="Z15" s="140"/>
      <c r="AA15" s="269"/>
      <c r="AB15" s="270"/>
    </row>
    <row r="16" customFormat="false" ht="15" hidden="false" customHeight="false" outlineLevel="0" collapsed="false">
      <c r="A16" s="157" t="n">
        <v>8</v>
      </c>
      <c r="B16" s="273" t="n">
        <v>43412</v>
      </c>
      <c r="C16" s="159"/>
      <c r="D16" s="242" t="n">
        <f aca="false">D15+F16</f>
        <v>1007.27066666667</v>
      </c>
      <c r="E16" s="159" t="n">
        <f aca="false">E15+G16</f>
        <v>2372.17066666667</v>
      </c>
      <c r="F16" s="146" t="n">
        <f aca="false">G16-I16</f>
        <v>100.521333333333</v>
      </c>
      <c r="G16" s="160" t="n">
        <f aca="false">$C$6/$G$1</f>
        <v>296.521333333333</v>
      </c>
      <c r="H16" s="161" t="n">
        <f aca="false">H15+I16</f>
        <v>1364.9</v>
      </c>
      <c r="I16" s="149" t="n">
        <f aca="false">SUM(J16:AA16)</f>
        <v>196</v>
      </c>
      <c r="J16" s="150"/>
      <c r="K16" s="135"/>
      <c r="L16" s="118"/>
      <c r="M16" s="118"/>
      <c r="N16" s="152"/>
      <c r="O16" s="120"/>
      <c r="P16" s="121"/>
      <c r="Q16" s="122"/>
      <c r="R16" s="123"/>
      <c r="S16" s="153"/>
      <c r="T16" s="153" t="n">
        <v>196</v>
      </c>
      <c r="U16" s="123"/>
      <c r="V16" s="154"/>
      <c r="W16" s="240"/>
      <c r="X16" s="155"/>
      <c r="Y16" s="155"/>
      <c r="Z16" s="140"/>
      <c r="AA16" s="267"/>
      <c r="AB16" s="266"/>
    </row>
    <row r="17" customFormat="false" ht="15" hidden="false" customHeight="false" outlineLevel="0" collapsed="false">
      <c r="A17" s="162" t="n">
        <v>9</v>
      </c>
      <c r="B17" s="273" t="n">
        <v>43413</v>
      </c>
      <c r="C17" s="164"/>
      <c r="D17" s="242" t="n">
        <f aca="false">D16+F17</f>
        <v>353.992</v>
      </c>
      <c r="E17" s="164" t="n">
        <f aca="false">E16+G17</f>
        <v>2668.692</v>
      </c>
      <c r="F17" s="146" t="n">
        <f aca="false">G17-I17</f>
        <v>-653.278666666667</v>
      </c>
      <c r="G17" s="165" t="n">
        <f aca="false">$C$6/$G$1</f>
        <v>296.521333333333</v>
      </c>
      <c r="H17" s="166" t="n">
        <f aca="false">H16+I17</f>
        <v>2314.7</v>
      </c>
      <c r="I17" s="149" t="n">
        <f aca="false">SUM(J17:AA17)</f>
        <v>949.8</v>
      </c>
      <c r="J17" s="150" t="n">
        <v>582.92</v>
      </c>
      <c r="K17" s="135" t="s">
        <v>87</v>
      </c>
      <c r="L17" s="118" t="n">
        <f aca="false">57.47+7.49+12.98+5.63</f>
        <v>83.57</v>
      </c>
      <c r="M17" s="118" t="n">
        <f aca="false">60.77</f>
        <v>60.77</v>
      </c>
      <c r="N17" s="152" t="n">
        <f aca="false">9.99</f>
        <v>9.99</v>
      </c>
      <c r="O17" s="120"/>
      <c r="P17" s="121"/>
      <c r="Q17" s="122" t="n">
        <f aca="false">46.6</f>
        <v>46.6</v>
      </c>
      <c r="R17" s="123"/>
      <c r="S17" s="153"/>
      <c r="T17" s="153" t="n">
        <f aca="false">20.99+144.96</f>
        <v>165.95</v>
      </c>
      <c r="U17" s="123"/>
      <c r="V17" s="154"/>
      <c r="W17" s="240"/>
      <c r="X17" s="155"/>
      <c r="Y17" s="155"/>
      <c r="Z17" s="140"/>
      <c r="AA17" s="267"/>
      <c r="AB17" s="266"/>
    </row>
    <row r="18" customFormat="false" ht="15" hidden="false" customHeight="false" outlineLevel="0" collapsed="false">
      <c r="A18" s="167" t="n">
        <v>10</v>
      </c>
      <c r="B18" s="272" t="n">
        <v>43414</v>
      </c>
      <c r="C18" s="169"/>
      <c r="D18" s="242" t="n">
        <f aca="false">D17+F18</f>
        <v>-394.926666666667</v>
      </c>
      <c r="E18" s="169" t="n">
        <f aca="false">E17+G18</f>
        <v>2965.21333333333</v>
      </c>
      <c r="F18" s="146" t="n">
        <f aca="false">G18-I18</f>
        <v>-748.918666666667</v>
      </c>
      <c r="G18" s="170" t="n">
        <f aca="false">$C$6/$G$1</f>
        <v>296.521333333333</v>
      </c>
      <c r="H18" s="171" t="n">
        <f aca="false">H17+I18</f>
        <v>3360.14</v>
      </c>
      <c r="I18" s="149" t="n">
        <f aca="false">SUM(J18:AA18)</f>
        <v>1045.44</v>
      </c>
      <c r="J18" s="150" t="n">
        <v>75</v>
      </c>
      <c r="K18" s="117" t="s">
        <v>92</v>
      </c>
      <c r="L18" s="202" t="s">
        <v>111</v>
      </c>
      <c r="M18" s="202"/>
      <c r="N18" s="203"/>
      <c r="O18" s="204"/>
      <c r="P18" s="205"/>
      <c r="Q18" s="206"/>
      <c r="R18" s="178"/>
      <c r="S18" s="173" t="n">
        <f aca="false">40+204.46</f>
        <v>244.46</v>
      </c>
      <c r="T18" s="173"/>
      <c r="U18" s="178" t="n">
        <f aca="false">25.98</f>
        <v>25.98</v>
      </c>
      <c r="V18" s="179"/>
      <c r="W18" s="46" t="n">
        <v>700</v>
      </c>
      <c r="X18" s="155"/>
      <c r="Y18" s="155"/>
      <c r="Z18" s="140"/>
      <c r="AA18" s="267"/>
      <c r="AB18" s="266"/>
    </row>
    <row r="19" customFormat="false" ht="15" hidden="false" customHeight="false" outlineLevel="0" collapsed="false">
      <c r="A19" s="141" t="n">
        <v>11</v>
      </c>
      <c r="B19" s="268" t="n">
        <v>43415</v>
      </c>
      <c r="C19" s="145"/>
      <c r="D19" s="242" t="n">
        <f aca="false">D18+F19</f>
        <v>-98.4053333333337</v>
      </c>
      <c r="E19" s="145" t="n">
        <f aca="false">E18+G19</f>
        <v>3261.73466666667</v>
      </c>
      <c r="F19" s="146" t="n">
        <f aca="false">G19-I19</f>
        <v>296.521333333333</v>
      </c>
      <c r="G19" s="147" t="n">
        <f aca="false">$C$6/$G$1</f>
        <v>296.521333333333</v>
      </c>
      <c r="H19" s="148" t="n">
        <f aca="false">H18+I19</f>
        <v>3360.14</v>
      </c>
      <c r="I19" s="149" t="n">
        <f aca="false">SUM(J19:AA19)</f>
        <v>0</v>
      </c>
      <c r="J19" s="135"/>
      <c r="K19" s="135"/>
      <c r="L19" s="244"/>
      <c r="M19" s="244"/>
      <c r="N19" s="245"/>
      <c r="O19" s="246"/>
      <c r="P19" s="262"/>
      <c r="Q19" s="248"/>
      <c r="R19" s="249"/>
      <c r="S19" s="250"/>
      <c r="T19" s="250"/>
      <c r="U19" s="249"/>
      <c r="V19" s="251"/>
      <c r="W19" s="252"/>
      <c r="X19" s="155"/>
      <c r="Y19" s="155"/>
      <c r="Z19" s="140"/>
      <c r="AA19" s="269"/>
      <c r="AB19" s="270"/>
    </row>
    <row r="20" customFormat="false" ht="15" hidden="false" customHeight="false" outlineLevel="0" collapsed="false">
      <c r="A20" s="157" t="n">
        <v>12</v>
      </c>
      <c r="B20" s="273" t="n">
        <v>43416</v>
      </c>
      <c r="C20" s="309" t="s">
        <v>112</v>
      </c>
      <c r="D20" s="242" t="n">
        <f aca="false">D19+F20</f>
        <v>198.116</v>
      </c>
      <c r="E20" s="159" t="n">
        <f aca="false">E19+G20</f>
        <v>3558.256</v>
      </c>
      <c r="F20" s="146" t="n">
        <f aca="false">G20-I20</f>
        <v>296.521333333333</v>
      </c>
      <c r="G20" s="160" t="n">
        <f aca="false">$C$6/$G$1</f>
        <v>296.521333333333</v>
      </c>
      <c r="H20" s="161" t="n">
        <f aca="false">H19+I20</f>
        <v>3360.14</v>
      </c>
      <c r="I20" s="149" t="n">
        <f aca="false">SUM(J20:AA20)</f>
        <v>0</v>
      </c>
      <c r="J20" s="150"/>
      <c r="K20" s="117"/>
      <c r="L20" s="254"/>
      <c r="M20" s="254"/>
      <c r="N20" s="255"/>
      <c r="O20" s="256"/>
      <c r="P20" s="257"/>
      <c r="Q20" s="258"/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</row>
    <row r="21" customFormat="false" ht="15" hidden="false" customHeight="false" outlineLevel="0" collapsed="false">
      <c r="A21" s="167" t="n">
        <v>13</v>
      </c>
      <c r="B21" s="273" t="n">
        <v>43417</v>
      </c>
      <c r="C21" s="169"/>
      <c r="D21" s="242" t="n">
        <f aca="false">D20+F21</f>
        <v>-383.142666666667</v>
      </c>
      <c r="E21" s="169" t="n">
        <f aca="false">E20+G21</f>
        <v>3854.77733333333</v>
      </c>
      <c r="F21" s="146" t="n">
        <f aca="false">G21-I21</f>
        <v>-581.258666666667</v>
      </c>
      <c r="G21" s="170" t="n">
        <f aca="false">$C$6/$G$1</f>
        <v>296.521333333333</v>
      </c>
      <c r="H21" s="171" t="n">
        <f aca="false">H20+I21</f>
        <v>4237.92</v>
      </c>
      <c r="I21" s="149" t="n">
        <f aca="false">SUM(J21:AA21)</f>
        <v>877.78</v>
      </c>
      <c r="J21" s="150"/>
      <c r="K21" s="135"/>
      <c r="L21" s="118" t="n">
        <f aca="false">54.32+62.75+12.97+55.38+43.71+12.65</f>
        <v>241.78</v>
      </c>
      <c r="M21" s="118"/>
      <c r="N21" s="152"/>
      <c r="O21" s="120"/>
      <c r="P21" s="121"/>
      <c r="Q21" s="122"/>
      <c r="R21" s="123"/>
      <c r="S21" s="153"/>
      <c r="T21" s="153" t="n">
        <f aca="false">636</f>
        <v>636</v>
      </c>
      <c r="U21" s="123"/>
      <c r="V21" s="154"/>
      <c r="W21" s="240"/>
      <c r="X21" s="155"/>
      <c r="Y21" s="155"/>
      <c r="Z21" s="140"/>
      <c r="AA21" s="267"/>
      <c r="AB21" s="266" t="n">
        <f aca="false">378</f>
        <v>378</v>
      </c>
    </row>
    <row r="22" s="156" customFormat="true" ht="15" hidden="false" customHeight="false" outlineLevel="0" collapsed="false">
      <c r="A22" s="141" t="n">
        <v>14</v>
      </c>
      <c r="B22" s="273" t="n">
        <v>43418</v>
      </c>
      <c r="C22" s="145"/>
      <c r="D22" s="242" t="n">
        <f aca="false">D21+F22</f>
        <v>-414.591333333334</v>
      </c>
      <c r="E22" s="145" t="n">
        <f aca="false">E21+G22</f>
        <v>4151.29866666667</v>
      </c>
      <c r="F22" s="146" t="n">
        <f aca="false">G22-I22</f>
        <v>-31.4486666666667</v>
      </c>
      <c r="G22" s="147" t="n">
        <f aca="false">$C$6/$G$1</f>
        <v>296.521333333333</v>
      </c>
      <c r="H22" s="148" t="n">
        <f aca="false">H21+I22</f>
        <v>4565.89</v>
      </c>
      <c r="I22" s="149" t="n">
        <f aca="false">SUM(J22:AA22)</f>
        <v>327.97</v>
      </c>
      <c r="J22" s="150" t="n">
        <v>52</v>
      </c>
      <c r="K22" s="135" t="s">
        <v>89</v>
      </c>
      <c r="L22" s="118" t="s">
        <v>113</v>
      </c>
      <c r="M22" s="118"/>
      <c r="N22" s="152"/>
      <c r="O22" s="120"/>
      <c r="P22" s="121"/>
      <c r="Q22" s="122"/>
      <c r="R22" s="123"/>
      <c r="S22" s="153"/>
      <c r="T22" s="153" t="n">
        <f aca="false">50+136</f>
        <v>186</v>
      </c>
      <c r="U22" s="123" t="n">
        <f aca="false">15.99+63.98</f>
        <v>79.97</v>
      </c>
      <c r="V22" s="154"/>
      <c r="W22" s="240"/>
      <c r="X22" s="155"/>
      <c r="Y22" s="155"/>
      <c r="Z22" s="140" t="n">
        <v>10</v>
      </c>
      <c r="AA22" s="269"/>
      <c r="AB22" s="270"/>
    </row>
    <row r="23" customFormat="false" ht="15" hidden="false" customHeight="false" outlineLevel="0" collapsed="false">
      <c r="A23" s="157" t="n">
        <v>15</v>
      </c>
      <c r="B23" s="273" t="n">
        <v>43419</v>
      </c>
      <c r="C23" s="159"/>
      <c r="D23" s="242" t="n">
        <f aca="false">D22+F23</f>
        <v>-144.05</v>
      </c>
      <c r="E23" s="159" t="n">
        <f aca="false">E22+G23</f>
        <v>4447.82</v>
      </c>
      <c r="F23" s="146" t="n">
        <f aca="false">G23-I23</f>
        <v>270.541333333333</v>
      </c>
      <c r="G23" s="160" t="n">
        <f aca="false">$C$6/$G$1</f>
        <v>296.521333333333</v>
      </c>
      <c r="H23" s="161" t="n">
        <f aca="false">H22+I23</f>
        <v>4591.87</v>
      </c>
      <c r="I23" s="149" t="n">
        <f aca="false">SUM(J23:AA23)</f>
        <v>25.98</v>
      </c>
      <c r="J23" s="150"/>
      <c r="K23" s="117"/>
      <c r="L23" s="118"/>
      <c r="M23" s="118"/>
      <c r="N23" s="152"/>
      <c r="O23" s="120"/>
      <c r="P23" s="121" t="n">
        <f aca="false">4.99</f>
        <v>4.99</v>
      </c>
      <c r="Q23" s="122"/>
      <c r="R23" s="123"/>
      <c r="S23" s="153"/>
      <c r="T23" s="153"/>
      <c r="U23" s="123" t="n">
        <f aca="false">20.99</f>
        <v>20.99</v>
      </c>
      <c r="V23" s="154"/>
      <c r="W23" s="240"/>
      <c r="X23" s="155"/>
      <c r="Y23" s="155"/>
      <c r="Z23" s="140"/>
      <c r="AA23" s="267"/>
      <c r="AB23" s="266"/>
    </row>
    <row r="24" customFormat="false" ht="15" hidden="false" customHeight="false" outlineLevel="0" collapsed="false">
      <c r="A24" s="162" t="n">
        <v>16</v>
      </c>
      <c r="B24" s="273" t="n">
        <v>43420</v>
      </c>
      <c r="C24" s="164"/>
      <c r="D24" s="242" t="n">
        <f aca="false">D23+F24</f>
        <v>-171.058666666667</v>
      </c>
      <c r="E24" s="164" t="n">
        <f aca="false">E23+G24</f>
        <v>4744.34133333333</v>
      </c>
      <c r="F24" s="146" t="n">
        <f aca="false">G24-I24</f>
        <v>-27.0086666666667</v>
      </c>
      <c r="G24" s="165" t="n">
        <f aca="false">$C$6/$G$1</f>
        <v>296.521333333333</v>
      </c>
      <c r="H24" s="166" t="n">
        <f aca="false">H23+I24</f>
        <v>4915.4</v>
      </c>
      <c r="I24" s="149" t="n">
        <f aca="false">SUM(J24:AA24)</f>
        <v>323.53</v>
      </c>
      <c r="J24" s="150"/>
      <c r="K24" s="117"/>
      <c r="L24" s="118"/>
      <c r="M24" s="118"/>
      <c r="N24" s="152"/>
      <c r="O24" s="120"/>
      <c r="P24" s="121"/>
      <c r="Q24" s="122"/>
      <c r="R24" s="123"/>
      <c r="S24" s="153" t="n">
        <f aca="false">124.53</f>
        <v>124.53</v>
      </c>
      <c r="T24" s="153" t="n">
        <v>60</v>
      </c>
      <c r="U24" s="123"/>
      <c r="V24" s="154" t="n">
        <v>130</v>
      </c>
      <c r="W24" s="240"/>
      <c r="X24" s="155"/>
      <c r="Y24" s="155"/>
      <c r="Z24" s="140" t="n">
        <f aca="false">9</f>
        <v>9</v>
      </c>
      <c r="AA24" s="267"/>
      <c r="AB24" s="266"/>
    </row>
    <row r="25" customFormat="false" ht="15" hidden="false" customHeight="false" outlineLevel="0" collapsed="false">
      <c r="A25" s="167" t="n">
        <v>17</v>
      </c>
      <c r="B25" s="272" t="n">
        <v>43421</v>
      </c>
      <c r="C25" s="169"/>
      <c r="D25" s="242" t="n">
        <f aca="false">D24+F25</f>
        <v>33.5526666666662</v>
      </c>
      <c r="E25" s="169" t="n">
        <f aca="false">E24+G25</f>
        <v>5040.86266666667</v>
      </c>
      <c r="F25" s="146" t="n">
        <f aca="false">G25-I25</f>
        <v>204.611333333333</v>
      </c>
      <c r="G25" s="170" t="n">
        <f aca="false">$C$6/$G$1</f>
        <v>296.521333333333</v>
      </c>
      <c r="H25" s="171" t="n">
        <f aca="false">H24+I25</f>
        <v>5007.31</v>
      </c>
      <c r="I25" s="149" t="n">
        <f aca="false">SUM(J25:AA25)</f>
        <v>91.91</v>
      </c>
      <c r="J25" s="150"/>
      <c r="K25" s="117"/>
      <c r="L25" s="202" t="n">
        <f aca="false">5.1+2.79+44.89+14.23</f>
        <v>67.01</v>
      </c>
      <c r="M25" s="202"/>
      <c r="N25" s="203"/>
      <c r="O25" s="204"/>
      <c r="P25" s="205"/>
      <c r="Q25" s="206" t="n">
        <f aca="false">24.9</f>
        <v>24.9</v>
      </c>
      <c r="R25" s="178"/>
      <c r="S25" s="173"/>
      <c r="T25" s="173"/>
      <c r="U25" s="178"/>
      <c r="V25" s="179"/>
      <c r="W25" s="46"/>
      <c r="X25" s="155"/>
      <c r="Y25" s="155"/>
      <c r="Z25" s="140"/>
      <c r="AA25" s="267"/>
      <c r="AB25" s="266" t="n">
        <f aca="false">29.99</f>
        <v>29.99</v>
      </c>
    </row>
    <row r="26" customFormat="false" ht="15" hidden="false" customHeight="false" outlineLevel="0" collapsed="false">
      <c r="A26" s="141" t="n">
        <v>18</v>
      </c>
      <c r="B26" s="268" t="n">
        <v>43422</v>
      </c>
      <c r="C26" s="145"/>
      <c r="D26" s="242" t="n">
        <f aca="false">D25+F26</f>
        <v>325.284</v>
      </c>
      <c r="E26" s="145" t="n">
        <f aca="false">E25+G26</f>
        <v>5337.384</v>
      </c>
      <c r="F26" s="146" t="n">
        <f aca="false">G26-I26</f>
        <v>291.731333333333</v>
      </c>
      <c r="G26" s="147" t="n">
        <f aca="false">$C$6/$G$1</f>
        <v>296.521333333333</v>
      </c>
      <c r="H26" s="148" t="n">
        <f aca="false">H25+I26</f>
        <v>5012.1</v>
      </c>
      <c r="I26" s="149" t="n">
        <f aca="false">SUM(J26:AA26)</f>
        <v>4.79</v>
      </c>
      <c r="J26" s="150"/>
      <c r="K26" s="117"/>
      <c r="L26" s="244" t="n">
        <f aca="false">4.79</f>
        <v>4.79</v>
      </c>
      <c r="M26" s="244"/>
      <c r="N26" s="245"/>
      <c r="O26" s="246"/>
      <c r="P26" s="247"/>
      <c r="Q26" s="248"/>
      <c r="R26" s="249"/>
      <c r="S26" s="250"/>
      <c r="T26" s="250"/>
      <c r="U26" s="249"/>
      <c r="V26" s="251"/>
      <c r="W26" s="252"/>
      <c r="X26" s="155"/>
      <c r="Y26" s="155"/>
      <c r="Z26" s="140"/>
      <c r="AA26" s="269"/>
      <c r="AB26" s="270"/>
    </row>
    <row r="27" customFormat="false" ht="15" hidden="false" customHeight="false" outlineLevel="0" collapsed="false">
      <c r="A27" s="157" t="n">
        <v>19</v>
      </c>
      <c r="B27" s="273" t="n">
        <v>43423</v>
      </c>
      <c r="C27" s="159"/>
      <c r="D27" s="242" t="n">
        <f aca="false">D26+F27</f>
        <v>425.745333333333</v>
      </c>
      <c r="E27" s="159" t="n">
        <f aca="false">E26+G27</f>
        <v>5633.90533333333</v>
      </c>
      <c r="F27" s="146" t="n">
        <f aca="false">G27-I27</f>
        <v>100.461333333333</v>
      </c>
      <c r="G27" s="160" t="n">
        <f aca="false">$C$6/$G$1</f>
        <v>296.521333333333</v>
      </c>
      <c r="H27" s="161" t="n">
        <f aca="false">H26+I27</f>
        <v>5208.16</v>
      </c>
      <c r="I27" s="149" t="n">
        <f aca="false">SUM(J27:AA27)</f>
        <v>196.06</v>
      </c>
      <c r="J27" s="150"/>
      <c r="K27" s="117"/>
      <c r="L27" s="254" t="n">
        <f aca="false">37.16+21+5.1</f>
        <v>63.26</v>
      </c>
      <c r="M27" s="254"/>
      <c r="N27" s="255"/>
      <c r="O27" s="256"/>
      <c r="P27" s="257"/>
      <c r="Q27" s="258"/>
      <c r="R27" s="259"/>
      <c r="S27" s="176"/>
      <c r="T27" s="176" t="n">
        <f aca="false">5</f>
        <v>5</v>
      </c>
      <c r="U27" s="259"/>
      <c r="V27" s="260" t="n">
        <f aca="false">127.8</f>
        <v>127.8</v>
      </c>
      <c r="W27" s="261"/>
      <c r="X27" s="155"/>
      <c r="Y27" s="155"/>
      <c r="Z27" s="140"/>
      <c r="AA27" s="267"/>
      <c r="AB27" s="266"/>
    </row>
    <row r="28" customFormat="false" ht="15" hidden="false" customHeight="false" outlineLevel="0" collapsed="false">
      <c r="A28" s="167" t="n">
        <v>20</v>
      </c>
      <c r="B28" s="273" t="n">
        <v>43424</v>
      </c>
      <c r="C28" s="169"/>
      <c r="D28" s="242" t="n">
        <f aca="false">D27+F28</f>
        <v>660.066666666666</v>
      </c>
      <c r="E28" s="169" t="n">
        <f aca="false">E27+G28</f>
        <v>5930.42666666667</v>
      </c>
      <c r="F28" s="146" t="n">
        <f aca="false">G28-I28</f>
        <v>234.321333333333</v>
      </c>
      <c r="G28" s="170" t="n">
        <f aca="false">$C$6/$G$1</f>
        <v>296.521333333333</v>
      </c>
      <c r="H28" s="171" t="n">
        <f aca="false">H27+I28</f>
        <v>5270.36</v>
      </c>
      <c r="I28" s="149" t="n">
        <f aca="false">SUM(J28:AA28)</f>
        <v>62.2</v>
      </c>
      <c r="J28" s="150" t="n">
        <v>13</v>
      </c>
      <c r="K28" s="135" t="s">
        <v>91</v>
      </c>
      <c r="L28" s="118" t="n">
        <f aca="false">40.36+8.84</f>
        <v>49.2</v>
      </c>
      <c r="M28" s="118"/>
      <c r="N28" s="152"/>
      <c r="O28" s="120"/>
      <c r="P28" s="121"/>
      <c r="Q28" s="122"/>
      <c r="R28" s="123"/>
      <c r="S28" s="153"/>
      <c r="T28" s="153"/>
      <c r="U28" s="123"/>
      <c r="V28" s="154"/>
      <c r="W28" s="240"/>
      <c r="X28" s="155"/>
      <c r="Y28" s="155"/>
      <c r="Z28" s="140"/>
      <c r="AA28" s="267"/>
      <c r="AB28" s="266"/>
    </row>
    <row r="29" s="156" customFormat="true" ht="15" hidden="false" customHeight="false" outlineLevel="0" collapsed="false">
      <c r="A29" s="141" t="n">
        <v>21</v>
      </c>
      <c r="B29" s="273" t="n">
        <v>43425</v>
      </c>
      <c r="C29" s="145"/>
      <c r="D29" s="242" t="n">
        <f aca="false">D28+F29</f>
        <v>266.327999999999</v>
      </c>
      <c r="E29" s="145" t="n">
        <f aca="false">E28+G29</f>
        <v>6226.948</v>
      </c>
      <c r="F29" s="146" t="n">
        <f aca="false">G29-I29</f>
        <v>-393.738666666667</v>
      </c>
      <c r="G29" s="147" t="n">
        <f aca="false">$C$6/$G$1</f>
        <v>296.521333333333</v>
      </c>
      <c r="H29" s="148" t="n">
        <f aca="false">H28+I29</f>
        <v>5960.62</v>
      </c>
      <c r="I29" s="149" t="n">
        <f aca="false">SUM(J29:AA29)</f>
        <v>690.26</v>
      </c>
      <c r="J29" s="150"/>
      <c r="K29" s="117"/>
      <c r="L29" s="118" t="n">
        <f aca="false">12.35</f>
        <v>12.35</v>
      </c>
      <c r="M29" s="118" t="n">
        <f aca="false">15</f>
        <v>15</v>
      </c>
      <c r="N29" s="152" t="n">
        <f aca="false">4.28</f>
        <v>4.28</v>
      </c>
      <c r="O29" s="120"/>
      <c r="P29" s="121"/>
      <c r="Q29" s="122"/>
      <c r="R29" s="123"/>
      <c r="S29" s="153" t="n">
        <f aca="false">266.54</f>
        <v>266.54</v>
      </c>
      <c r="T29" s="153" t="n">
        <f aca="false">6</f>
        <v>6</v>
      </c>
      <c r="U29" s="123" t="n">
        <f aca="false">19.09</f>
        <v>19.09</v>
      </c>
      <c r="V29" s="154" t="n">
        <f aca="false">367</f>
        <v>367</v>
      </c>
      <c r="W29" s="240"/>
      <c r="X29" s="155"/>
      <c r="Y29" s="155"/>
      <c r="Z29" s="140"/>
      <c r="AA29" s="269"/>
      <c r="AB29" s="270"/>
    </row>
    <row r="30" customFormat="false" ht="15" hidden="false" customHeight="false" outlineLevel="0" collapsed="false">
      <c r="A30" s="157" t="n">
        <v>22</v>
      </c>
      <c r="B30" s="273" t="n">
        <v>43426</v>
      </c>
      <c r="C30" s="159"/>
      <c r="D30" s="242" t="n">
        <f aca="false">D29+F30</f>
        <v>452.669333333333</v>
      </c>
      <c r="E30" s="159" t="n">
        <f aca="false">E29+G30</f>
        <v>6523.46933333333</v>
      </c>
      <c r="F30" s="146" t="n">
        <f aca="false">G30-I30</f>
        <v>186.341333333333</v>
      </c>
      <c r="G30" s="160" t="n">
        <f aca="false">$C$6/$G$1</f>
        <v>296.521333333333</v>
      </c>
      <c r="H30" s="161" t="n">
        <f aca="false">H29+I30</f>
        <v>6070.8</v>
      </c>
      <c r="I30" s="149" t="n">
        <f aca="false">SUM(J30:AA30)</f>
        <v>110.18</v>
      </c>
      <c r="J30" s="150"/>
      <c r="K30" s="117"/>
      <c r="L30" s="118" t="n">
        <f aca="false">10.18</f>
        <v>10.18</v>
      </c>
      <c r="M30" s="118"/>
      <c r="N30" s="152"/>
      <c r="O30" s="120"/>
      <c r="P30" s="121"/>
      <c r="Q30" s="122"/>
      <c r="R30" s="123"/>
      <c r="S30" s="153"/>
      <c r="T30" s="153"/>
      <c r="U30" s="123"/>
      <c r="V30" s="154"/>
      <c r="W30" s="240" t="n">
        <v>100</v>
      </c>
      <c r="X30" s="155"/>
      <c r="Y30" s="155"/>
      <c r="Z30" s="140"/>
      <c r="AA30" s="267"/>
      <c r="AB30" s="266"/>
    </row>
    <row r="31" customFormat="false" ht="15" hidden="false" customHeight="false" outlineLevel="0" collapsed="false">
      <c r="A31" s="162" t="n">
        <v>23</v>
      </c>
      <c r="B31" s="273" t="n">
        <v>43427</v>
      </c>
      <c r="C31" s="164"/>
      <c r="D31" s="242" t="n">
        <f aca="false">D30+F31</f>
        <v>436.690666666666</v>
      </c>
      <c r="E31" s="164" t="n">
        <f aca="false">E30+G31</f>
        <v>6819.99066666666</v>
      </c>
      <c r="F31" s="146" t="n">
        <f aca="false">G31-I31</f>
        <v>-15.9786666666667</v>
      </c>
      <c r="G31" s="165" t="n">
        <f aca="false">$C$6/$G$1</f>
        <v>296.521333333333</v>
      </c>
      <c r="H31" s="166" t="n">
        <f aca="false">H30+I31</f>
        <v>6383.3</v>
      </c>
      <c r="I31" s="149" t="n">
        <f aca="false">SUM(J31:AA31)</f>
        <v>312.5</v>
      </c>
      <c r="J31" s="150"/>
      <c r="K31" s="117"/>
      <c r="L31" s="118"/>
      <c r="M31" s="118"/>
      <c r="N31" s="152"/>
      <c r="O31" s="120"/>
      <c r="P31" s="121"/>
      <c r="Q31" s="122"/>
      <c r="R31" s="123"/>
      <c r="S31" s="153"/>
      <c r="T31" s="153"/>
      <c r="U31" s="123" t="n">
        <f aca="false">12.5</f>
        <v>12.5</v>
      </c>
      <c r="V31" s="154" t="n">
        <f aca="false">300</f>
        <v>300</v>
      </c>
      <c r="W31" s="240"/>
      <c r="X31" s="155"/>
      <c r="Y31" s="155"/>
      <c r="Z31" s="140"/>
      <c r="AA31" s="267"/>
      <c r="AB31" s="266" t="n">
        <f aca="false">515</f>
        <v>515</v>
      </c>
    </row>
    <row r="32" customFormat="false" ht="15" hidden="false" customHeight="false" outlineLevel="0" collapsed="false">
      <c r="A32" s="167" t="n">
        <v>24</v>
      </c>
      <c r="B32" s="272" t="n">
        <v>43428</v>
      </c>
      <c r="C32" s="169"/>
      <c r="D32" s="242" t="n">
        <f aca="false">D31+F32</f>
        <v>597.581999999999</v>
      </c>
      <c r="E32" s="169" t="n">
        <f aca="false">E31+G32</f>
        <v>7116.512</v>
      </c>
      <c r="F32" s="146" t="n">
        <f aca="false">G32-I32</f>
        <v>160.891333333333</v>
      </c>
      <c r="G32" s="170" t="n">
        <f aca="false">$C$6/$G$1</f>
        <v>296.521333333333</v>
      </c>
      <c r="H32" s="171" t="n">
        <f aca="false">H31+I32</f>
        <v>6518.93</v>
      </c>
      <c r="I32" s="149" t="n">
        <f aca="false">SUM(J32:AA32)</f>
        <v>135.63</v>
      </c>
      <c r="J32" s="150"/>
      <c r="K32" s="117"/>
      <c r="L32" s="202" t="n">
        <f aca="false">7.36+5.1+45.34</f>
        <v>57.8</v>
      </c>
      <c r="M32" s="202"/>
      <c r="N32" s="203"/>
      <c r="O32" s="204"/>
      <c r="P32" s="205"/>
      <c r="Q32" s="206"/>
      <c r="R32" s="178"/>
      <c r="S32" s="173"/>
      <c r="T32" s="173"/>
      <c r="U32" s="178"/>
      <c r="V32" s="179"/>
      <c r="W32" s="46" t="n">
        <f aca="false">71.84+5.99</f>
        <v>77.83</v>
      </c>
      <c r="X32" s="155"/>
      <c r="Y32" s="155"/>
      <c r="Z32" s="140"/>
      <c r="AA32" s="267"/>
      <c r="AB32" s="266"/>
    </row>
    <row r="33" customFormat="false" ht="15" hidden="false" customHeight="false" outlineLevel="0" collapsed="false">
      <c r="A33" s="141" t="n">
        <v>25</v>
      </c>
      <c r="B33" s="268" t="n">
        <v>43429</v>
      </c>
      <c r="C33" s="145"/>
      <c r="D33" s="242" t="n">
        <f aca="false">D32+F33</f>
        <v>824.103333333333</v>
      </c>
      <c r="E33" s="145" t="n">
        <f aca="false">E32+G33</f>
        <v>7413.03333333333</v>
      </c>
      <c r="F33" s="146" t="n">
        <f aca="false">G33-I33</f>
        <v>226.521333333333</v>
      </c>
      <c r="G33" s="147" t="n">
        <f aca="false">$C$6/$G$1</f>
        <v>296.521333333333</v>
      </c>
      <c r="H33" s="148" t="n">
        <f aca="false">H32+I33</f>
        <v>6588.93</v>
      </c>
      <c r="I33" s="149" t="n">
        <f aca="false">SUM(J33:AA33)</f>
        <v>70</v>
      </c>
      <c r="J33" s="150"/>
      <c r="K33" s="117"/>
      <c r="L33" s="244"/>
      <c r="M33" s="244" t="n">
        <f aca="false">70</f>
        <v>70</v>
      </c>
      <c r="N33" s="245"/>
      <c r="O33" s="246"/>
      <c r="P33" s="247"/>
      <c r="Q33" s="248"/>
      <c r="R33" s="249"/>
      <c r="S33" s="250"/>
      <c r="T33" s="250"/>
      <c r="U33" s="249"/>
      <c r="V33" s="251"/>
      <c r="W33" s="252"/>
      <c r="X33" s="155"/>
      <c r="Y33" s="155"/>
      <c r="Z33" s="140"/>
      <c r="AA33" s="269"/>
      <c r="AB33" s="270"/>
    </row>
    <row r="34" customFormat="false" ht="15" hidden="false" customHeight="false" outlineLevel="0" collapsed="false">
      <c r="A34" s="157" t="n">
        <v>26</v>
      </c>
      <c r="B34" s="273" t="n">
        <v>43430</v>
      </c>
      <c r="C34" s="159"/>
      <c r="D34" s="242" t="n">
        <f aca="false">D33+F34</f>
        <v>880.314666666666</v>
      </c>
      <c r="E34" s="159" t="n">
        <f aca="false">E33+G34</f>
        <v>7709.55466666666</v>
      </c>
      <c r="F34" s="146" t="n">
        <f aca="false">G34-I34</f>
        <v>56.2113333333333</v>
      </c>
      <c r="G34" s="160" t="n">
        <f aca="false">$C$6/$G$1</f>
        <v>296.521333333333</v>
      </c>
      <c r="H34" s="161" t="n">
        <f aca="false">H33+I34</f>
        <v>6829.24</v>
      </c>
      <c r="I34" s="149" t="n">
        <f aca="false">SUM(J34:AA34)</f>
        <v>240.31</v>
      </c>
      <c r="J34" s="150"/>
      <c r="K34" s="117"/>
      <c r="L34" s="254" t="n">
        <f aca="false">143.56-10.99</f>
        <v>132.57</v>
      </c>
      <c r="M34" s="254"/>
      <c r="N34" s="255" t="n">
        <f aca="false">10.99+38.77</f>
        <v>49.76</v>
      </c>
      <c r="O34" s="256"/>
      <c r="P34" s="257"/>
      <c r="Q34" s="258"/>
      <c r="R34" s="259"/>
      <c r="S34" s="176"/>
      <c r="T34" s="176"/>
      <c r="U34" s="259" t="n">
        <f aca="false">51.98</f>
        <v>51.98</v>
      </c>
      <c r="V34" s="260"/>
      <c r="W34" s="261"/>
      <c r="X34" s="155"/>
      <c r="Y34" s="155"/>
      <c r="Z34" s="140" t="n">
        <f aca="false">6</f>
        <v>6</v>
      </c>
      <c r="AA34" s="267"/>
      <c r="AB34" s="266" t="n">
        <f aca="false">24.99+129.9</f>
        <v>154.89</v>
      </c>
    </row>
    <row r="35" customFormat="false" ht="15" hidden="false" customHeight="false" outlineLevel="0" collapsed="false">
      <c r="A35" s="167" t="n">
        <v>27</v>
      </c>
      <c r="B35" s="273" t="n">
        <v>43431</v>
      </c>
      <c r="C35" s="169"/>
      <c r="D35" s="242" t="n">
        <f aca="false">D34+F35</f>
        <v>1163.696</v>
      </c>
      <c r="E35" s="169" t="n">
        <f aca="false">E34+G35</f>
        <v>8006.076</v>
      </c>
      <c r="F35" s="146" t="n">
        <f aca="false">G35-I35</f>
        <v>283.381333333333</v>
      </c>
      <c r="G35" s="170" t="n">
        <f aca="false">$C$6/$G$1</f>
        <v>296.521333333333</v>
      </c>
      <c r="H35" s="171" t="n">
        <f aca="false">H34+I35</f>
        <v>6842.38</v>
      </c>
      <c r="I35" s="149" t="n">
        <f aca="false">SUM(J35:AA35)</f>
        <v>13.14</v>
      </c>
      <c r="J35" s="150"/>
      <c r="K35" s="117"/>
      <c r="L35" s="118" t="n">
        <f aca="false">13.14</f>
        <v>13.14</v>
      </c>
      <c r="M35" s="118"/>
      <c r="N35" s="152"/>
      <c r="O35" s="120"/>
      <c r="P35" s="121"/>
      <c r="Q35" s="122"/>
      <c r="R35" s="123"/>
      <c r="S35" s="153"/>
      <c r="T35" s="153"/>
      <c r="U35" s="123"/>
      <c r="V35" s="154"/>
      <c r="W35" s="240"/>
      <c r="X35" s="155"/>
      <c r="Y35" s="155"/>
      <c r="Z35" s="140"/>
      <c r="AA35" s="267"/>
      <c r="AB35" s="266"/>
    </row>
    <row r="36" s="156" customFormat="true" ht="15" hidden="false" customHeight="false" outlineLevel="0" collapsed="false">
      <c r="A36" s="141" t="n">
        <v>28</v>
      </c>
      <c r="B36" s="273" t="n">
        <v>43432</v>
      </c>
      <c r="C36" s="145"/>
      <c r="D36" s="242" t="n">
        <f aca="false">D35+F36</f>
        <v>1277.62733333333</v>
      </c>
      <c r="E36" s="145" t="n">
        <f aca="false">E35+G36</f>
        <v>8302.59733333333</v>
      </c>
      <c r="F36" s="146" t="n">
        <f aca="false">G36-I36</f>
        <v>113.931333333333</v>
      </c>
      <c r="G36" s="147" t="n">
        <f aca="false">$C$6/$G$1</f>
        <v>296.521333333333</v>
      </c>
      <c r="H36" s="148" t="n">
        <f aca="false">H35+I36</f>
        <v>7024.97</v>
      </c>
      <c r="I36" s="149" t="n">
        <f aca="false">SUM(J36:AA36)</f>
        <v>182.59</v>
      </c>
      <c r="J36" s="201" t="n">
        <v>29.99</v>
      </c>
      <c r="K36" s="117" t="s">
        <v>97</v>
      </c>
      <c r="L36" s="118" t="n">
        <f aca="false">10.2</f>
        <v>10.2</v>
      </c>
      <c r="M36" s="118"/>
      <c r="N36" s="152"/>
      <c r="O36" s="120"/>
      <c r="P36" s="121"/>
      <c r="Q36" s="122"/>
      <c r="R36" s="123"/>
      <c r="S36" s="153"/>
      <c r="T36" s="153"/>
      <c r="U36" s="123"/>
      <c r="V36" s="154" t="n">
        <f aca="false">134.1</f>
        <v>134.1</v>
      </c>
      <c r="W36" s="240"/>
      <c r="X36" s="155"/>
      <c r="Y36" s="155"/>
      <c r="Z36" s="209" t="n">
        <f aca="false">8.3</f>
        <v>8.3</v>
      </c>
      <c r="AA36" s="269"/>
      <c r="AB36" s="270"/>
    </row>
    <row r="37" customFormat="false" ht="15" hidden="false" customHeight="false" outlineLevel="0" collapsed="false">
      <c r="A37" s="157" t="n">
        <v>29</v>
      </c>
      <c r="B37" s="273" t="n">
        <v>43433</v>
      </c>
      <c r="C37" s="159"/>
      <c r="D37" s="242" t="n">
        <f aca="false">D36+F37</f>
        <v>1533.67866666667</v>
      </c>
      <c r="E37" s="159" t="n">
        <f aca="false">E36+G37</f>
        <v>8599.11866666666</v>
      </c>
      <c r="F37" s="146" t="n">
        <f aca="false">G37-I37</f>
        <v>256.051333333333</v>
      </c>
      <c r="G37" s="160" t="n">
        <f aca="false">$C$6/$G$1</f>
        <v>296.521333333333</v>
      </c>
      <c r="H37" s="161" t="n">
        <f aca="false">H36+I37</f>
        <v>7065.44</v>
      </c>
      <c r="I37" s="149" t="n">
        <f aca="false">SUM(J37:AA37)</f>
        <v>40.47</v>
      </c>
      <c r="J37" s="150"/>
      <c r="K37" s="117"/>
      <c r="L37" s="118" t="n">
        <f aca="false">6.75+33.72-10.99</f>
        <v>29.48</v>
      </c>
      <c r="M37" s="118"/>
      <c r="N37" s="152" t="n">
        <f aca="false">10.99</f>
        <v>10.99</v>
      </c>
      <c r="O37" s="120"/>
      <c r="P37" s="121"/>
      <c r="Q37" s="122"/>
      <c r="R37" s="123"/>
      <c r="S37" s="153"/>
      <c r="T37" s="153"/>
      <c r="U37" s="123"/>
      <c r="V37" s="154"/>
      <c r="W37" s="240"/>
      <c r="X37" s="155"/>
      <c r="Y37" s="155"/>
      <c r="Z37" s="209"/>
      <c r="AA37" s="267"/>
      <c r="AB37" s="266"/>
    </row>
    <row r="38" customFormat="false" ht="15" hidden="false" customHeight="false" outlineLevel="0" collapsed="false">
      <c r="A38" s="162" t="n">
        <v>30</v>
      </c>
      <c r="B38" s="273" t="n">
        <v>43434</v>
      </c>
      <c r="C38" s="164"/>
      <c r="D38" s="242" t="n">
        <f aca="false">D37+F38</f>
        <v>1779.37</v>
      </c>
      <c r="E38" s="164" t="n">
        <f aca="false">E37+G38</f>
        <v>8895.64</v>
      </c>
      <c r="F38" s="146" t="n">
        <f aca="false">G38-I38</f>
        <v>245.691333333333</v>
      </c>
      <c r="G38" s="165" t="n">
        <f aca="false">$C$6/$G$1</f>
        <v>296.521333333333</v>
      </c>
      <c r="H38" s="166" t="n">
        <f aca="false">H37+I38</f>
        <v>7116.27</v>
      </c>
      <c r="I38" s="149" t="n">
        <f aca="false">SUM(J38:AA38)</f>
        <v>50.83</v>
      </c>
      <c r="J38" s="150"/>
      <c r="K38" s="117"/>
      <c r="L38" s="118" t="n">
        <f aca="false">16.26-15.98+8.99</f>
        <v>9.27</v>
      </c>
      <c r="M38" s="118" t="n">
        <f aca="false">13</f>
        <v>13</v>
      </c>
      <c r="N38" s="152" t="n">
        <f aca="false">15.98</f>
        <v>15.98</v>
      </c>
      <c r="O38" s="120"/>
      <c r="P38" s="121"/>
      <c r="Q38" s="122"/>
      <c r="R38" s="123"/>
      <c r="S38" s="153"/>
      <c r="T38" s="153" t="n">
        <f aca="false">6</f>
        <v>6</v>
      </c>
      <c r="U38" s="123"/>
      <c r="V38" s="154"/>
      <c r="W38" s="240"/>
      <c r="X38" s="155" t="n">
        <f aca="false">6.58</f>
        <v>6.58</v>
      </c>
      <c r="Y38" s="155"/>
      <c r="Z38" s="209"/>
      <c r="AA38" s="267"/>
      <c r="AB38" s="266"/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3.8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1.17"/>
    <col collapsed="false" customWidth="true" hidden="false" outlineLevel="0" max="4" min="4" style="65" width="10.71"/>
    <col collapsed="false" customWidth="true" hidden="false" outlineLevel="0" max="5" min="5" style="65" width="8.03"/>
    <col collapsed="false" customWidth="true" hidden="false" outlineLevel="0" max="6" min="6" style="65" width="11.28"/>
    <col collapsed="false" customWidth="true" hidden="false" outlineLevel="0" max="7" min="7" style="65" width="14.49"/>
    <col collapsed="false" customWidth="true" hidden="false" outlineLevel="0" max="8" min="8" style="65" width="12.28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0.09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8.18"/>
    <col collapsed="false" customWidth="true" hidden="false" outlineLevel="0" max="20" min="20" style="65" width="8.34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31</v>
      </c>
    </row>
    <row r="2" customFormat="false" ht="13.8" hidden="false" customHeight="false" outlineLevel="0" collapsed="false">
      <c r="B2" s="71" t="s">
        <v>50</v>
      </c>
      <c r="C2" s="72" t="n">
        <v>4831.59</v>
      </c>
      <c r="D2" s="72" t="n">
        <v>3168</v>
      </c>
      <c r="E2" s="72"/>
    </row>
    <row r="3" customFormat="false" ht="53.55" hidden="false" customHeight="false" outlineLevel="0" collapsed="false">
      <c r="B3" s="71" t="s">
        <v>51</v>
      </c>
      <c r="C3" s="72" t="n">
        <f aca="false">1071.53</f>
        <v>1071.53</v>
      </c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8.55" hidden="false" customHeight="false" outlineLevel="0" collapsed="false">
      <c r="B4" s="71" t="s">
        <v>52</v>
      </c>
      <c r="C4" s="72"/>
      <c r="D4" s="72"/>
      <c r="E4" s="72"/>
      <c r="F4" s="181" t="n">
        <v>2000</v>
      </c>
      <c r="G4" s="182" t="n">
        <f aca="false">C6-F4</f>
        <v>7771.12</v>
      </c>
      <c r="H4" s="183" t="n">
        <f aca="false">G4-H6</f>
        <v>-88.1100000000006</v>
      </c>
      <c r="I4" s="217" t="n">
        <f aca="false">C6-H6</f>
        <v>1911.89</v>
      </c>
    </row>
    <row r="5" customFormat="false" ht="16.15" hidden="false" customHeight="false" outlineLevel="0" collapsed="false">
      <c r="B5" s="83" t="s">
        <v>53</v>
      </c>
      <c r="C5" s="84"/>
      <c r="D5" s="84"/>
      <c r="E5" s="84" t="n">
        <f aca="false">200+500</f>
        <v>700</v>
      </c>
      <c r="J5" s="218" t="n">
        <f aca="false">J7/H6</f>
        <v>0.163281899117344</v>
      </c>
      <c r="K5" s="218"/>
      <c r="L5" s="219" t="n">
        <f aca="false">(L7+M7)/H6</f>
        <v>0.220740454217525</v>
      </c>
      <c r="M5" s="219"/>
      <c r="N5" s="220" t="n">
        <f aca="false">N7/H6</f>
        <v>0.0648396853126833</v>
      </c>
      <c r="O5" s="221" t="n">
        <f aca="false">O7/H6</f>
        <v>0.0823019557895621</v>
      </c>
      <c r="P5" s="222" t="n">
        <f aca="false">P7/H6</f>
        <v>0.011845944195551</v>
      </c>
      <c r="Q5" s="223" t="e">
        <f aca="false">Q7/K6</f>
        <v>#DIV/0!</v>
      </c>
      <c r="R5" s="224" t="n">
        <f aca="false">R7/H6</f>
        <v>0</v>
      </c>
      <c r="S5" s="225" t="n">
        <f aca="false">(S7+T7)/H6</f>
        <v>0.105188421766509</v>
      </c>
      <c r="T5" s="225"/>
      <c r="U5" s="226" t="n">
        <f aca="false">(U7+V7)/H6</f>
        <v>0.0641347816516376</v>
      </c>
      <c r="V5" s="226"/>
      <c r="W5" s="227" t="n">
        <f aca="false">W7/H6</f>
        <v>0.137954990501614</v>
      </c>
      <c r="X5" s="228" t="n">
        <f aca="false">(X7+Y7)/H6</f>
        <v>0.0598493745570495</v>
      </c>
      <c r="Y5" s="228"/>
      <c r="Z5" s="229" t="n">
        <f aca="false">Z7/H6</f>
        <v>0.0183351295228667</v>
      </c>
      <c r="AA5" s="263" t="n">
        <f aca="false">AA7/H6</f>
        <v>0</v>
      </c>
      <c r="AB5" s="264" t="n">
        <f aca="false">AB7/H6</f>
        <v>0.0598277439392918</v>
      </c>
    </row>
    <row r="6" customFormat="false" ht="57" hidden="false" customHeight="true" outlineLevel="0" collapsed="false">
      <c r="B6" s="98" t="s">
        <v>56</v>
      </c>
      <c r="C6" s="230" t="n">
        <f aca="false">SUM(C2:C5)+SUM(D2:D5)+SUM(E2:E5)</f>
        <v>9771.12</v>
      </c>
      <c r="D6" s="100"/>
      <c r="E6" s="101"/>
      <c r="G6" s="102" t="s">
        <v>57</v>
      </c>
      <c r="H6" s="103" t="n">
        <f aca="false">SUM(J7:AB7)</f>
        <v>7859.23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</row>
    <row r="7" customFormat="false" ht="14.9" hidden="false" customHeight="false" outlineLevel="0" collapsed="false">
      <c r="B7" s="116"/>
      <c r="J7" s="117" t="n">
        <f aca="false">SUM(J9:J39)</f>
        <v>1283.27</v>
      </c>
      <c r="K7" s="117"/>
      <c r="L7" s="118" t="n">
        <f aca="false">SUM(L9:L39)</f>
        <v>1269.51</v>
      </c>
      <c r="M7" s="118" t="n">
        <f aca="false">SUM(M9:M39)</f>
        <v>465.34</v>
      </c>
      <c r="N7" s="119" t="n">
        <f aca="false">SUM(N9:N39)</f>
        <v>509.59</v>
      </c>
      <c r="O7" s="120" t="n">
        <f aca="false">SUM(O9:O39)</f>
        <v>646.83</v>
      </c>
      <c r="P7" s="121" t="n">
        <f aca="false">SUM(P9:P39)</f>
        <v>93.1</v>
      </c>
      <c r="Q7" s="122" t="n">
        <f aca="false">SUM(Q9:Q39)</f>
        <v>91.95</v>
      </c>
      <c r="R7" s="123" t="n">
        <f aca="false">SUM(R9:R39)</f>
        <v>0</v>
      </c>
      <c r="S7" s="37" t="n">
        <f aca="false">SUM(S9:S39)</f>
        <v>783.3</v>
      </c>
      <c r="T7" s="37" t="n">
        <f aca="false">SUM(T9:T39)</f>
        <v>43.4</v>
      </c>
      <c r="U7" s="36" t="n">
        <f aca="false">SUM(U9:U39)</f>
        <v>154.05</v>
      </c>
      <c r="V7" s="124" t="n">
        <f aca="false">SUM(V9:V39)</f>
        <v>350</v>
      </c>
      <c r="W7" s="38" t="n">
        <f aca="false">SUM(W9:W39)</f>
        <v>1084.22</v>
      </c>
      <c r="X7" s="39" t="n">
        <f aca="false">SUM(X9:X39)</f>
        <v>166.59</v>
      </c>
      <c r="Y7" s="39" t="n">
        <f aca="false">SUM(Y9:Y39)</f>
        <v>303.78</v>
      </c>
      <c r="Z7" s="40" t="n">
        <f aca="false">SUM(Z9:Z39)</f>
        <v>144.1</v>
      </c>
      <c r="AA7" s="41" t="n">
        <f aca="false">SUM(AA9:AA39)</f>
        <v>0</v>
      </c>
      <c r="AB7" s="34" t="n">
        <f aca="false">SUM(AB9:AB39)</f>
        <v>470.2</v>
      </c>
    </row>
    <row r="8" customFormat="false" ht="61.15" hidden="false" customHeight="false" outlineLevel="0" collapsed="false">
      <c r="A8" s="126" t="s">
        <v>61</v>
      </c>
      <c r="B8" s="127" t="s">
        <v>62</v>
      </c>
      <c r="C8" s="128" t="s">
        <v>103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114</v>
      </c>
      <c r="W8" s="240"/>
      <c r="X8" s="138" t="s">
        <v>26</v>
      </c>
      <c r="Y8" s="139" t="s">
        <v>32</v>
      </c>
      <c r="Z8" s="140"/>
      <c r="AA8" s="267"/>
      <c r="AB8" s="266"/>
    </row>
    <row r="9" s="156" customFormat="true" ht="15" hidden="false" customHeight="false" outlineLevel="0" collapsed="false">
      <c r="A9" s="141" t="n">
        <v>1</v>
      </c>
      <c r="B9" s="272" t="n">
        <v>43435</v>
      </c>
      <c r="C9" s="145"/>
      <c r="D9" s="144" t="n">
        <f aca="false">F9</f>
        <v>95.5374193548387</v>
      </c>
      <c r="E9" s="145" t="n">
        <f aca="false">G9</f>
        <v>315.197419354839</v>
      </c>
      <c r="F9" s="146" t="n">
        <f aca="false">G9-I9</f>
        <v>95.5374193548387</v>
      </c>
      <c r="G9" s="147" t="n">
        <f aca="false">$C$6/$G$1</f>
        <v>315.197419354839</v>
      </c>
      <c r="H9" s="148" t="n">
        <f aca="false">I9</f>
        <v>219.66</v>
      </c>
      <c r="I9" s="149" t="n">
        <f aca="false">SUM(J9:AA9)</f>
        <v>219.66</v>
      </c>
      <c r="J9" s="150" t="n">
        <v>19.9</v>
      </c>
      <c r="K9" s="117" t="s">
        <v>109</v>
      </c>
      <c r="L9" s="118" t="n">
        <f aca="false">8.85+134.91-34.99</f>
        <v>108.77</v>
      </c>
      <c r="M9" s="118"/>
      <c r="N9" s="152"/>
      <c r="O9" s="120" t="n">
        <f aca="false">50</f>
        <v>50</v>
      </c>
      <c r="P9" s="121"/>
      <c r="Q9" s="122"/>
      <c r="R9" s="123"/>
      <c r="S9" s="153"/>
      <c r="T9" s="153"/>
      <c r="U9" s="123"/>
      <c r="V9" s="154"/>
      <c r="W9" s="240" t="n">
        <f aca="false">34.99</f>
        <v>34.99</v>
      </c>
      <c r="X9" s="155"/>
      <c r="Y9" s="155" t="n">
        <f aca="false">6</f>
        <v>6</v>
      </c>
      <c r="Z9" s="140"/>
      <c r="AA9" s="269"/>
      <c r="AB9" s="270" t="n">
        <f aca="false">19.99+70.43</f>
        <v>90.42</v>
      </c>
    </row>
    <row r="10" customFormat="false" ht="15" hidden="false" customHeight="false" outlineLevel="0" collapsed="false">
      <c r="A10" s="157" t="n">
        <v>2</v>
      </c>
      <c r="B10" s="268" t="n">
        <v>43436</v>
      </c>
      <c r="C10" s="159"/>
      <c r="D10" s="242" t="n">
        <f aca="false">D9+F10</f>
        <v>161.984838709677</v>
      </c>
      <c r="E10" s="159" t="n">
        <f aca="false">E9+G10</f>
        <v>630.394838709677</v>
      </c>
      <c r="F10" s="146" t="n">
        <f aca="false">G10-I10</f>
        <v>66.4474193548387</v>
      </c>
      <c r="G10" s="160" t="n">
        <f aca="false">$C$6/$G$1</f>
        <v>315.197419354839</v>
      </c>
      <c r="H10" s="161" t="n">
        <f aca="false">H9+I10</f>
        <v>468.41</v>
      </c>
      <c r="I10" s="149" t="n">
        <f aca="false">SUM(J10:AA10)</f>
        <v>248.75</v>
      </c>
      <c r="J10" s="150"/>
      <c r="K10" s="135"/>
      <c r="L10" s="118"/>
      <c r="M10" s="118"/>
      <c r="N10" s="152"/>
      <c r="O10" s="120"/>
      <c r="P10" s="121"/>
      <c r="Q10" s="122"/>
      <c r="R10" s="123"/>
      <c r="S10" s="153" t="n">
        <f aca="false">248.75</f>
        <v>248.75</v>
      </c>
      <c r="T10" s="153"/>
      <c r="U10" s="123"/>
      <c r="V10" s="154"/>
      <c r="W10" s="240"/>
      <c r="X10" s="155"/>
      <c r="Y10" s="155"/>
      <c r="Z10" s="140"/>
      <c r="AA10" s="267"/>
      <c r="AB10" s="266"/>
    </row>
    <row r="11" customFormat="false" ht="15" hidden="false" customHeight="false" outlineLevel="0" collapsed="false">
      <c r="A11" s="167" t="n">
        <v>3</v>
      </c>
      <c r="B11" s="273" t="n">
        <v>43437</v>
      </c>
      <c r="C11" s="169"/>
      <c r="D11" s="242" t="n">
        <f aca="false">D10+F11</f>
        <v>428.182258064516</v>
      </c>
      <c r="E11" s="169" t="n">
        <f aca="false">E10+G11</f>
        <v>945.592258064516</v>
      </c>
      <c r="F11" s="146" t="n">
        <f aca="false">G11-I11</f>
        <v>266.197419354839</v>
      </c>
      <c r="G11" s="170" t="n">
        <f aca="false">$C$6/$G$1</f>
        <v>315.197419354839</v>
      </c>
      <c r="H11" s="171" t="n">
        <f aca="false">H10+I11</f>
        <v>517.41</v>
      </c>
      <c r="I11" s="149" t="n">
        <f aca="false">SUM(J11:AA11)</f>
        <v>49</v>
      </c>
      <c r="J11" s="150"/>
      <c r="K11" s="117"/>
      <c r="L11" s="202"/>
      <c r="M11" s="202"/>
      <c r="N11" s="203"/>
      <c r="O11" s="204"/>
      <c r="P11" s="205"/>
      <c r="Q11" s="206"/>
      <c r="R11" s="178"/>
      <c r="S11" s="173"/>
      <c r="T11" s="173"/>
      <c r="U11" s="178"/>
      <c r="V11" s="179"/>
      <c r="W11" s="46"/>
      <c r="X11" s="155"/>
      <c r="Y11" s="155"/>
      <c r="Z11" s="140" t="n">
        <v>49</v>
      </c>
      <c r="AA11" s="267"/>
      <c r="AB11" s="266"/>
    </row>
    <row r="12" customFormat="false" ht="15" hidden="false" customHeight="false" outlineLevel="0" collapsed="false">
      <c r="A12" s="141" t="n">
        <v>4</v>
      </c>
      <c r="B12" s="273" t="n">
        <v>43438</v>
      </c>
      <c r="C12" s="145"/>
      <c r="D12" s="242" t="n">
        <f aca="false">D11+F12</f>
        <v>594.789677419355</v>
      </c>
      <c r="E12" s="145" t="n">
        <f aca="false">E11+G12</f>
        <v>1260.78967741935</v>
      </c>
      <c r="F12" s="146" t="n">
        <f aca="false">G12-I12</f>
        <v>166.607419354839</v>
      </c>
      <c r="G12" s="147" t="n">
        <f aca="false">$C$6/$G$1</f>
        <v>315.197419354839</v>
      </c>
      <c r="H12" s="148" t="n">
        <f aca="false">H11+I12</f>
        <v>666</v>
      </c>
      <c r="I12" s="149" t="n">
        <f aca="false">SUM(J12:AA12)</f>
        <v>148.59</v>
      </c>
      <c r="J12" s="150"/>
      <c r="K12" s="117"/>
      <c r="L12" s="244" t="n">
        <f aca="false">2.69</f>
        <v>2.69</v>
      </c>
      <c r="M12" s="244"/>
      <c r="N12" s="245"/>
      <c r="O12" s="246"/>
      <c r="P12" s="247"/>
      <c r="Q12" s="248"/>
      <c r="R12" s="249"/>
      <c r="S12" s="250"/>
      <c r="T12" s="250"/>
      <c r="U12" s="249"/>
      <c r="V12" s="251"/>
      <c r="W12" s="252" t="n">
        <f aca="false">55.9</f>
        <v>55.9</v>
      </c>
      <c r="X12" s="155"/>
      <c r="Y12" s="155"/>
      <c r="Z12" s="140" t="n">
        <v>90</v>
      </c>
      <c r="AA12" s="269"/>
      <c r="AB12" s="270"/>
    </row>
    <row r="13" customFormat="false" ht="15" hidden="false" customHeight="false" outlineLevel="0" collapsed="false">
      <c r="A13" s="157" t="n">
        <v>5</v>
      </c>
      <c r="B13" s="273" t="n">
        <v>43439</v>
      </c>
      <c r="C13" s="159"/>
      <c r="D13" s="242" t="n">
        <f aca="false">D12+F13</f>
        <v>800.837096774193</v>
      </c>
      <c r="E13" s="159" t="n">
        <f aca="false">E12+G13</f>
        <v>1575.98709677419</v>
      </c>
      <c r="F13" s="146" t="n">
        <f aca="false">G13-I13</f>
        <v>206.047419354839</v>
      </c>
      <c r="G13" s="160" t="n">
        <f aca="false">$C$6/$G$1</f>
        <v>315.197419354839</v>
      </c>
      <c r="H13" s="161" t="n">
        <f aca="false">H12+I13</f>
        <v>775.15</v>
      </c>
      <c r="I13" s="149" t="n">
        <f aca="false">SUM(J13:AA13)</f>
        <v>109.15</v>
      </c>
      <c r="J13" s="150"/>
      <c r="K13" s="117"/>
      <c r="L13" s="254" t="n">
        <f aca="false">30.01+5.1+67.94</f>
        <v>103.05</v>
      </c>
      <c r="M13" s="254" t="n">
        <f aca="false">3</f>
        <v>3</v>
      </c>
      <c r="N13" s="255"/>
      <c r="O13" s="256"/>
      <c r="P13" s="257"/>
      <c r="Q13" s="258"/>
      <c r="R13" s="259"/>
      <c r="S13" s="176"/>
      <c r="T13" s="176"/>
      <c r="U13" s="259"/>
      <c r="V13" s="260"/>
      <c r="W13" s="261"/>
      <c r="X13" s="155"/>
      <c r="Y13" s="155"/>
      <c r="Z13" s="140" t="n">
        <f aca="false">3.1</f>
        <v>3.1</v>
      </c>
      <c r="AA13" s="267"/>
      <c r="AB13" s="266"/>
    </row>
    <row r="14" customFormat="false" ht="15" hidden="false" customHeight="false" outlineLevel="0" collapsed="false">
      <c r="A14" s="167" t="n">
        <v>6</v>
      </c>
      <c r="B14" s="273" t="n">
        <v>43440</v>
      </c>
      <c r="C14" s="159"/>
      <c r="D14" s="242" t="n">
        <f aca="false">D13+F14</f>
        <v>751.934516129032</v>
      </c>
      <c r="E14" s="169" t="n">
        <f aca="false">E13+G14</f>
        <v>1891.18451612903</v>
      </c>
      <c r="F14" s="146" t="n">
        <f aca="false">G14-I14</f>
        <v>-48.9025806451613</v>
      </c>
      <c r="G14" s="170" t="n">
        <f aca="false">$C$6/$G$1</f>
        <v>315.197419354839</v>
      </c>
      <c r="H14" s="171" t="n">
        <f aca="false">H13+I14</f>
        <v>1139.25</v>
      </c>
      <c r="I14" s="149" t="n">
        <f aca="false">SUM(J14:AA14)</f>
        <v>364.1</v>
      </c>
      <c r="J14" s="150"/>
      <c r="K14" s="135"/>
      <c r="L14" s="118" t="n">
        <f aca="false">5.1</f>
        <v>5.1</v>
      </c>
      <c r="M14" s="118"/>
      <c r="N14" s="152"/>
      <c r="O14" s="120"/>
      <c r="P14" s="121"/>
      <c r="Q14" s="122"/>
      <c r="R14" s="123"/>
      <c r="S14" s="153"/>
      <c r="T14" s="153"/>
      <c r="U14" s="123"/>
      <c r="V14" s="154"/>
      <c r="W14" s="240" t="n">
        <f aca="false">249+98+12</f>
        <v>359</v>
      </c>
      <c r="X14" s="155"/>
      <c r="Y14" s="155"/>
      <c r="Z14" s="140"/>
      <c r="AA14" s="267"/>
      <c r="AB14" s="266"/>
    </row>
    <row r="15" s="156" customFormat="true" ht="16.5" hidden="false" customHeight="true" outlineLevel="0" collapsed="false">
      <c r="A15" s="141" t="n">
        <v>7</v>
      </c>
      <c r="B15" s="273" t="n">
        <v>43441</v>
      </c>
      <c r="C15" s="306"/>
      <c r="D15" s="242" t="n">
        <f aca="false">D14+F15</f>
        <v>879.231935483871</v>
      </c>
      <c r="E15" s="145" t="n">
        <f aca="false">E14+G15</f>
        <v>2206.38193548387</v>
      </c>
      <c r="F15" s="146" t="n">
        <f aca="false">G15-I15</f>
        <v>127.297419354839</v>
      </c>
      <c r="G15" s="147" t="n">
        <f aca="false">$C$6/$G$1</f>
        <v>315.197419354839</v>
      </c>
      <c r="H15" s="148" t="n">
        <f aca="false">H14+I15</f>
        <v>1327.15</v>
      </c>
      <c r="I15" s="149" t="n">
        <f aca="false">SUM(J15:AA15)</f>
        <v>187.9</v>
      </c>
      <c r="J15" s="150" t="n">
        <v>69.42</v>
      </c>
      <c r="K15" s="117" t="s">
        <v>108</v>
      </c>
      <c r="L15" s="118" t="n">
        <f aca="false">41.51+61.66-10.99+15.31</f>
        <v>107.49</v>
      </c>
      <c r="M15" s="118"/>
      <c r="N15" s="152" t="n">
        <f aca="false">10.99</f>
        <v>10.99</v>
      </c>
      <c r="O15" s="120"/>
      <c r="P15" s="121"/>
      <c r="Q15" s="122"/>
      <c r="R15" s="123"/>
      <c r="S15" s="153"/>
      <c r="T15" s="153"/>
      <c r="U15" s="123"/>
      <c r="V15" s="154"/>
      <c r="W15" s="240"/>
      <c r="X15" s="155"/>
      <c r="Y15" s="155"/>
      <c r="Z15" s="140"/>
      <c r="AA15" s="269"/>
      <c r="AB15" s="270"/>
    </row>
    <row r="16" customFormat="false" ht="15" hidden="false" customHeight="false" outlineLevel="0" collapsed="false">
      <c r="A16" s="157" t="n">
        <v>8</v>
      </c>
      <c r="B16" s="272" t="n">
        <v>43442</v>
      </c>
      <c r="C16" s="159"/>
      <c r="D16" s="242" t="n">
        <f aca="false">D15+F16</f>
        <v>1066.97935483871</v>
      </c>
      <c r="E16" s="159" t="n">
        <f aca="false">E15+G16</f>
        <v>2521.57935483871</v>
      </c>
      <c r="F16" s="146" t="n">
        <f aca="false">G16-I16</f>
        <v>187.747419354839</v>
      </c>
      <c r="G16" s="160" t="n">
        <f aca="false">$C$6/$G$1</f>
        <v>315.197419354839</v>
      </c>
      <c r="H16" s="161" t="n">
        <f aca="false">H15+I16</f>
        <v>1454.6</v>
      </c>
      <c r="I16" s="149" t="n">
        <f aca="false">SUM(J16:AA16)</f>
        <v>127.45</v>
      </c>
      <c r="J16" s="150"/>
      <c r="K16" s="135"/>
      <c r="L16" s="118" t="n">
        <f aca="false">5.1</f>
        <v>5.1</v>
      </c>
      <c r="M16" s="118"/>
      <c r="N16" s="152" t="n">
        <f aca="false">71.35+7+43.8</f>
        <v>122.15</v>
      </c>
      <c r="O16" s="120"/>
      <c r="P16" s="121"/>
      <c r="Q16" s="122"/>
      <c r="R16" s="123"/>
      <c r="S16" s="153"/>
      <c r="T16" s="153" t="n">
        <f aca="false">0.2</f>
        <v>0.2</v>
      </c>
      <c r="U16" s="123"/>
      <c r="V16" s="154"/>
      <c r="W16" s="240"/>
      <c r="X16" s="155"/>
      <c r="Y16" s="155"/>
      <c r="Z16" s="140"/>
      <c r="AA16" s="267"/>
      <c r="AB16" s="266" t="n">
        <f aca="false">20</f>
        <v>20</v>
      </c>
    </row>
    <row r="17" customFormat="false" ht="15" hidden="false" customHeight="false" outlineLevel="0" collapsed="false">
      <c r="A17" s="162" t="n">
        <v>9</v>
      </c>
      <c r="B17" s="268" t="n">
        <v>43443</v>
      </c>
      <c r="C17" s="164"/>
      <c r="D17" s="242" t="n">
        <f aca="false">D16+F17</f>
        <v>702.356774193548</v>
      </c>
      <c r="E17" s="164" t="n">
        <f aca="false">E16+G17</f>
        <v>2836.77677419355</v>
      </c>
      <c r="F17" s="146" t="n">
        <f aca="false">G17-I17</f>
        <v>-364.622580645161</v>
      </c>
      <c r="G17" s="165" t="n">
        <f aca="false">$C$6/$G$1</f>
        <v>315.197419354839</v>
      </c>
      <c r="H17" s="166" t="n">
        <f aca="false">H16+I17</f>
        <v>2134.42</v>
      </c>
      <c r="I17" s="149" t="n">
        <f aca="false">SUM(J17:AA17)</f>
        <v>679.82</v>
      </c>
      <c r="J17" s="150" t="n">
        <v>582.92</v>
      </c>
      <c r="K17" s="135" t="s">
        <v>87</v>
      </c>
      <c r="L17" s="118"/>
      <c r="M17" s="118"/>
      <c r="N17" s="152"/>
      <c r="O17" s="120"/>
      <c r="P17" s="121"/>
      <c r="Q17" s="122"/>
      <c r="R17" s="123"/>
      <c r="S17" s="153"/>
      <c r="T17" s="153"/>
      <c r="U17" s="123"/>
      <c r="V17" s="154"/>
      <c r="W17" s="240" t="n">
        <f aca="false">94.9</f>
        <v>94.9</v>
      </c>
      <c r="X17" s="155"/>
      <c r="Y17" s="155"/>
      <c r="Z17" s="140" t="n">
        <v>2</v>
      </c>
      <c r="AA17" s="267"/>
      <c r="AB17" s="266"/>
    </row>
    <row r="18" customFormat="false" ht="15" hidden="false" customHeight="false" outlineLevel="0" collapsed="false">
      <c r="A18" s="167" t="n">
        <v>10</v>
      </c>
      <c r="B18" s="273" t="n">
        <v>43444</v>
      </c>
      <c r="C18" s="169"/>
      <c r="D18" s="242" t="n">
        <f aca="false">D17+F18</f>
        <v>830.884193548387</v>
      </c>
      <c r="E18" s="169" t="n">
        <f aca="false">E17+G18</f>
        <v>3151.97419354839</v>
      </c>
      <c r="F18" s="146" t="n">
        <f aca="false">G18-I18</f>
        <v>128.527419354839</v>
      </c>
      <c r="G18" s="170" t="n">
        <f aca="false">$C$6/$G$1</f>
        <v>315.197419354839</v>
      </c>
      <c r="H18" s="171" t="n">
        <f aca="false">H17+I18</f>
        <v>2321.09</v>
      </c>
      <c r="I18" s="149" t="n">
        <f aca="false">SUM(J18:AA18)</f>
        <v>186.67</v>
      </c>
      <c r="J18" s="150" t="n">
        <v>75</v>
      </c>
      <c r="K18" s="117" t="s">
        <v>92</v>
      </c>
      <c r="L18" s="202" t="n">
        <f aca="false">5.1+32.38</f>
        <v>37.48</v>
      </c>
      <c r="M18" s="202"/>
      <c r="N18" s="203"/>
      <c r="O18" s="204"/>
      <c r="P18" s="205"/>
      <c r="Q18" s="206" t="n">
        <f aca="false">27.99</f>
        <v>27.99</v>
      </c>
      <c r="R18" s="178"/>
      <c r="S18" s="173"/>
      <c r="T18" s="173"/>
      <c r="U18" s="178" t="n">
        <f aca="false">1.2</f>
        <v>1.2</v>
      </c>
      <c r="V18" s="179"/>
      <c r="W18" s="46" t="n">
        <f aca="false">45</f>
        <v>45</v>
      </c>
      <c r="X18" s="155"/>
      <c r="Y18" s="155"/>
      <c r="Z18" s="140"/>
      <c r="AA18" s="267"/>
      <c r="AB18" s="266"/>
    </row>
    <row r="19" customFormat="false" ht="15" hidden="false" customHeight="false" outlineLevel="0" collapsed="false">
      <c r="A19" s="141" t="n">
        <v>11</v>
      </c>
      <c r="B19" s="273" t="n">
        <v>43445</v>
      </c>
      <c r="C19" s="145"/>
      <c r="D19" s="242" t="n">
        <f aca="false">D18+F19</f>
        <v>838.351612903226</v>
      </c>
      <c r="E19" s="145" t="n">
        <f aca="false">E18+G19</f>
        <v>3467.17161290322</v>
      </c>
      <c r="F19" s="146" t="n">
        <f aca="false">G19-I19</f>
        <v>7.46741935483874</v>
      </c>
      <c r="G19" s="147" t="n">
        <f aca="false">$C$6/$G$1</f>
        <v>315.197419354839</v>
      </c>
      <c r="H19" s="148" t="n">
        <f aca="false">H18+I19</f>
        <v>2628.82</v>
      </c>
      <c r="I19" s="149" t="n">
        <f aca="false">SUM(J19:AA19)</f>
        <v>307.73</v>
      </c>
      <c r="J19" s="135" t="s">
        <v>115</v>
      </c>
      <c r="K19" s="135"/>
      <c r="L19" s="244" t="n">
        <f aca="false">7.83+201.21-34.49-28.99-15.99-7.99</f>
        <v>121.58</v>
      </c>
      <c r="M19" s="244" t="n">
        <f aca="false">17.9</f>
        <v>17.9</v>
      </c>
      <c r="N19" s="245" t="n">
        <f aca="false">34.49+28.99+7.99+15.99</f>
        <v>87.46</v>
      </c>
      <c r="O19" s="246"/>
      <c r="P19" s="262"/>
      <c r="Q19" s="248"/>
      <c r="R19" s="249"/>
      <c r="S19" s="250"/>
      <c r="T19" s="250" t="n">
        <f aca="false">6</f>
        <v>6</v>
      </c>
      <c r="U19" s="249"/>
      <c r="V19" s="251"/>
      <c r="W19" s="252" t="n">
        <f aca="false">49.9+24.89</f>
        <v>74.79</v>
      </c>
      <c r="X19" s="155"/>
      <c r="Y19" s="155"/>
      <c r="Z19" s="140"/>
      <c r="AA19" s="269"/>
      <c r="AB19" s="270" t="n">
        <f aca="false">9.9</f>
        <v>9.9</v>
      </c>
    </row>
    <row r="20" customFormat="false" ht="15" hidden="false" customHeight="false" outlineLevel="0" collapsed="false">
      <c r="A20" s="157" t="n">
        <v>12</v>
      </c>
      <c r="B20" s="273" t="n">
        <v>43446</v>
      </c>
      <c r="C20" s="159"/>
      <c r="D20" s="242" t="n">
        <f aca="false">D19+F20</f>
        <v>1083.42903225806</v>
      </c>
      <c r="E20" s="159" t="n">
        <f aca="false">E19+G20</f>
        <v>3782.36903225806</v>
      </c>
      <c r="F20" s="146" t="n">
        <f aca="false">G20-I20</f>
        <v>245.077419354839</v>
      </c>
      <c r="G20" s="160" t="n">
        <f aca="false">$C$6/$G$1</f>
        <v>315.197419354839</v>
      </c>
      <c r="H20" s="161" t="n">
        <f aca="false">H19+I20</f>
        <v>2698.94</v>
      </c>
      <c r="I20" s="149" t="n">
        <f aca="false">SUM(J20:AA20)</f>
        <v>70.12</v>
      </c>
      <c r="J20" s="150"/>
      <c r="K20" s="117"/>
      <c r="L20" s="254" t="n">
        <f aca="false">3.38+33.74</f>
        <v>37.12</v>
      </c>
      <c r="M20" s="254"/>
      <c r="N20" s="255"/>
      <c r="O20" s="256" t="n">
        <f aca="false">33</f>
        <v>33</v>
      </c>
      <c r="P20" s="257"/>
      <c r="Q20" s="258"/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</row>
    <row r="21" customFormat="false" ht="15" hidden="false" customHeight="false" outlineLevel="0" collapsed="false">
      <c r="A21" s="167" t="n">
        <v>13</v>
      </c>
      <c r="B21" s="273" t="n">
        <v>43447</v>
      </c>
      <c r="C21" s="169"/>
      <c r="D21" s="242" t="n">
        <f aca="false">D20+F21</f>
        <v>1326.0364516129</v>
      </c>
      <c r="E21" s="169" t="n">
        <f aca="false">E20+G21</f>
        <v>4097.5664516129</v>
      </c>
      <c r="F21" s="146" t="n">
        <f aca="false">G21-I21</f>
        <v>242.607419354839</v>
      </c>
      <c r="G21" s="170" t="n">
        <f aca="false">$C$6/$G$1</f>
        <v>315.197419354839</v>
      </c>
      <c r="H21" s="171" t="n">
        <f aca="false">H20+I21</f>
        <v>2771.53</v>
      </c>
      <c r="I21" s="149" t="n">
        <f aca="false">SUM(J21:AA21)</f>
        <v>72.59</v>
      </c>
      <c r="J21" s="150"/>
      <c r="K21" s="135"/>
      <c r="L21" s="118" t="n">
        <f aca="false">2.69</f>
        <v>2.69</v>
      </c>
      <c r="M21" s="118" t="n">
        <f aca="false">8.9</f>
        <v>8.9</v>
      </c>
      <c r="N21" s="152"/>
      <c r="O21" s="120"/>
      <c r="P21" s="121"/>
      <c r="Q21" s="122"/>
      <c r="R21" s="123"/>
      <c r="S21" s="153"/>
      <c r="T21" s="153" t="n">
        <f aca="false">6</f>
        <v>6</v>
      </c>
      <c r="U21" s="123"/>
      <c r="V21" s="154"/>
      <c r="W21" s="240" t="n">
        <f aca="false">55</f>
        <v>55</v>
      </c>
      <c r="X21" s="155"/>
      <c r="Y21" s="155"/>
      <c r="Z21" s="140"/>
      <c r="AA21" s="267"/>
      <c r="AB21" s="266"/>
    </row>
    <row r="22" s="156" customFormat="true" ht="15" hidden="false" customHeight="false" outlineLevel="0" collapsed="false">
      <c r="A22" s="141" t="n">
        <v>14</v>
      </c>
      <c r="B22" s="273" t="n">
        <v>43448</v>
      </c>
      <c r="C22" s="145"/>
      <c r="D22" s="242" t="n">
        <f aca="false">D21+F22</f>
        <v>1457.54387096774</v>
      </c>
      <c r="E22" s="145" t="n">
        <f aca="false">E21+G22</f>
        <v>4412.76387096774</v>
      </c>
      <c r="F22" s="146" t="n">
        <f aca="false">G22-I22</f>
        <v>131.507419354839</v>
      </c>
      <c r="G22" s="147" t="n">
        <f aca="false">$C$6/$G$1</f>
        <v>315.197419354839</v>
      </c>
      <c r="H22" s="148" t="n">
        <f aca="false">H21+I22</f>
        <v>2955.22</v>
      </c>
      <c r="I22" s="149" t="n">
        <f aca="false">SUM(J22:AA22)</f>
        <v>183.69</v>
      </c>
      <c r="J22" s="150" t="n">
        <v>52</v>
      </c>
      <c r="K22" s="135" t="s">
        <v>89</v>
      </c>
      <c r="L22" s="118" t="n">
        <f aca="false">49.67-23.98+40.83-19.98</f>
        <v>46.54</v>
      </c>
      <c r="M22" s="118"/>
      <c r="N22" s="152" t="n">
        <f aca="false">19.98</f>
        <v>19.98</v>
      </c>
      <c r="O22" s="120"/>
      <c r="P22" s="121"/>
      <c r="Q22" s="122"/>
      <c r="R22" s="123"/>
      <c r="S22" s="153"/>
      <c r="T22" s="153" t="n">
        <f aca="false">6+3.2+6</f>
        <v>15.2</v>
      </c>
      <c r="U22" s="123"/>
      <c r="V22" s="154"/>
      <c r="W22" s="240" t="n">
        <f aca="false">23.98</f>
        <v>23.98</v>
      </c>
      <c r="X22" s="155" t="n">
        <f aca="false">25.99</f>
        <v>25.99</v>
      </c>
      <c r="Y22" s="155"/>
      <c r="Z22" s="140"/>
      <c r="AA22" s="269"/>
      <c r="AB22" s="270"/>
    </row>
    <row r="23" customFormat="false" ht="15" hidden="false" customHeight="false" outlineLevel="0" collapsed="false">
      <c r="A23" s="157" t="n">
        <v>15</v>
      </c>
      <c r="B23" s="272" t="n">
        <v>43449</v>
      </c>
      <c r="C23" s="159"/>
      <c r="D23" s="242" t="n">
        <f aca="false">D22+F23</f>
        <v>1538.43129032258</v>
      </c>
      <c r="E23" s="159" t="n">
        <f aca="false">E22+G23</f>
        <v>4727.96129032258</v>
      </c>
      <c r="F23" s="146" t="n">
        <f aca="false">G23-I23</f>
        <v>80.8874193548387</v>
      </c>
      <c r="G23" s="160" t="n">
        <f aca="false">$C$6/$G$1</f>
        <v>315.197419354839</v>
      </c>
      <c r="H23" s="161" t="n">
        <f aca="false">H22+I23</f>
        <v>3189.53</v>
      </c>
      <c r="I23" s="149" t="n">
        <f aca="false">SUM(J23:AA23)</f>
        <v>234.31</v>
      </c>
      <c r="J23" s="150"/>
      <c r="K23" s="117"/>
      <c r="L23" s="118"/>
      <c r="M23" s="118"/>
      <c r="N23" s="152"/>
      <c r="O23" s="120"/>
      <c r="P23" s="121" t="n">
        <f aca="false">19.99</f>
        <v>19.99</v>
      </c>
      <c r="Q23" s="122" t="n">
        <f aca="false">50</f>
        <v>50</v>
      </c>
      <c r="R23" s="123"/>
      <c r="S23" s="153" t="n">
        <f aca="false">50.35</f>
        <v>50.35</v>
      </c>
      <c r="T23" s="153"/>
      <c r="U23" s="123"/>
      <c r="V23" s="154"/>
      <c r="W23" s="240" t="n">
        <f aca="false">104-19.99</f>
        <v>84.01</v>
      </c>
      <c r="X23" s="155"/>
      <c r="Y23" s="155" t="n">
        <f aca="false">18.96+11</f>
        <v>29.96</v>
      </c>
      <c r="Z23" s="140"/>
      <c r="AA23" s="267"/>
      <c r="AB23" s="266"/>
    </row>
    <row r="24" customFormat="false" ht="15" hidden="false" customHeight="false" outlineLevel="0" collapsed="false">
      <c r="A24" s="162" t="n">
        <v>16</v>
      </c>
      <c r="B24" s="268" t="n">
        <v>43450</v>
      </c>
      <c r="C24" s="164"/>
      <c r="D24" s="242" t="n">
        <f aca="false">D23+F24</f>
        <v>1544.27870967742</v>
      </c>
      <c r="E24" s="164" t="n">
        <f aca="false">E23+G24</f>
        <v>5043.15870967742</v>
      </c>
      <c r="F24" s="146" t="n">
        <f aca="false">G24-I24</f>
        <v>5.84741935483868</v>
      </c>
      <c r="G24" s="165" t="n">
        <f aca="false">$C$6/$G$1</f>
        <v>315.197419354839</v>
      </c>
      <c r="H24" s="166" t="n">
        <f aca="false">H23+I24</f>
        <v>3498.88</v>
      </c>
      <c r="I24" s="149" t="n">
        <f aca="false">SUM(J24:AA24)</f>
        <v>309.35</v>
      </c>
      <c r="J24" s="150"/>
      <c r="K24" s="117"/>
      <c r="L24" s="118" t="n">
        <f aca="false">5.49</f>
        <v>5.49</v>
      </c>
      <c r="M24" s="118" t="n">
        <f aca="false">10</f>
        <v>10</v>
      </c>
      <c r="N24" s="152"/>
      <c r="O24" s="120"/>
      <c r="P24" s="121"/>
      <c r="Q24" s="122"/>
      <c r="R24" s="123"/>
      <c r="S24" s="153" t="n">
        <f aca="false">233.86</f>
        <v>233.86</v>
      </c>
      <c r="T24" s="153"/>
      <c r="U24" s="123"/>
      <c r="V24" s="154"/>
      <c r="W24" s="240" t="n">
        <f aca="false">60</f>
        <v>60</v>
      </c>
      <c r="X24" s="155"/>
      <c r="Y24" s="155"/>
      <c r="Z24" s="140"/>
      <c r="AA24" s="267"/>
      <c r="AB24" s="266"/>
    </row>
    <row r="25" customFormat="false" ht="15" hidden="false" customHeight="false" outlineLevel="0" collapsed="false">
      <c r="A25" s="167" t="n">
        <v>17</v>
      </c>
      <c r="B25" s="273" t="n">
        <v>43451</v>
      </c>
      <c r="C25" s="169"/>
      <c r="D25" s="242" t="n">
        <f aca="false">D24+F25</f>
        <v>1572.43612903226</v>
      </c>
      <c r="E25" s="169" t="n">
        <f aca="false">E24+G25</f>
        <v>5358.35612903226</v>
      </c>
      <c r="F25" s="146" t="n">
        <f aca="false">G25-I25</f>
        <v>28.1574193548387</v>
      </c>
      <c r="G25" s="170" t="n">
        <f aca="false">$C$6/$G$1</f>
        <v>315.197419354839</v>
      </c>
      <c r="H25" s="171" t="n">
        <f aca="false">H24+I25</f>
        <v>3785.92</v>
      </c>
      <c r="I25" s="149" t="n">
        <f aca="false">SUM(J25:AA25)</f>
        <v>287.04</v>
      </c>
      <c r="J25" s="150"/>
      <c r="K25" s="117"/>
      <c r="L25" s="202" t="n">
        <f aca="false">5.1+41.92</f>
        <v>47.02</v>
      </c>
      <c r="M25" s="202" t="n">
        <f aca="false">12.36</f>
        <v>12.36</v>
      </c>
      <c r="N25" s="203"/>
      <c r="O25" s="204" t="n">
        <f aca="false">72.9</f>
        <v>72.9</v>
      </c>
      <c r="P25" s="205"/>
      <c r="Q25" s="206" t="n">
        <f aca="false">1.99</f>
        <v>1.99</v>
      </c>
      <c r="R25" s="178"/>
      <c r="S25" s="173"/>
      <c r="T25" s="173" t="n">
        <f aca="false">6</f>
        <v>6</v>
      </c>
      <c r="U25" s="178" t="n">
        <f aca="false">94.97</f>
        <v>94.97</v>
      </c>
      <c r="V25" s="179"/>
      <c r="W25" s="46" t="n">
        <f aca="false">41.9+9.9</f>
        <v>51.8</v>
      </c>
      <c r="X25" s="155"/>
      <c r="Y25" s="155"/>
      <c r="Z25" s="140"/>
      <c r="AA25" s="267"/>
      <c r="AB25" s="266"/>
    </row>
    <row r="26" customFormat="false" ht="15" hidden="false" customHeight="false" outlineLevel="0" collapsed="false">
      <c r="A26" s="141" t="n">
        <v>18</v>
      </c>
      <c r="B26" s="273" t="n">
        <v>43452</v>
      </c>
      <c r="C26" s="145"/>
      <c r="D26" s="242" t="n">
        <f aca="false">D25+F26</f>
        <v>1460.5935483871</v>
      </c>
      <c r="E26" s="145" t="n">
        <f aca="false">E25+G26</f>
        <v>5673.5535483871</v>
      </c>
      <c r="F26" s="146" t="n">
        <f aca="false">G26-I26</f>
        <v>-111.842580645161</v>
      </c>
      <c r="G26" s="147" t="n">
        <f aca="false">$C$6/$G$1</f>
        <v>315.197419354839</v>
      </c>
      <c r="H26" s="148" t="n">
        <f aca="false">H25+I26</f>
        <v>4212.96</v>
      </c>
      <c r="I26" s="149" t="n">
        <f aca="false">SUM(J26:AA26)</f>
        <v>427.04</v>
      </c>
      <c r="J26" s="150"/>
      <c r="K26" s="117"/>
      <c r="L26" s="244" t="n">
        <f aca="false">36.17-4.99-4.99+32.67-2.99-2.39</f>
        <v>53.48</v>
      </c>
      <c r="M26" s="244"/>
      <c r="N26" s="245" t="n">
        <f aca="false">2.99+2.39</f>
        <v>5.38</v>
      </c>
      <c r="O26" s="246"/>
      <c r="P26" s="247"/>
      <c r="Q26" s="248" t="n">
        <f aca="false">4.99+4.99</f>
        <v>9.98</v>
      </c>
      <c r="R26" s="249"/>
      <c r="S26" s="250"/>
      <c r="T26" s="250"/>
      <c r="U26" s="249"/>
      <c r="V26" s="251" t="n">
        <f aca="false">350</f>
        <v>350</v>
      </c>
      <c r="W26" s="252" t="n">
        <f aca="false">8.2</f>
        <v>8.2</v>
      </c>
      <c r="X26" s="155"/>
      <c r="Y26" s="155"/>
      <c r="Z26" s="140"/>
      <c r="AA26" s="269"/>
      <c r="AB26" s="270"/>
    </row>
    <row r="27" customFormat="false" ht="15" hidden="false" customHeight="false" outlineLevel="0" collapsed="false">
      <c r="A27" s="157" t="n">
        <v>19</v>
      </c>
      <c r="B27" s="273" t="n">
        <v>43453</v>
      </c>
      <c r="C27" s="159"/>
      <c r="D27" s="242" t="n">
        <f aca="false">D26+F27</f>
        <v>1579.62096774193</v>
      </c>
      <c r="E27" s="159" t="n">
        <f aca="false">E26+G27</f>
        <v>5988.75096774193</v>
      </c>
      <c r="F27" s="146" t="n">
        <f aca="false">G27-I27</f>
        <v>119.027419354839</v>
      </c>
      <c r="G27" s="160" t="n">
        <f aca="false">$C$6/$G$1</f>
        <v>315.197419354839</v>
      </c>
      <c r="H27" s="161" t="n">
        <f aca="false">H26+I27</f>
        <v>4409.13</v>
      </c>
      <c r="I27" s="149" t="n">
        <f aca="false">SUM(J27:AA27)</f>
        <v>196.17</v>
      </c>
      <c r="J27" s="150"/>
      <c r="K27" s="117"/>
      <c r="L27" s="254" t="n">
        <f aca="false">14.51+49.55</f>
        <v>64.06</v>
      </c>
      <c r="M27" s="254" t="n">
        <f aca="false">12</f>
        <v>12</v>
      </c>
      <c r="N27" s="255" t="n">
        <f aca="false">101.15</f>
        <v>101.15</v>
      </c>
      <c r="O27" s="256"/>
      <c r="P27" s="257"/>
      <c r="Q27" s="258"/>
      <c r="R27" s="259"/>
      <c r="S27" s="176"/>
      <c r="T27" s="176"/>
      <c r="U27" s="259"/>
      <c r="V27" s="260"/>
      <c r="W27" s="261" t="n">
        <f aca="false">8.97+9.99</f>
        <v>18.96</v>
      </c>
      <c r="X27" s="155"/>
      <c r="Y27" s="155"/>
      <c r="Z27" s="140"/>
      <c r="AA27" s="267"/>
      <c r="AB27" s="266"/>
    </row>
    <row r="28" customFormat="false" ht="15" hidden="false" customHeight="false" outlineLevel="0" collapsed="false">
      <c r="A28" s="167" t="n">
        <v>20</v>
      </c>
      <c r="B28" s="273" t="n">
        <v>43454</v>
      </c>
      <c r="C28" s="169"/>
      <c r="D28" s="242" t="n">
        <f aca="false">D27+F28</f>
        <v>1698.24838709677</v>
      </c>
      <c r="E28" s="169" t="n">
        <f aca="false">E27+G28</f>
        <v>6303.94838709677</v>
      </c>
      <c r="F28" s="146" t="n">
        <f aca="false">G28-I28</f>
        <v>118.627419354839</v>
      </c>
      <c r="G28" s="170" t="n">
        <f aca="false">$C$6/$G$1</f>
        <v>315.197419354839</v>
      </c>
      <c r="H28" s="171" t="n">
        <f aca="false">H27+I28</f>
        <v>4605.7</v>
      </c>
      <c r="I28" s="149" t="n">
        <f aca="false">SUM(J28:AA28)</f>
        <v>196.57</v>
      </c>
      <c r="J28" s="150" t="n">
        <v>13</v>
      </c>
      <c r="K28" s="135" t="s">
        <v>91</v>
      </c>
      <c r="L28" s="118" t="n">
        <f aca="false">12.16+5.1+16.8+99.6-7.99+23-1.99</f>
        <v>146.68</v>
      </c>
      <c r="M28" s="118"/>
      <c r="N28" s="152" t="n">
        <f aca="false">7.99</f>
        <v>7.99</v>
      </c>
      <c r="O28" s="120"/>
      <c r="P28" s="121" t="n">
        <f aca="false">26.91</f>
        <v>26.91</v>
      </c>
      <c r="Q28" s="122" t="n">
        <f aca="false">1.99</f>
        <v>1.99</v>
      </c>
      <c r="R28" s="123"/>
      <c r="S28" s="153"/>
      <c r="T28" s="153"/>
      <c r="U28" s="123"/>
      <c r="V28" s="154"/>
      <c r="W28" s="240"/>
      <c r="X28" s="155"/>
      <c r="Y28" s="155"/>
      <c r="Z28" s="140"/>
      <c r="AA28" s="267"/>
      <c r="AB28" s="266"/>
    </row>
    <row r="29" s="156" customFormat="true" ht="15" hidden="false" customHeight="false" outlineLevel="0" collapsed="false">
      <c r="A29" s="141" t="n">
        <v>21</v>
      </c>
      <c r="B29" s="273" t="n">
        <v>43455</v>
      </c>
      <c r="C29" s="145"/>
      <c r="D29" s="242" t="n">
        <f aca="false">D28+F29</f>
        <v>1919.94580645161</v>
      </c>
      <c r="E29" s="145" t="n">
        <f aca="false">E28+G29</f>
        <v>6619.14580645161</v>
      </c>
      <c r="F29" s="146" t="n">
        <f aca="false">G29-I29</f>
        <v>221.697419354839</v>
      </c>
      <c r="G29" s="147" t="n">
        <f aca="false">$C$6/$G$1</f>
        <v>315.197419354839</v>
      </c>
      <c r="H29" s="148" t="n">
        <f aca="false">H28+I29</f>
        <v>4699.2</v>
      </c>
      <c r="I29" s="149" t="n">
        <f aca="false">SUM(J29:AA29)</f>
        <v>93.5</v>
      </c>
      <c r="J29" s="150"/>
      <c r="K29" s="117"/>
      <c r="L29" s="118" t="n">
        <f aca="false">39.43</f>
        <v>39.43</v>
      </c>
      <c r="M29" s="118" t="n">
        <f aca="false">20.9</f>
        <v>20.9</v>
      </c>
      <c r="N29" s="152"/>
      <c r="O29" s="120"/>
      <c r="P29" s="121" t="n">
        <f aca="false">19.2</f>
        <v>19.2</v>
      </c>
      <c r="Q29" s="122"/>
      <c r="R29" s="123"/>
      <c r="S29" s="153"/>
      <c r="T29" s="153"/>
      <c r="U29" s="123"/>
      <c r="V29" s="154"/>
      <c r="W29" s="240" t="n">
        <f aca="false">7.98+5.99</f>
        <v>13.97</v>
      </c>
      <c r="X29" s="155"/>
      <c r="Y29" s="155"/>
      <c r="Z29" s="140"/>
      <c r="AA29" s="269"/>
      <c r="AB29" s="270"/>
    </row>
    <row r="30" customFormat="false" ht="15" hidden="false" customHeight="false" outlineLevel="0" collapsed="false">
      <c r="A30" s="157" t="n">
        <v>22</v>
      </c>
      <c r="B30" s="272" t="n">
        <v>43456</v>
      </c>
      <c r="C30" s="159"/>
      <c r="D30" s="242" t="n">
        <f aca="false">D29+F30</f>
        <v>1775.04322580645</v>
      </c>
      <c r="E30" s="159" t="n">
        <f aca="false">E29+G30</f>
        <v>6934.34322580645</v>
      </c>
      <c r="F30" s="146" t="n">
        <f aca="false">G30-I30</f>
        <v>-144.902580645161</v>
      </c>
      <c r="G30" s="160" t="n">
        <f aca="false">$C$6/$G$1</f>
        <v>315.197419354839</v>
      </c>
      <c r="H30" s="161" t="n">
        <f aca="false">H29+I30</f>
        <v>5159.3</v>
      </c>
      <c r="I30" s="149" t="n">
        <f aca="false">SUM(J30:AA30)</f>
        <v>460.1</v>
      </c>
      <c r="J30" s="150"/>
      <c r="K30" s="117"/>
      <c r="L30" s="118" t="n">
        <f aca="false">5.1+130.51-7.99-14.94-11.98-5.49-5.98-3.95+81.3-39.99-7.99-2.99-8.77+95-27-16-14</f>
        <v>144.84</v>
      </c>
      <c r="M30" s="118"/>
      <c r="N30" s="152" t="n">
        <f aca="false">3.95+7.99+16+14</f>
        <v>41.94</v>
      </c>
      <c r="O30" s="120"/>
      <c r="P30" s="121" t="n">
        <f aca="false">27</f>
        <v>27</v>
      </c>
      <c r="Q30" s="122"/>
      <c r="R30" s="123"/>
      <c r="S30" s="153"/>
      <c r="T30" s="153"/>
      <c r="U30" s="123" t="n">
        <f aca="false">19.99</f>
        <v>19.99</v>
      </c>
      <c r="V30" s="154"/>
      <c r="W30" s="240" t="n">
        <f aca="false">7.99+39.99+2.99+8.77+25.99</f>
        <v>85.73</v>
      </c>
      <c r="X30" s="155" t="n">
        <f aca="false">5.98+5.49+11.98+14.94+102.21</f>
        <v>140.6</v>
      </c>
      <c r="Y30" s="155"/>
      <c r="Z30" s="140"/>
      <c r="AA30" s="267"/>
      <c r="AB30" s="266"/>
    </row>
    <row r="31" customFormat="false" ht="15" hidden="false" customHeight="false" outlineLevel="0" collapsed="false">
      <c r="A31" s="162" t="n">
        <v>23</v>
      </c>
      <c r="B31" s="268" t="n">
        <v>43457</v>
      </c>
      <c r="C31" s="164"/>
      <c r="D31" s="242" t="n">
        <f aca="false">D30+F31</f>
        <v>1962.70064516129</v>
      </c>
      <c r="E31" s="164" t="n">
        <f aca="false">E30+G31</f>
        <v>7249.54064516129</v>
      </c>
      <c r="F31" s="146" t="n">
        <f aca="false">G31-I31</f>
        <v>187.657419354839</v>
      </c>
      <c r="G31" s="165" t="n">
        <f aca="false">$C$6/$G$1</f>
        <v>315.197419354839</v>
      </c>
      <c r="H31" s="166" t="n">
        <f aca="false">H30+I31</f>
        <v>5286.84</v>
      </c>
      <c r="I31" s="149" t="n">
        <f aca="false">SUM(J31:AA31)</f>
        <v>127.54</v>
      </c>
      <c r="J31" s="150"/>
      <c r="K31" s="117"/>
      <c r="L31" s="118" t="n">
        <f aca="false">14.23+47.42-2.79+5.39</f>
        <v>64.25</v>
      </c>
      <c r="M31" s="118" t="n">
        <f aca="false">60.5</f>
        <v>60.5</v>
      </c>
      <c r="N31" s="152" t="n">
        <f aca="false">2.79</f>
        <v>2.79</v>
      </c>
      <c r="O31" s="120"/>
      <c r="P31" s="121"/>
      <c r="Q31" s="122"/>
      <c r="R31" s="123"/>
      <c r="S31" s="153"/>
      <c r="T31" s="153"/>
      <c r="U31" s="123"/>
      <c r="V31" s="154"/>
      <c r="W31" s="240"/>
      <c r="X31" s="155"/>
      <c r="Y31" s="155"/>
      <c r="Z31" s="140"/>
      <c r="AA31" s="267"/>
      <c r="AB31" s="266"/>
    </row>
    <row r="32" customFormat="false" ht="15" hidden="false" customHeight="false" outlineLevel="0" collapsed="false">
      <c r="A32" s="167" t="n">
        <v>24</v>
      </c>
      <c r="B32" s="273" t="n">
        <v>43458</v>
      </c>
      <c r="C32" s="169"/>
      <c r="D32" s="242" t="n">
        <f aca="false">D31+F32</f>
        <v>1676.48806451613</v>
      </c>
      <c r="E32" s="169" t="n">
        <f aca="false">E31+G32</f>
        <v>7564.73806451613</v>
      </c>
      <c r="F32" s="146" t="n">
        <f aca="false">G32-I32</f>
        <v>-286.212580645161</v>
      </c>
      <c r="G32" s="170" t="n">
        <f aca="false">$C$6/$G$1</f>
        <v>315.197419354839</v>
      </c>
      <c r="H32" s="171" t="n">
        <f aca="false">H31+I32</f>
        <v>5888.25</v>
      </c>
      <c r="I32" s="149" t="n">
        <f aca="false">SUM(J32:AA32)</f>
        <v>601.41</v>
      </c>
      <c r="J32" s="150" t="n">
        <v>403</v>
      </c>
      <c r="K32" s="117" t="s">
        <v>116</v>
      </c>
      <c r="L32" s="202" t="n">
        <f aca="false">182.58-89.99-29.99</f>
        <v>62.6</v>
      </c>
      <c r="M32" s="202"/>
      <c r="N32" s="203" t="n">
        <f aca="false">45.82</f>
        <v>45.82</v>
      </c>
      <c r="O32" s="204"/>
      <c r="P32" s="205"/>
      <c r="Q32" s="206"/>
      <c r="R32" s="178"/>
      <c r="S32" s="173"/>
      <c r="T32" s="173"/>
      <c r="U32" s="178"/>
      <c r="V32" s="179"/>
      <c r="W32" s="46"/>
      <c r="X32" s="155"/>
      <c r="Y32" s="155" t="n">
        <f aca="false">89.99</f>
        <v>89.99</v>
      </c>
      <c r="Z32" s="140"/>
      <c r="AA32" s="267"/>
      <c r="AB32" s="266" t="n">
        <f aca="false">29.99</f>
        <v>29.99</v>
      </c>
    </row>
    <row r="33" customFormat="false" ht="15" hidden="false" customHeight="false" outlineLevel="0" collapsed="false">
      <c r="A33" s="141" t="n">
        <v>25</v>
      </c>
      <c r="B33" s="273" t="n">
        <v>43459</v>
      </c>
      <c r="C33" s="145"/>
      <c r="D33" s="242" t="n">
        <f aca="false">D32+F33</f>
        <v>1953.64548387097</v>
      </c>
      <c r="E33" s="145" t="n">
        <f aca="false">E32+G33</f>
        <v>7879.93548387097</v>
      </c>
      <c r="F33" s="146" t="n">
        <f aca="false">G33-I33</f>
        <v>277.157419354839</v>
      </c>
      <c r="G33" s="147" t="n">
        <f aca="false">$C$6/$G$1</f>
        <v>315.197419354839</v>
      </c>
      <c r="H33" s="148" t="n">
        <f aca="false">H32+I33</f>
        <v>5926.29</v>
      </c>
      <c r="I33" s="149" t="n">
        <f aca="false">SUM(J33:AA33)</f>
        <v>38.04</v>
      </c>
      <c r="J33" s="150" t="n">
        <v>38.04</v>
      </c>
      <c r="K33" s="117" t="s">
        <v>117</v>
      </c>
      <c r="L33" s="244"/>
      <c r="M33" s="244"/>
      <c r="N33" s="245"/>
      <c r="O33" s="246"/>
      <c r="P33" s="247"/>
      <c r="Q33" s="248"/>
      <c r="R33" s="249"/>
      <c r="S33" s="250"/>
      <c r="T33" s="250"/>
      <c r="U33" s="249"/>
      <c r="V33" s="251"/>
      <c r="W33" s="252"/>
      <c r="X33" s="155"/>
      <c r="Y33" s="155"/>
      <c r="Z33" s="140"/>
      <c r="AA33" s="269"/>
      <c r="AB33" s="270"/>
    </row>
    <row r="34" customFormat="false" ht="15" hidden="false" customHeight="false" outlineLevel="0" collapsed="false">
      <c r="A34" s="157" t="n">
        <v>26</v>
      </c>
      <c r="B34" s="273" t="n">
        <v>43460</v>
      </c>
      <c r="C34" s="159"/>
      <c r="D34" s="242" t="n">
        <f aca="false">D33+F34</f>
        <v>2268.84290322581</v>
      </c>
      <c r="E34" s="159" t="n">
        <f aca="false">E33+G34</f>
        <v>8195.1329032258</v>
      </c>
      <c r="F34" s="146" t="n">
        <f aca="false">G34-I34</f>
        <v>315.197419354839</v>
      </c>
      <c r="G34" s="160" t="n">
        <f aca="false">$C$6/$G$1</f>
        <v>315.197419354839</v>
      </c>
      <c r="H34" s="161" t="n">
        <f aca="false">H33+I34</f>
        <v>5926.29</v>
      </c>
      <c r="I34" s="149" t="n">
        <f aca="false">SUM(J34:AA34)</f>
        <v>0</v>
      </c>
      <c r="J34" s="150"/>
      <c r="K34" s="117"/>
      <c r="L34" s="254"/>
      <c r="M34" s="254"/>
      <c r="N34" s="255"/>
      <c r="O34" s="256"/>
      <c r="P34" s="257"/>
      <c r="Q34" s="258"/>
      <c r="R34" s="259"/>
      <c r="S34" s="176"/>
      <c r="T34" s="176"/>
      <c r="U34" s="259"/>
      <c r="V34" s="260"/>
      <c r="W34" s="261"/>
      <c r="X34" s="155"/>
      <c r="Y34" s="155"/>
      <c r="Z34" s="140"/>
      <c r="AA34" s="267"/>
      <c r="AB34" s="266"/>
    </row>
    <row r="35" customFormat="false" ht="15" hidden="false" customHeight="false" outlineLevel="0" collapsed="false">
      <c r="A35" s="167" t="n">
        <v>27</v>
      </c>
      <c r="B35" s="273" t="n">
        <v>43461</v>
      </c>
      <c r="C35" s="169"/>
      <c r="D35" s="242" t="n">
        <f aca="false">D34+F35</f>
        <v>2577.75032258064</v>
      </c>
      <c r="E35" s="169" t="n">
        <f aca="false">E34+G35</f>
        <v>8510.33032258064</v>
      </c>
      <c r="F35" s="146" t="n">
        <f aca="false">G35-I35</f>
        <v>308.907419354839</v>
      </c>
      <c r="G35" s="170" t="n">
        <f aca="false">$C$6/$G$1</f>
        <v>315.197419354839</v>
      </c>
      <c r="H35" s="171" t="n">
        <f aca="false">H34+I35</f>
        <v>5932.58</v>
      </c>
      <c r="I35" s="149" t="n">
        <f aca="false">SUM(J35:AA35)</f>
        <v>6.29</v>
      </c>
      <c r="J35" s="150"/>
      <c r="K35" s="117"/>
      <c r="L35" s="118" t="n">
        <f aca="false">1.99+4.3</f>
        <v>6.29</v>
      </c>
      <c r="M35" s="118"/>
      <c r="N35" s="152"/>
      <c r="O35" s="120"/>
      <c r="P35" s="121"/>
      <c r="Q35" s="122"/>
      <c r="R35" s="123"/>
      <c r="S35" s="153"/>
      <c r="T35" s="153"/>
      <c r="U35" s="123"/>
      <c r="V35" s="154"/>
      <c r="W35" s="240"/>
      <c r="X35" s="155"/>
      <c r="Y35" s="155"/>
      <c r="Z35" s="140"/>
      <c r="AA35" s="267"/>
      <c r="AB35" s="266"/>
    </row>
    <row r="36" s="156" customFormat="true" ht="15" hidden="false" customHeight="false" outlineLevel="0" collapsed="false">
      <c r="A36" s="141" t="n">
        <v>28</v>
      </c>
      <c r="B36" s="273" t="n">
        <v>43462</v>
      </c>
      <c r="C36" s="145"/>
      <c r="D36" s="242" t="n">
        <f aca="false">D35+F36</f>
        <v>2654.05774193548</v>
      </c>
      <c r="E36" s="145" t="n">
        <f aca="false">E35+G36</f>
        <v>8825.52774193548</v>
      </c>
      <c r="F36" s="146" t="n">
        <f aca="false">G36-I36</f>
        <v>76.3074193548387</v>
      </c>
      <c r="G36" s="147" t="n">
        <f aca="false">$C$6/$G$1</f>
        <v>315.197419354839</v>
      </c>
      <c r="H36" s="148" t="n">
        <f aca="false">H35+I36</f>
        <v>6171.47</v>
      </c>
      <c r="I36" s="149" t="n">
        <f aca="false">SUM(J36:AA36)</f>
        <v>238.89</v>
      </c>
      <c r="J36" s="201" t="n">
        <v>29.99</v>
      </c>
      <c r="K36" s="117" t="s">
        <v>97</v>
      </c>
      <c r="L36" s="118" t="n">
        <f aca="false">2.19+2.19+5.1+66.27-17.99</f>
        <v>57.76</v>
      </c>
      <c r="M36" s="118"/>
      <c r="N36" s="152" t="n">
        <f aca="false">61.65</f>
        <v>61.65</v>
      </c>
      <c r="O36" s="120"/>
      <c r="P36" s="121"/>
      <c r="Q36" s="122"/>
      <c r="R36" s="123"/>
      <c r="S36" s="153"/>
      <c r="T36" s="153"/>
      <c r="U36" s="123"/>
      <c r="V36" s="154"/>
      <c r="W36" s="240" t="n">
        <f aca="false">17.99</f>
        <v>17.99</v>
      </c>
      <c r="X36" s="155"/>
      <c r="Y36" s="155" t="n">
        <f aca="false">71.5</f>
        <v>71.5</v>
      </c>
      <c r="Z36" s="209"/>
      <c r="AA36" s="269"/>
      <c r="AB36" s="270" t="n">
        <f aca="false">189.9+59.99+70</f>
        <v>319.89</v>
      </c>
    </row>
    <row r="37" customFormat="false" ht="15" hidden="false" customHeight="false" outlineLevel="0" collapsed="false">
      <c r="A37" s="157" t="n">
        <v>29</v>
      </c>
      <c r="B37" s="272" t="n">
        <v>43463</v>
      </c>
      <c r="C37" s="159"/>
      <c r="D37" s="242" t="n">
        <f aca="false">D36+F37</f>
        <v>2398.31516129032</v>
      </c>
      <c r="E37" s="159" t="n">
        <f aca="false">E36+G37</f>
        <v>9140.72516129032</v>
      </c>
      <c r="F37" s="146" t="n">
        <f aca="false">G37-I37</f>
        <v>-255.742580645161</v>
      </c>
      <c r="G37" s="160" t="n">
        <f aca="false">$C$6/$G$1</f>
        <v>315.197419354839</v>
      </c>
      <c r="H37" s="161" t="n">
        <f aca="false">H36+I37</f>
        <v>6742.41</v>
      </c>
      <c r="I37" s="149" t="n">
        <f aca="false">SUM(J37:AA37)</f>
        <v>570.94</v>
      </c>
      <c r="J37" s="150"/>
      <c r="K37" s="117"/>
      <c r="L37" s="118"/>
      <c r="M37" s="118" t="n">
        <f aca="false">69+5.09+70+65.28</f>
        <v>209.37</v>
      </c>
      <c r="N37" s="152"/>
      <c r="O37" s="120"/>
      <c r="P37" s="121"/>
      <c r="Q37" s="122"/>
      <c r="R37" s="123"/>
      <c r="S37" s="153" t="n">
        <f aca="false">250.34</f>
        <v>250.34</v>
      </c>
      <c r="T37" s="153" t="n">
        <f aca="false">10</f>
        <v>10</v>
      </c>
      <c r="U37" s="123" t="n">
        <f aca="false">23.99+13.9</f>
        <v>37.89</v>
      </c>
      <c r="V37" s="154"/>
      <c r="W37" s="240"/>
      <c r="X37" s="155"/>
      <c r="Y37" s="155" t="n">
        <f aca="false">42.99+20.35</f>
        <v>63.34</v>
      </c>
      <c r="Z37" s="209"/>
      <c r="AA37" s="267"/>
      <c r="AB37" s="266"/>
    </row>
    <row r="38" customFormat="false" ht="15" hidden="false" customHeight="false" outlineLevel="0" collapsed="false">
      <c r="A38" s="162" t="n">
        <v>30</v>
      </c>
      <c r="B38" s="268" t="n">
        <v>43464</v>
      </c>
      <c r="C38" s="164"/>
      <c r="D38" s="242" t="n">
        <f aca="false">D37+F38</f>
        <v>2600.81258064516</v>
      </c>
      <c r="E38" s="164" t="n">
        <f aca="false">E37+G38</f>
        <v>9455.92258064516</v>
      </c>
      <c r="F38" s="146" t="n">
        <f aca="false">G38-I38</f>
        <v>202.497419354839</v>
      </c>
      <c r="G38" s="165" t="n">
        <f aca="false">$C$6/$G$1</f>
        <v>315.197419354839</v>
      </c>
      <c r="H38" s="166" t="n">
        <f aca="false">H37+I38</f>
        <v>6855.11</v>
      </c>
      <c r="I38" s="149" t="n">
        <f aca="false">SUM(J38:AA38)</f>
        <v>112.7</v>
      </c>
      <c r="J38" s="150"/>
      <c r="K38" s="117"/>
      <c r="L38" s="118"/>
      <c r="M38" s="118" t="n">
        <f aca="false">48+23.42+38.99</f>
        <v>110.41</v>
      </c>
      <c r="N38" s="152" t="n">
        <f aca="false">2.29</f>
        <v>2.29</v>
      </c>
      <c r="O38" s="120"/>
      <c r="P38" s="121"/>
      <c r="Q38" s="122"/>
      <c r="R38" s="123"/>
      <c r="S38" s="153"/>
      <c r="T38" s="153"/>
      <c r="U38" s="123"/>
      <c r="V38" s="154"/>
      <c r="W38" s="240"/>
      <c r="X38" s="155"/>
      <c r="Y38" s="155"/>
      <c r="Z38" s="209"/>
      <c r="AA38" s="267"/>
      <c r="AB38" s="266"/>
    </row>
    <row r="39" customFormat="false" ht="15" hidden="false" customHeight="false" outlineLevel="0" collapsed="false">
      <c r="A39" s="141" t="n">
        <v>31</v>
      </c>
      <c r="B39" s="268" t="n">
        <v>43465</v>
      </c>
      <c r="D39" s="242" t="n">
        <f aca="false">D38+F39</f>
        <v>2382.09</v>
      </c>
      <c r="E39" s="164" t="n">
        <f aca="false">E38+G39</f>
        <v>9771.12</v>
      </c>
      <c r="F39" s="146" t="n">
        <f aca="false">G39-I39</f>
        <v>-218.722580645161</v>
      </c>
      <c r="G39" s="165" t="n">
        <f aca="false">$C$6/$G$1</f>
        <v>315.197419354839</v>
      </c>
      <c r="H39" s="166" t="n">
        <f aca="false">H38+I39</f>
        <v>7389.03</v>
      </c>
      <c r="I39" s="149" t="n">
        <f aca="false">SUM(J39:AA39)</f>
        <v>533.92</v>
      </c>
      <c r="J39" s="150"/>
      <c r="K39" s="117"/>
      <c r="L39" s="118"/>
      <c r="M39" s="118"/>
      <c r="N39" s="152"/>
      <c r="O39" s="120" t="n">
        <f aca="false">490.93</f>
        <v>490.93</v>
      </c>
      <c r="P39" s="121"/>
      <c r="Q39" s="122"/>
      <c r="R39" s="123"/>
      <c r="S39" s="153"/>
      <c r="T39" s="153"/>
      <c r="U39" s="123"/>
      <c r="V39" s="154"/>
      <c r="W39" s="240"/>
      <c r="X39" s="155"/>
      <c r="Y39" s="155" t="n">
        <f aca="false">42.99</f>
        <v>42.99</v>
      </c>
      <c r="Z39" s="209"/>
      <c r="AA39" s="267"/>
      <c r="AB39" s="266"/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9.92"/>
    <col collapsed="false" customWidth="true" hidden="false" outlineLevel="0" max="4" min="4" style="65" width="8.03"/>
    <col collapsed="false" customWidth="true" hidden="false" outlineLevel="0" max="5" min="5" style="65" width="10.7"/>
    <col collapsed="false" customWidth="true" hidden="false" outlineLevel="0" max="6" min="6" style="65" width="11.28"/>
    <col collapsed="false" customWidth="true" hidden="false" outlineLevel="0" max="7" min="7" style="65" width="12.6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96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8.67"/>
    <col collapsed="false" customWidth="true" hidden="false" outlineLevel="0" max="18" min="18" style="65" width="10.72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31</v>
      </c>
    </row>
    <row r="2" customFormat="false" ht="13.8" hidden="false" customHeight="false" outlineLevel="0" collapsed="false">
      <c r="B2" s="71" t="s">
        <v>50</v>
      </c>
      <c r="C2" s="72" t="n">
        <v>4661.64</v>
      </c>
      <c r="D2" s="72" t="n">
        <v>3057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/>
      <c r="D4" s="72"/>
      <c r="E4" s="72"/>
      <c r="F4" s="181" t="n">
        <v>1000</v>
      </c>
      <c r="G4" s="182" t="n">
        <f aca="false">C6-F4</f>
        <v>8218.64</v>
      </c>
      <c r="H4" s="183" t="n">
        <f aca="false">G4-H6</f>
        <v>-17845.78</v>
      </c>
      <c r="I4" s="217" t="n">
        <f aca="false">C6-H6</f>
        <v>-16845.78</v>
      </c>
    </row>
    <row r="5" customFormat="false" ht="16.4" hidden="false" customHeight="false" outlineLevel="0" collapsed="false">
      <c r="B5" s="83" t="s">
        <v>53</v>
      </c>
      <c r="C5" s="84"/>
      <c r="D5" s="84"/>
      <c r="E5" s="84" t="n">
        <f aca="false">500+1000</f>
        <v>1500</v>
      </c>
      <c r="J5" s="218" t="n">
        <f aca="false">J7/H6</f>
        <v>0.0338235034579707</v>
      </c>
      <c r="K5" s="218"/>
      <c r="L5" s="219" t="n">
        <f aca="false">(L7+M7)/H6</f>
        <v>0.0411549537645572</v>
      </c>
      <c r="M5" s="219"/>
      <c r="N5" s="220" t="n">
        <f aca="false">N7/H6</f>
        <v>0.00548065140141235</v>
      </c>
      <c r="O5" s="221" t="n">
        <f aca="false">O7/H6</f>
        <v>0.00328033388043931</v>
      </c>
      <c r="P5" s="222" t="n">
        <f aca="false">P7/H6</f>
        <v>0.0541926503639828</v>
      </c>
      <c r="Q5" s="223" t="n">
        <f aca="false">Q7/H6</f>
        <v>0.316225720733475</v>
      </c>
      <c r="R5" s="224" t="n">
        <f aca="false">R7/H6</f>
        <v>0.413328591236636</v>
      </c>
      <c r="S5" s="225" t="n">
        <f aca="false">(S7+T7)/H6</f>
        <v>0.0649114770250019</v>
      </c>
      <c r="T5" s="225"/>
      <c r="U5" s="226" t="n">
        <f aca="false">(U7+V7)/H6</f>
        <v>0.0173539253894773</v>
      </c>
      <c r="V5" s="226"/>
      <c r="W5" s="227" t="n">
        <f aca="false">W7/H6</f>
        <v>0.00963497365373947</v>
      </c>
      <c r="X5" s="228" t="n">
        <f aca="false">(X7+Y7)/H6</f>
        <v>0.000631512230082235</v>
      </c>
      <c r="Y5" s="228"/>
      <c r="Z5" s="229" t="n">
        <f aca="false">Z7/H6</f>
        <v>0.0131251721695706</v>
      </c>
      <c r="AA5" s="263" t="n">
        <f aca="false">AA7/H6</f>
        <v>0</v>
      </c>
      <c r="AB5" s="264" t="n">
        <f aca="false">AB7/H6</f>
        <v>0</v>
      </c>
      <c r="AC5" s="310" t="n">
        <f aca="false">AC7/H6</f>
        <v>0.0268565346936552</v>
      </c>
    </row>
    <row r="6" customFormat="false" ht="57" hidden="false" customHeight="true" outlineLevel="0" collapsed="false">
      <c r="B6" s="98" t="s">
        <v>56</v>
      </c>
      <c r="C6" s="311" t="n">
        <f aca="false">SUM(C2:C5)+SUM(D2:D5)+SUM(E2:E5)</f>
        <v>9218.64</v>
      </c>
      <c r="D6" s="311"/>
      <c r="E6" s="311"/>
      <c r="G6" s="312" t="s">
        <v>57</v>
      </c>
      <c r="H6" s="103" t="n">
        <f aca="false">SUM(J7:AC7)</f>
        <v>26064.42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313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314" t="s">
        <v>99</v>
      </c>
      <c r="AB6" s="315" t="s">
        <v>18</v>
      </c>
      <c r="AC6" s="314" t="s">
        <v>118</v>
      </c>
    </row>
    <row r="7" customFormat="false" ht="13.8" hidden="false" customHeight="false" outlineLevel="0" collapsed="false">
      <c r="B7" s="116"/>
      <c r="J7" s="117" t="n">
        <f aca="false">SUM(J9:J39)</f>
        <v>881.59</v>
      </c>
      <c r="K7" s="117" t="n">
        <f aca="false">SUM(K9:K39)</f>
        <v>0</v>
      </c>
      <c r="L7" s="117" t="n">
        <f aca="false">SUM(L9:L39)</f>
        <v>872.92</v>
      </c>
      <c r="M7" s="117" t="n">
        <f aca="false">SUM(M9:M39)</f>
        <v>199.76</v>
      </c>
      <c r="N7" s="117" t="n">
        <f aca="false">SUM(N9:N39)</f>
        <v>142.85</v>
      </c>
      <c r="O7" s="117" t="n">
        <f aca="false">SUM(O9:O39)</f>
        <v>85.5</v>
      </c>
      <c r="P7" s="121" t="n">
        <f aca="false">SUM(P9:P39)</f>
        <v>1412.5</v>
      </c>
      <c r="Q7" s="122" t="n">
        <f aca="false">SUM(Q9:Q39)</f>
        <v>8242.24</v>
      </c>
      <c r="R7" s="117" t="n">
        <f aca="false">SUM(R9:R39)</f>
        <v>10773.17</v>
      </c>
      <c r="S7" s="117" t="n">
        <f aca="false">SUM(S9:S39)</f>
        <v>1041.07</v>
      </c>
      <c r="T7" s="117" t="n">
        <f aca="false">SUM(T9:T39)</f>
        <v>650.81</v>
      </c>
      <c r="U7" s="117" t="n">
        <f aca="false">SUM(U9:U39)</f>
        <v>306.32</v>
      </c>
      <c r="V7" s="117" t="n">
        <f aca="false">SUM(V9:V39)</f>
        <v>146</v>
      </c>
      <c r="W7" s="117" t="n">
        <f aca="false">SUM(W9:W39)</f>
        <v>251.13</v>
      </c>
      <c r="X7" s="117" t="n">
        <f aca="false">SUM(X9:X39)</f>
        <v>16.46</v>
      </c>
      <c r="Y7" s="117" t="n">
        <f aca="false">SUM(Y9:Y39)</f>
        <v>0</v>
      </c>
      <c r="Z7" s="117" t="n">
        <f aca="false">SUM(Z9:Z39)</f>
        <v>342.1</v>
      </c>
      <c r="AA7" s="117" t="n">
        <f aca="false">SUM(AA9:AA39)</f>
        <v>0</v>
      </c>
      <c r="AB7" s="117" t="n">
        <f aca="false">SUM(AB9:AB39)</f>
        <v>0</v>
      </c>
      <c r="AC7" s="117" t="n">
        <f aca="false">SUM(AC9:AC39)</f>
        <v>700</v>
      </c>
    </row>
    <row r="8" customFormat="false" ht="46.25" hidden="false" customHeight="false" outlineLevel="0" collapsed="false">
      <c r="A8" s="126" t="s">
        <v>61</v>
      </c>
      <c r="B8" s="127" t="s">
        <v>62</v>
      </c>
      <c r="C8" s="128" t="s">
        <v>103</v>
      </c>
      <c r="D8" s="129"/>
      <c r="E8" s="128"/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316"/>
      <c r="AB8" s="317"/>
      <c r="AC8" s="318"/>
    </row>
    <row r="9" s="156" customFormat="true" ht="15" hidden="false" customHeight="false" outlineLevel="0" collapsed="false">
      <c r="A9" s="141" t="n">
        <v>1</v>
      </c>
      <c r="B9" s="268" t="n">
        <v>43466</v>
      </c>
      <c r="C9" s="145"/>
      <c r="D9" s="144"/>
      <c r="E9" s="145"/>
      <c r="F9" s="146" t="n">
        <f aca="false">G9-I9</f>
        <v>247.375483870968</v>
      </c>
      <c r="G9" s="147" t="n">
        <f aca="false">$C$6/$G$1</f>
        <v>297.375483870968</v>
      </c>
      <c r="H9" s="148" t="n">
        <f aca="false">I9</f>
        <v>50</v>
      </c>
      <c r="I9" s="149" t="n">
        <f aca="false">SUM(J9:AA9)</f>
        <v>50</v>
      </c>
      <c r="J9" s="150"/>
      <c r="K9" s="117"/>
      <c r="L9" s="118"/>
      <c r="M9" s="118"/>
      <c r="N9" s="152"/>
      <c r="O9" s="120" t="n">
        <f aca="false">50</f>
        <v>50</v>
      </c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/>
      <c r="AA9" s="316"/>
      <c r="AB9" s="317"/>
      <c r="AC9" s="318"/>
    </row>
    <row r="10" customFormat="false" ht="15" hidden="false" customHeight="false" outlineLevel="0" collapsed="false">
      <c r="A10" s="157" t="n">
        <v>2</v>
      </c>
      <c r="B10" s="273" t="n">
        <v>43467</v>
      </c>
      <c r="C10" s="159"/>
      <c r="D10" s="242"/>
      <c r="E10" s="159"/>
      <c r="F10" s="146" t="n">
        <f aca="false">G10-I10</f>
        <v>271.375483870968</v>
      </c>
      <c r="G10" s="160" t="n">
        <f aca="false">$C$6/$G$1</f>
        <v>297.375483870968</v>
      </c>
      <c r="H10" s="161" t="n">
        <f aca="false">H9+I10</f>
        <v>76</v>
      </c>
      <c r="I10" s="149" t="n">
        <f aca="false">SUM(J10:AA10)</f>
        <v>26</v>
      </c>
      <c r="J10" s="150"/>
      <c r="K10" s="135"/>
      <c r="L10" s="118"/>
      <c r="M10" s="118" t="n">
        <f aca="false">6</f>
        <v>6</v>
      </c>
      <c r="N10" s="152"/>
      <c r="O10" s="120"/>
      <c r="P10" s="121"/>
      <c r="Q10" s="122"/>
      <c r="R10" s="123"/>
      <c r="S10" s="153" t="n">
        <f aca="false">20</f>
        <v>20</v>
      </c>
      <c r="T10" s="153"/>
      <c r="U10" s="123"/>
      <c r="V10" s="154"/>
      <c r="W10" s="240"/>
      <c r="X10" s="155"/>
      <c r="Y10" s="155"/>
      <c r="Z10" s="140"/>
      <c r="AA10" s="316"/>
      <c r="AB10" s="317"/>
      <c r="AC10" s="318"/>
    </row>
    <row r="11" customFormat="false" ht="15" hidden="false" customHeight="false" outlineLevel="0" collapsed="false">
      <c r="A11" s="167" t="n">
        <v>3</v>
      </c>
      <c r="B11" s="273" t="n">
        <v>43468</v>
      </c>
      <c r="C11" s="169"/>
      <c r="D11" s="242"/>
      <c r="E11" s="169"/>
      <c r="F11" s="146" t="n">
        <f aca="false">G11-I11</f>
        <v>152.815483870968</v>
      </c>
      <c r="G11" s="170" t="n">
        <f aca="false">$C$6/$G$1</f>
        <v>297.375483870968</v>
      </c>
      <c r="H11" s="171" t="n">
        <f aca="false">H10+I11</f>
        <v>220.56</v>
      </c>
      <c r="I11" s="149" t="n">
        <f aca="false">SUM(J11:AA11)</f>
        <v>144.56</v>
      </c>
      <c r="J11" s="150"/>
      <c r="K11" s="117"/>
      <c r="L11" s="202" t="n">
        <f aca="false">119.46+5.1</f>
        <v>124.56</v>
      </c>
      <c r="M11" s="202"/>
      <c r="N11" s="203"/>
      <c r="O11" s="204"/>
      <c r="P11" s="205"/>
      <c r="Q11" s="206"/>
      <c r="R11" s="178"/>
      <c r="S11" s="173"/>
      <c r="T11" s="173"/>
      <c r="U11" s="178"/>
      <c r="V11" s="179"/>
      <c r="W11" s="46"/>
      <c r="X11" s="155"/>
      <c r="Y11" s="155"/>
      <c r="Z11" s="140" t="n">
        <f aca="false">20</f>
        <v>20</v>
      </c>
      <c r="AA11" s="316"/>
      <c r="AB11" s="317"/>
      <c r="AC11" s="318"/>
    </row>
    <row r="12" customFormat="false" ht="15" hidden="false" customHeight="false" outlineLevel="0" collapsed="false">
      <c r="A12" s="141" t="n">
        <v>4</v>
      </c>
      <c r="B12" s="273" t="n">
        <v>43469</v>
      </c>
      <c r="C12" s="145"/>
      <c r="D12" s="242"/>
      <c r="E12" s="145"/>
      <c r="F12" s="146" t="n">
        <f aca="false">G12-I12</f>
        <v>172.535483870968</v>
      </c>
      <c r="G12" s="147" t="n">
        <f aca="false">$C$6/$G$1</f>
        <v>297.375483870968</v>
      </c>
      <c r="H12" s="148" t="n">
        <f aca="false">H11+I12</f>
        <v>345.4</v>
      </c>
      <c r="I12" s="149" t="n">
        <f aca="false">SUM(J12:AA12)</f>
        <v>124.84</v>
      </c>
      <c r="J12" s="150"/>
      <c r="K12" s="117"/>
      <c r="L12" s="244" t="n">
        <f aca="false">124.84-22.12-18.14-6.14</f>
        <v>78.44</v>
      </c>
      <c r="M12" s="244"/>
      <c r="N12" s="245" t="n">
        <f aca="false">18.14</f>
        <v>18.14</v>
      </c>
      <c r="O12" s="246"/>
      <c r="P12" s="247"/>
      <c r="Q12" s="248"/>
      <c r="R12" s="249"/>
      <c r="S12" s="250"/>
      <c r="T12" s="250" t="n">
        <f aca="false">22.12+6.14</f>
        <v>28.26</v>
      </c>
      <c r="U12" s="249"/>
      <c r="V12" s="251"/>
      <c r="W12" s="252"/>
      <c r="X12" s="155"/>
      <c r="Y12" s="155"/>
      <c r="Z12" s="140"/>
      <c r="AA12" s="316"/>
      <c r="AB12" s="317"/>
      <c r="AC12" s="318" t="n">
        <v>500</v>
      </c>
    </row>
    <row r="13" customFormat="false" ht="15" hidden="false" customHeight="false" outlineLevel="0" collapsed="false">
      <c r="A13" s="157" t="n">
        <v>5</v>
      </c>
      <c r="B13" s="272" t="n">
        <v>43470</v>
      </c>
      <c r="C13" s="159"/>
      <c r="D13" s="242"/>
      <c r="E13" s="159"/>
      <c r="F13" s="146" t="n">
        <f aca="false">G13-I13</f>
        <v>109.325483870968</v>
      </c>
      <c r="G13" s="160" t="n">
        <f aca="false">$C$6/$G$1</f>
        <v>297.375483870968</v>
      </c>
      <c r="H13" s="161" t="n">
        <f aca="false">H12+I13</f>
        <v>533.45</v>
      </c>
      <c r="I13" s="149" t="n">
        <f aca="false">SUM(J13:AA13)</f>
        <v>188.05</v>
      </c>
      <c r="J13" s="150"/>
      <c r="K13" s="117"/>
      <c r="L13" s="254" t="n">
        <f aca="false">5.1</f>
        <v>5.1</v>
      </c>
      <c r="M13" s="254"/>
      <c r="N13" s="255"/>
      <c r="O13" s="256"/>
      <c r="P13" s="257"/>
      <c r="Q13" s="258"/>
      <c r="R13" s="259"/>
      <c r="S13" s="176"/>
      <c r="T13" s="176" t="n">
        <f aca="false">42.97+139.98</f>
        <v>182.95</v>
      </c>
      <c r="U13" s="259"/>
      <c r="V13" s="260"/>
      <c r="W13" s="261"/>
      <c r="X13" s="155"/>
      <c r="Y13" s="155"/>
      <c r="Z13" s="140"/>
      <c r="AA13" s="316"/>
      <c r="AB13" s="317"/>
      <c r="AC13" s="318"/>
    </row>
    <row r="14" customFormat="false" ht="15" hidden="false" customHeight="false" outlineLevel="0" collapsed="false">
      <c r="A14" s="167" t="n">
        <v>6</v>
      </c>
      <c r="B14" s="268" t="n">
        <v>43471</v>
      </c>
      <c r="C14" s="159"/>
      <c r="D14" s="242"/>
      <c r="E14" s="169"/>
      <c r="F14" s="146" t="n">
        <f aca="false">G14-I14</f>
        <v>296.375483870968</v>
      </c>
      <c r="G14" s="170" t="n">
        <f aca="false">$C$6/$G$1</f>
        <v>297.375483870968</v>
      </c>
      <c r="H14" s="171" t="n">
        <f aca="false">H13+I14</f>
        <v>534.45</v>
      </c>
      <c r="I14" s="149" t="n">
        <f aca="false">SUM(J14:AA14)</f>
        <v>1</v>
      </c>
      <c r="J14" s="150"/>
      <c r="K14" s="135"/>
      <c r="L14" s="118"/>
      <c r="M14" s="118"/>
      <c r="N14" s="152"/>
      <c r="O14" s="120"/>
      <c r="P14" s="121"/>
      <c r="Q14" s="122"/>
      <c r="R14" s="123"/>
      <c r="S14" s="153"/>
      <c r="T14" s="153"/>
      <c r="U14" s="123"/>
      <c r="V14" s="154" t="n">
        <f aca="false">1</f>
        <v>1</v>
      </c>
      <c r="W14" s="240"/>
      <c r="X14" s="155"/>
      <c r="Y14" s="155"/>
      <c r="Z14" s="140"/>
      <c r="AA14" s="316"/>
      <c r="AB14" s="317"/>
      <c r="AC14" s="318"/>
    </row>
    <row r="15" s="156" customFormat="true" ht="16.5" hidden="false" customHeight="true" outlineLevel="0" collapsed="false">
      <c r="A15" s="141" t="n">
        <v>7</v>
      </c>
      <c r="B15" s="273" t="n">
        <v>43472</v>
      </c>
      <c r="C15" s="306"/>
      <c r="D15" s="242"/>
      <c r="E15" s="145"/>
      <c r="F15" s="146" t="n">
        <f aca="false">G15-I15</f>
        <v>35.8854838709677</v>
      </c>
      <c r="G15" s="147" t="n">
        <f aca="false">$C$6/$G$1</f>
        <v>297.375483870968</v>
      </c>
      <c r="H15" s="148" t="n">
        <f aca="false">H14+I15</f>
        <v>795.94</v>
      </c>
      <c r="I15" s="149" t="n">
        <f aca="false">SUM(J15:AA15)</f>
        <v>261.49</v>
      </c>
      <c r="J15" s="150" t="n">
        <v>67.29</v>
      </c>
      <c r="K15" s="117" t="s">
        <v>108</v>
      </c>
      <c r="L15" s="118" t="n">
        <f aca="false">5.1+6</f>
        <v>11.1</v>
      </c>
      <c r="M15" s="118" t="n">
        <f aca="false">13</f>
        <v>13</v>
      </c>
      <c r="N15" s="152"/>
      <c r="O15" s="120"/>
      <c r="P15" s="121"/>
      <c r="Q15" s="122"/>
      <c r="R15" s="123"/>
      <c r="S15" s="153"/>
      <c r="T15" s="153"/>
      <c r="U15" s="123"/>
      <c r="V15" s="154"/>
      <c r="W15" s="240" t="n">
        <f aca="false">52</f>
        <v>52</v>
      </c>
      <c r="X15" s="155"/>
      <c r="Y15" s="155"/>
      <c r="Z15" s="140" t="n">
        <f aca="false">114.9+3.2</f>
        <v>118.1</v>
      </c>
      <c r="AA15" s="316"/>
      <c r="AB15" s="317"/>
      <c r="AC15" s="318"/>
    </row>
    <row r="16" customFormat="false" ht="15" hidden="false" customHeight="false" outlineLevel="0" collapsed="false">
      <c r="A16" s="157" t="n">
        <v>8</v>
      </c>
      <c r="B16" s="273" t="n">
        <v>43473</v>
      </c>
      <c r="C16" s="159"/>
      <c r="D16" s="242"/>
      <c r="E16" s="159"/>
      <c r="F16" s="146" t="n">
        <f aca="false">G16-I16</f>
        <v>-365.724516129032</v>
      </c>
      <c r="G16" s="160" t="n">
        <f aca="false">$C$6/$G$1</f>
        <v>297.375483870968</v>
      </c>
      <c r="H16" s="161" t="n">
        <f aca="false">H15+I16</f>
        <v>1459.04</v>
      </c>
      <c r="I16" s="149" t="n">
        <f aca="false">SUM(J16:AA16)</f>
        <v>663.1</v>
      </c>
      <c r="J16" s="150"/>
      <c r="K16" s="135"/>
      <c r="L16" s="118" t="n">
        <f aca="false">51.12-17.99</f>
        <v>33.13</v>
      </c>
      <c r="M16" s="118" t="n">
        <f aca="false">9.9</f>
        <v>9.9</v>
      </c>
      <c r="N16" s="152" t="n">
        <f aca="false">17.99</f>
        <v>17.99</v>
      </c>
      <c r="O16" s="120"/>
      <c r="P16" s="121" t="n">
        <f aca="false">33.5</f>
        <v>33.5</v>
      </c>
      <c r="Q16" s="122"/>
      <c r="R16" s="123"/>
      <c r="S16" s="153" t="n">
        <f aca="false">260.25</f>
        <v>260.25</v>
      </c>
      <c r="T16" s="153" t="n">
        <f aca="false">304.83</f>
        <v>304.83</v>
      </c>
      <c r="U16" s="123"/>
      <c r="V16" s="154" t="n">
        <f aca="false">3.5</f>
        <v>3.5</v>
      </c>
      <c r="W16" s="240"/>
      <c r="X16" s="155"/>
      <c r="Y16" s="155"/>
      <c r="Z16" s="140"/>
      <c r="AA16" s="316"/>
      <c r="AB16" s="317"/>
      <c r="AC16" s="318"/>
    </row>
    <row r="17" customFormat="false" ht="15" hidden="false" customHeight="false" outlineLevel="0" collapsed="false">
      <c r="A17" s="162" t="n">
        <v>9</v>
      </c>
      <c r="B17" s="273" t="n">
        <v>43474</v>
      </c>
      <c r="C17" s="164"/>
      <c r="D17" s="242"/>
      <c r="E17" s="164"/>
      <c r="F17" s="146" t="n">
        <f aca="false">G17-I17</f>
        <v>-326.764516129032</v>
      </c>
      <c r="G17" s="165" t="n">
        <f aca="false">$C$6/$G$1</f>
        <v>297.375483870968</v>
      </c>
      <c r="H17" s="166" t="n">
        <f aca="false">H16+I17</f>
        <v>2083.18</v>
      </c>
      <c r="I17" s="149" t="n">
        <f aca="false">SUM(J17:AA17)</f>
        <v>624.14</v>
      </c>
      <c r="J17" s="150" t="n">
        <v>582.92</v>
      </c>
      <c r="K17" s="135" t="s">
        <v>87</v>
      </c>
      <c r="L17" s="118" t="n">
        <f aca="false">41.22</f>
        <v>41.22</v>
      </c>
      <c r="M17" s="118"/>
      <c r="N17" s="152"/>
      <c r="O17" s="120"/>
      <c r="P17" s="121"/>
      <c r="Q17" s="122"/>
      <c r="R17" s="123"/>
      <c r="S17" s="153"/>
      <c r="T17" s="153"/>
      <c r="U17" s="123"/>
      <c r="V17" s="154"/>
      <c r="W17" s="240"/>
      <c r="X17" s="155"/>
      <c r="Y17" s="155"/>
      <c r="Z17" s="140"/>
      <c r="AA17" s="316"/>
      <c r="AB17" s="317"/>
      <c r="AC17" s="318"/>
    </row>
    <row r="18" customFormat="false" ht="15" hidden="false" customHeight="false" outlineLevel="0" collapsed="false">
      <c r="A18" s="167" t="n">
        <v>10</v>
      </c>
      <c r="B18" s="273" t="n">
        <v>43475</v>
      </c>
      <c r="C18" s="169"/>
      <c r="D18" s="242"/>
      <c r="E18" s="169"/>
      <c r="F18" s="146" t="n">
        <f aca="false">G18-I18</f>
        <v>215.975483870968</v>
      </c>
      <c r="G18" s="170" t="n">
        <f aca="false">$C$6/$G$1</f>
        <v>297.375483870968</v>
      </c>
      <c r="H18" s="171" t="n">
        <f aca="false">H17+I18</f>
        <v>2164.58</v>
      </c>
      <c r="I18" s="149" t="n">
        <f aca="false">SUM(J18:AA18)</f>
        <v>81.4</v>
      </c>
      <c r="J18" s="150" t="n">
        <v>75</v>
      </c>
      <c r="K18" s="117" t="s">
        <v>92</v>
      </c>
      <c r="L18" s="202" t="n">
        <f aca="false">6.4</f>
        <v>6.4</v>
      </c>
      <c r="M18" s="202"/>
      <c r="N18" s="203"/>
      <c r="O18" s="204"/>
      <c r="P18" s="205"/>
      <c r="Q18" s="206"/>
      <c r="R18" s="178"/>
      <c r="S18" s="173"/>
      <c r="T18" s="173"/>
      <c r="U18" s="178"/>
      <c r="V18" s="179"/>
      <c r="W18" s="46"/>
      <c r="X18" s="155"/>
      <c r="Y18" s="155"/>
      <c r="Z18" s="140"/>
      <c r="AA18" s="316"/>
      <c r="AB18" s="317"/>
      <c r="AC18" s="318"/>
    </row>
    <row r="19" customFormat="false" ht="15" hidden="false" customHeight="false" outlineLevel="0" collapsed="false">
      <c r="A19" s="141" t="n">
        <v>11</v>
      </c>
      <c r="B19" s="273" t="n">
        <v>43476</v>
      </c>
      <c r="C19" s="145"/>
      <c r="D19" s="242"/>
      <c r="E19" s="145"/>
      <c r="F19" s="146" t="n">
        <f aca="false">G19-I19</f>
        <v>149.575483870968</v>
      </c>
      <c r="G19" s="147" t="n">
        <f aca="false">$C$6/$G$1</f>
        <v>297.375483870968</v>
      </c>
      <c r="H19" s="148" t="n">
        <f aca="false">H18+I19</f>
        <v>2312.38</v>
      </c>
      <c r="I19" s="149" t="n">
        <f aca="false">SUM(J19:AA19)</f>
        <v>147.8</v>
      </c>
      <c r="J19" s="135"/>
      <c r="K19" s="135"/>
      <c r="L19" s="244" t="n">
        <f aca="false">2.29</f>
        <v>2.29</v>
      </c>
      <c r="M19" s="244" t="n">
        <f aca="false">4.99+51+18.52+14+15</f>
        <v>103.51</v>
      </c>
      <c r="N19" s="245"/>
      <c r="O19" s="246"/>
      <c r="P19" s="262"/>
      <c r="Q19" s="248"/>
      <c r="R19" s="249"/>
      <c r="S19" s="250"/>
      <c r="T19" s="250" t="n">
        <f aca="false">12+10+10</f>
        <v>32</v>
      </c>
      <c r="U19" s="249"/>
      <c r="V19" s="251"/>
      <c r="W19" s="252" t="n">
        <f aca="false">10</f>
        <v>10</v>
      </c>
      <c r="X19" s="155"/>
      <c r="Y19" s="155"/>
      <c r="Z19" s="140"/>
      <c r="AA19" s="316"/>
      <c r="AB19" s="317"/>
      <c r="AC19" s="318"/>
    </row>
    <row r="20" customFormat="false" ht="15" hidden="false" customHeight="false" outlineLevel="0" collapsed="false">
      <c r="A20" s="157" t="n">
        <v>12</v>
      </c>
      <c r="B20" s="272" t="n">
        <v>43477</v>
      </c>
      <c r="C20" s="159"/>
      <c r="D20" s="242"/>
      <c r="E20" s="159"/>
      <c r="F20" s="146" t="n">
        <f aca="false">G20-I20</f>
        <v>157.045483870968</v>
      </c>
      <c r="G20" s="160" t="n">
        <f aca="false">$C$6/$G$1</f>
        <v>297.375483870968</v>
      </c>
      <c r="H20" s="161" t="n">
        <f aca="false">H19+I20</f>
        <v>2452.71</v>
      </c>
      <c r="I20" s="149" t="n">
        <f aca="false">SUM(J20:AA20)</f>
        <v>140.33</v>
      </c>
      <c r="J20" s="150"/>
      <c r="K20" s="117"/>
      <c r="L20" s="254" t="n">
        <f aca="false">57.69+6.68</f>
        <v>64.37</v>
      </c>
      <c r="M20" s="254"/>
      <c r="N20" s="255"/>
      <c r="O20" s="256"/>
      <c r="P20" s="257"/>
      <c r="Q20" s="258"/>
      <c r="R20" s="259"/>
      <c r="S20" s="176"/>
      <c r="T20" s="176"/>
      <c r="U20" s="259" t="n">
        <f aca="false">59.5</f>
        <v>59.5</v>
      </c>
      <c r="V20" s="260"/>
      <c r="W20" s="261"/>
      <c r="X20" s="155" t="n">
        <f aca="false">16.46</f>
        <v>16.46</v>
      </c>
      <c r="Y20" s="155"/>
      <c r="Z20" s="140"/>
      <c r="AA20" s="316"/>
      <c r="AB20" s="317"/>
      <c r="AC20" s="318"/>
    </row>
    <row r="21" customFormat="false" ht="15" hidden="false" customHeight="false" outlineLevel="0" collapsed="false">
      <c r="A21" s="167" t="n">
        <v>13</v>
      </c>
      <c r="B21" s="268" t="n">
        <v>43478</v>
      </c>
      <c r="C21" s="169"/>
      <c r="D21" s="242"/>
      <c r="E21" s="169"/>
      <c r="F21" s="146" t="n">
        <f aca="false">G21-I21</f>
        <v>101.395483870968</v>
      </c>
      <c r="G21" s="170" t="n">
        <f aca="false">$C$6/$G$1</f>
        <v>297.375483870968</v>
      </c>
      <c r="H21" s="171" t="n">
        <f aca="false">H20+I21</f>
        <v>2648.69</v>
      </c>
      <c r="I21" s="149" t="n">
        <f aca="false">SUM(J21:AA21)</f>
        <v>195.98</v>
      </c>
      <c r="J21" s="150"/>
      <c r="K21" s="135"/>
      <c r="L21" s="118"/>
      <c r="M21" s="118" t="n">
        <f aca="false">7.9</f>
        <v>7.9</v>
      </c>
      <c r="N21" s="152"/>
      <c r="O21" s="120"/>
      <c r="P21" s="121"/>
      <c r="Q21" s="122"/>
      <c r="R21" s="123"/>
      <c r="S21" s="153" t="n">
        <f aca="false">100.02+88.06</f>
        <v>188.08</v>
      </c>
      <c r="T21" s="153"/>
      <c r="U21" s="123"/>
      <c r="V21" s="154"/>
      <c r="W21" s="240"/>
      <c r="X21" s="155"/>
      <c r="Y21" s="155"/>
      <c r="Z21" s="140"/>
      <c r="AA21" s="316"/>
      <c r="AB21" s="317"/>
      <c r="AC21" s="318"/>
    </row>
    <row r="22" s="156" customFormat="true" ht="15" hidden="false" customHeight="false" outlineLevel="0" collapsed="false">
      <c r="A22" s="141" t="n">
        <v>14</v>
      </c>
      <c r="B22" s="273" t="n">
        <v>43479</v>
      </c>
      <c r="C22" s="145"/>
      <c r="D22" s="242"/>
      <c r="E22" s="145"/>
      <c r="F22" s="146" t="n">
        <f aca="false">G22-I22</f>
        <v>68.8254838709677</v>
      </c>
      <c r="G22" s="147" t="n">
        <f aca="false">$C$6/$G$1</f>
        <v>297.375483870968</v>
      </c>
      <c r="H22" s="148" t="n">
        <f aca="false">H21+I22</f>
        <v>2877.24</v>
      </c>
      <c r="I22" s="149" t="n">
        <f aca="false">SUM(J22:AA22)</f>
        <v>228.55</v>
      </c>
      <c r="J22" s="150" t="n">
        <f aca="false">113.39</f>
        <v>113.39</v>
      </c>
      <c r="K22" s="135" t="s">
        <v>119</v>
      </c>
      <c r="L22" s="118" t="n">
        <f aca="false">4.58+38.5+3</f>
        <v>46.08</v>
      </c>
      <c r="M22" s="118" t="n">
        <f aca="false">25</f>
        <v>25</v>
      </c>
      <c r="N22" s="152" t="n">
        <f aca="false">44.08</f>
        <v>44.08</v>
      </c>
      <c r="O22" s="120"/>
      <c r="P22" s="121"/>
      <c r="Q22" s="122"/>
      <c r="R22" s="123"/>
      <c r="S22" s="153"/>
      <c r="T22" s="153"/>
      <c r="U22" s="123"/>
      <c r="V22" s="154"/>
      <c r="W22" s="240"/>
      <c r="X22" s="155"/>
      <c r="Y22" s="155"/>
      <c r="Z22" s="140"/>
      <c r="AA22" s="316"/>
      <c r="AB22" s="317"/>
      <c r="AC22" s="318"/>
    </row>
    <row r="23" customFormat="false" ht="15" hidden="false" customHeight="false" outlineLevel="0" collapsed="false">
      <c r="A23" s="157" t="n">
        <v>15</v>
      </c>
      <c r="B23" s="273" t="n">
        <v>43480</v>
      </c>
      <c r="C23" s="159"/>
      <c r="D23" s="242"/>
      <c r="E23" s="159"/>
      <c r="F23" s="146" t="n">
        <f aca="false">G23-I23</f>
        <v>57.1954838709677</v>
      </c>
      <c r="G23" s="160" t="n">
        <f aca="false">$C$6/$G$1</f>
        <v>297.375483870968</v>
      </c>
      <c r="H23" s="161" t="n">
        <f aca="false">H22+I23</f>
        <v>3117.42</v>
      </c>
      <c r="I23" s="149" t="n">
        <f aca="false">SUM(J23:AA23)</f>
        <v>240.18</v>
      </c>
      <c r="J23" s="150"/>
      <c r="K23" s="117"/>
      <c r="L23" s="118" t="n">
        <f aca="false">6.36</f>
        <v>6.36</v>
      </c>
      <c r="M23" s="118"/>
      <c r="N23" s="152"/>
      <c r="O23" s="120"/>
      <c r="P23" s="121"/>
      <c r="Q23" s="122"/>
      <c r="R23" s="123"/>
      <c r="S23" s="153" t="n">
        <f aca="false">233.82</f>
        <v>233.82</v>
      </c>
      <c r="T23" s="153"/>
      <c r="U23" s="123"/>
      <c r="V23" s="154"/>
      <c r="W23" s="240"/>
      <c r="X23" s="155"/>
      <c r="Y23" s="155"/>
      <c r="Z23" s="140"/>
      <c r="AA23" s="316"/>
      <c r="AB23" s="317"/>
      <c r="AC23" s="318"/>
    </row>
    <row r="24" customFormat="false" ht="15" hidden="false" customHeight="false" outlineLevel="0" collapsed="false">
      <c r="A24" s="162" t="n">
        <v>16</v>
      </c>
      <c r="B24" s="273" t="n">
        <v>43481</v>
      </c>
      <c r="C24" s="164"/>
      <c r="D24" s="242"/>
      <c r="E24" s="164"/>
      <c r="F24" s="146" t="n">
        <f aca="false">G24-I24</f>
        <v>108.165483870968</v>
      </c>
      <c r="G24" s="165" t="n">
        <f aca="false">$C$6/$G$1</f>
        <v>297.375483870968</v>
      </c>
      <c r="H24" s="166" t="n">
        <f aca="false">H23+I24</f>
        <v>3306.63</v>
      </c>
      <c r="I24" s="149" t="n">
        <f aca="false">SUM(J24:AA24)</f>
        <v>189.21</v>
      </c>
      <c r="J24" s="150"/>
      <c r="K24" s="117"/>
      <c r="L24" s="118" t="n">
        <f aca="false">49.76+25.16</f>
        <v>74.92</v>
      </c>
      <c r="M24" s="118"/>
      <c r="N24" s="152"/>
      <c r="O24" s="120" t="n">
        <f aca="false">5.5</f>
        <v>5.5</v>
      </c>
      <c r="P24" s="121"/>
      <c r="Q24" s="122"/>
      <c r="R24" s="123"/>
      <c r="S24" s="153"/>
      <c r="T24" s="153" t="n">
        <f aca="false">2.8</f>
        <v>2.8</v>
      </c>
      <c r="U24" s="123" t="n">
        <f aca="false">15.99</f>
        <v>15.99</v>
      </c>
      <c r="V24" s="154"/>
      <c r="W24" s="240"/>
      <c r="X24" s="155"/>
      <c r="Y24" s="155"/>
      <c r="Z24" s="140" t="n">
        <v>90</v>
      </c>
      <c r="AA24" s="316"/>
      <c r="AB24" s="317"/>
      <c r="AC24" s="318"/>
    </row>
    <row r="25" customFormat="false" ht="15" hidden="false" customHeight="false" outlineLevel="0" collapsed="false">
      <c r="A25" s="167" t="n">
        <v>17</v>
      </c>
      <c r="B25" s="273" t="n">
        <v>43482</v>
      </c>
      <c r="C25" s="169"/>
      <c r="D25" s="242"/>
      <c r="E25" s="169"/>
      <c r="F25" s="146" t="n">
        <f aca="false">G25-I25</f>
        <v>-20254.834516129</v>
      </c>
      <c r="G25" s="170" t="n">
        <f aca="false">$C$6/$G$1</f>
        <v>297.375483870968</v>
      </c>
      <c r="H25" s="171" t="n">
        <f aca="false">H24+I25</f>
        <v>23858.84</v>
      </c>
      <c r="I25" s="149" t="n">
        <f aca="false">SUM(J25:AA25)</f>
        <v>20552.21</v>
      </c>
      <c r="J25" s="150"/>
      <c r="K25" s="117"/>
      <c r="L25" s="202" t="n">
        <f aca="false">5.1</f>
        <v>5.1</v>
      </c>
      <c r="M25" s="202"/>
      <c r="N25" s="203"/>
      <c r="O25" s="204"/>
      <c r="P25" s="205" t="n">
        <f aca="false">O42</f>
        <v>1379</v>
      </c>
      <c r="Q25" s="206" t="n">
        <f aca="false">Q42</f>
        <v>8242.24</v>
      </c>
      <c r="R25" s="178" t="n">
        <f aca="false">S42</f>
        <v>10773.17</v>
      </c>
      <c r="S25" s="173"/>
      <c r="T25" s="173"/>
      <c r="U25" s="178"/>
      <c r="V25" s="179" t="n">
        <f aca="false">141.5</f>
        <v>141.5</v>
      </c>
      <c r="W25" s="46" t="n">
        <f aca="false">11.2</f>
        <v>11.2</v>
      </c>
      <c r="X25" s="155"/>
      <c r="Y25" s="155"/>
      <c r="Z25" s="140"/>
      <c r="AA25" s="316"/>
      <c r="AB25" s="317"/>
      <c r="AC25" s="318"/>
    </row>
    <row r="26" customFormat="false" ht="15" hidden="false" customHeight="false" outlineLevel="0" collapsed="false">
      <c r="A26" s="141" t="n">
        <v>18</v>
      </c>
      <c r="B26" s="273" t="n">
        <v>43483</v>
      </c>
      <c r="C26" s="145"/>
      <c r="D26" s="242"/>
      <c r="E26" s="145"/>
      <c r="F26" s="146" t="n">
        <f aca="false">G26-I26</f>
        <v>143.395483870968</v>
      </c>
      <c r="G26" s="147" t="n">
        <f aca="false">$C$6/$G$1</f>
        <v>297.375483870968</v>
      </c>
      <c r="H26" s="148" t="n">
        <f aca="false">H25+I26</f>
        <v>24012.82</v>
      </c>
      <c r="I26" s="149" t="n">
        <f aca="false">SUM(J26:AA26)</f>
        <v>153.98</v>
      </c>
      <c r="J26" s="150"/>
      <c r="K26" s="117"/>
      <c r="L26" s="244"/>
      <c r="M26" s="244" t="n">
        <f aca="false">16</f>
        <v>16</v>
      </c>
      <c r="N26" s="245"/>
      <c r="O26" s="246" t="n">
        <f aca="false">30</f>
        <v>30</v>
      </c>
      <c r="P26" s="247"/>
      <c r="Q26" s="248"/>
      <c r="R26" s="249"/>
      <c r="S26" s="250"/>
      <c r="T26" s="250"/>
      <c r="U26" s="249"/>
      <c r="V26" s="251"/>
      <c r="W26" s="252" t="n">
        <f aca="false">107.98</f>
        <v>107.98</v>
      </c>
      <c r="X26" s="155"/>
      <c r="Y26" s="155"/>
      <c r="Z26" s="140"/>
      <c r="AA26" s="316"/>
      <c r="AB26" s="317"/>
      <c r="AC26" s="318"/>
    </row>
    <row r="27" customFormat="false" ht="15" hidden="false" customHeight="false" outlineLevel="0" collapsed="false">
      <c r="A27" s="157" t="n">
        <v>19</v>
      </c>
      <c r="B27" s="272" t="n">
        <v>43484</v>
      </c>
      <c r="C27" s="159"/>
      <c r="D27" s="242"/>
      <c r="E27" s="159"/>
      <c r="F27" s="146" t="n">
        <f aca="false">G27-I27</f>
        <v>249.835483870968</v>
      </c>
      <c r="G27" s="160" t="n">
        <f aca="false">$C$6/$G$1</f>
        <v>297.375483870968</v>
      </c>
      <c r="H27" s="161" t="n">
        <f aca="false">H26+I27</f>
        <v>24060.36</v>
      </c>
      <c r="I27" s="149" t="n">
        <f aca="false">SUM(J27:AA27)</f>
        <v>47.54</v>
      </c>
      <c r="J27" s="150"/>
      <c r="K27" s="117"/>
      <c r="L27" s="254" t="n">
        <f aca="false">10.44+8.37+6.18+2.55</f>
        <v>27.54</v>
      </c>
      <c r="M27" s="254"/>
      <c r="N27" s="255"/>
      <c r="O27" s="256"/>
      <c r="P27" s="257"/>
      <c r="Q27" s="258"/>
      <c r="R27" s="259"/>
      <c r="S27" s="176"/>
      <c r="T27" s="176"/>
      <c r="U27" s="259"/>
      <c r="V27" s="260"/>
      <c r="W27" s="261"/>
      <c r="X27" s="155"/>
      <c r="Y27" s="155"/>
      <c r="Z27" s="140" t="n">
        <f aca="false">20</f>
        <v>20</v>
      </c>
      <c r="AA27" s="316"/>
      <c r="AB27" s="317"/>
      <c r="AC27" s="318" t="n">
        <v>200</v>
      </c>
    </row>
    <row r="28" customFormat="false" ht="15" hidden="false" customHeight="false" outlineLevel="0" collapsed="false">
      <c r="A28" s="167" t="n">
        <v>20</v>
      </c>
      <c r="B28" s="268" t="n">
        <v>43485</v>
      </c>
      <c r="C28" s="169"/>
      <c r="D28" s="242"/>
      <c r="E28" s="169"/>
      <c r="F28" s="146" t="n">
        <f aca="false">G28-I28</f>
        <v>244.375483870968</v>
      </c>
      <c r="G28" s="170" t="n">
        <f aca="false">$C$6/$G$1</f>
        <v>297.375483870968</v>
      </c>
      <c r="H28" s="171" t="n">
        <f aca="false">H27+I28</f>
        <v>24113.36</v>
      </c>
      <c r="I28" s="149" t="n">
        <f aca="false">SUM(J28:AA28)</f>
        <v>53</v>
      </c>
      <c r="J28" s="150" t="n">
        <v>13</v>
      </c>
      <c r="K28" s="135" t="s">
        <v>91</v>
      </c>
      <c r="L28" s="118"/>
      <c r="M28" s="118"/>
      <c r="N28" s="152"/>
      <c r="O28" s="120"/>
      <c r="P28" s="121"/>
      <c r="Q28" s="122"/>
      <c r="R28" s="123"/>
      <c r="S28" s="153"/>
      <c r="T28" s="153" t="n">
        <f aca="false">10+10+10+10</f>
        <v>40</v>
      </c>
      <c r="U28" s="123"/>
      <c r="V28" s="154"/>
      <c r="W28" s="240"/>
      <c r="X28" s="155"/>
      <c r="Y28" s="155"/>
      <c r="Z28" s="140"/>
      <c r="AA28" s="316"/>
      <c r="AB28" s="317"/>
      <c r="AC28" s="318"/>
    </row>
    <row r="29" s="156" customFormat="true" ht="15" hidden="false" customHeight="false" outlineLevel="0" collapsed="false">
      <c r="A29" s="141" t="n">
        <v>21</v>
      </c>
      <c r="B29" s="273" t="n">
        <v>43486</v>
      </c>
      <c r="C29" s="145"/>
      <c r="D29" s="242"/>
      <c r="E29" s="145"/>
      <c r="F29" s="146" t="n">
        <f aca="false">G29-I29</f>
        <v>86.1454838709678</v>
      </c>
      <c r="G29" s="147" t="n">
        <f aca="false">$C$6/$G$1</f>
        <v>297.375483870968</v>
      </c>
      <c r="H29" s="148" t="n">
        <f aca="false">H28+I29</f>
        <v>24324.59</v>
      </c>
      <c r="I29" s="149" t="n">
        <f aca="false">SUM(J29:AA29)</f>
        <v>211.23</v>
      </c>
      <c r="J29" s="150"/>
      <c r="K29" s="117"/>
      <c r="L29" s="118"/>
      <c r="M29" s="118"/>
      <c r="N29" s="152"/>
      <c r="O29" s="120"/>
      <c r="P29" s="121"/>
      <c r="Q29" s="122"/>
      <c r="R29" s="123"/>
      <c r="S29" s="153"/>
      <c r="T29" s="153"/>
      <c r="U29" s="123" t="n">
        <f aca="false">211.23</f>
        <v>211.23</v>
      </c>
      <c r="V29" s="154"/>
      <c r="W29" s="240"/>
      <c r="X29" s="155"/>
      <c r="Y29" s="155"/>
      <c r="Z29" s="140"/>
      <c r="AA29" s="316"/>
      <c r="AB29" s="317"/>
      <c r="AC29" s="318"/>
    </row>
    <row r="30" customFormat="false" ht="15" hidden="false" customHeight="false" outlineLevel="0" collapsed="false">
      <c r="A30" s="157" t="n">
        <v>22</v>
      </c>
      <c r="B30" s="273" t="n">
        <v>43487</v>
      </c>
      <c r="C30" s="159"/>
      <c r="D30" s="242"/>
      <c r="E30" s="159"/>
      <c r="F30" s="146" t="n">
        <f aca="false">G30-I30</f>
        <v>235.175483870968</v>
      </c>
      <c r="G30" s="160" t="n">
        <f aca="false">$C$6/$G$1</f>
        <v>297.375483870968</v>
      </c>
      <c r="H30" s="161" t="n">
        <f aca="false">H29+I30</f>
        <v>24386.79</v>
      </c>
      <c r="I30" s="149" t="n">
        <f aca="false">SUM(J30:AA30)</f>
        <v>62.2</v>
      </c>
      <c r="J30" s="150"/>
      <c r="K30" s="117"/>
      <c r="L30" s="118" t="n">
        <f aca="false">8.2</f>
        <v>8.2</v>
      </c>
      <c r="M30" s="118"/>
      <c r="N30" s="152"/>
      <c r="O30" s="120"/>
      <c r="P30" s="121"/>
      <c r="Q30" s="122"/>
      <c r="R30" s="123"/>
      <c r="S30" s="153"/>
      <c r="T30" s="153"/>
      <c r="U30" s="123"/>
      <c r="V30" s="154"/>
      <c r="W30" s="240"/>
      <c r="X30" s="155"/>
      <c r="Y30" s="155"/>
      <c r="Z30" s="140" t="n">
        <f aca="false">54</f>
        <v>54</v>
      </c>
      <c r="AA30" s="316"/>
      <c r="AB30" s="317"/>
      <c r="AC30" s="318"/>
    </row>
    <row r="31" customFormat="false" ht="15" hidden="false" customHeight="false" outlineLevel="0" collapsed="false">
      <c r="A31" s="162" t="n">
        <v>23</v>
      </c>
      <c r="B31" s="273" t="n">
        <v>43488</v>
      </c>
      <c r="C31" s="164"/>
      <c r="D31" s="242"/>
      <c r="E31" s="164"/>
      <c r="F31" s="146" t="n">
        <f aca="false">G31-I31</f>
        <v>110.785483870968</v>
      </c>
      <c r="G31" s="165" t="n">
        <f aca="false">$C$6/$G$1</f>
        <v>297.375483870968</v>
      </c>
      <c r="H31" s="166" t="n">
        <f aca="false">H30+I31</f>
        <v>24573.38</v>
      </c>
      <c r="I31" s="149" t="n">
        <f aca="false">SUM(J31:AA31)</f>
        <v>186.59</v>
      </c>
      <c r="J31" s="150"/>
      <c r="K31" s="117"/>
      <c r="L31" s="118" t="n">
        <f aca="false">60.06-7.99+26.54</f>
        <v>78.61</v>
      </c>
      <c r="M31" s="118"/>
      <c r="N31" s="152" t="n">
        <f aca="false">7.99</f>
        <v>7.99</v>
      </c>
      <c r="O31" s="120"/>
      <c r="P31" s="121"/>
      <c r="Q31" s="122"/>
      <c r="R31" s="123"/>
      <c r="S31" s="153" t="n">
        <f aca="false">99.99</f>
        <v>99.99</v>
      </c>
      <c r="T31" s="153"/>
      <c r="U31" s="123"/>
      <c r="V31" s="154"/>
      <c r="W31" s="240"/>
      <c r="X31" s="155"/>
      <c r="Y31" s="155"/>
      <c r="Z31" s="140"/>
      <c r="AA31" s="316"/>
      <c r="AB31" s="317"/>
      <c r="AC31" s="318"/>
    </row>
    <row r="32" customFormat="false" ht="15" hidden="false" customHeight="false" outlineLevel="0" collapsed="false">
      <c r="A32" s="167" t="n">
        <v>24</v>
      </c>
      <c r="B32" s="273" t="n">
        <v>43489</v>
      </c>
      <c r="C32" s="169"/>
      <c r="D32" s="242"/>
      <c r="E32" s="169"/>
      <c r="F32" s="146" t="n">
        <f aca="false">G32-I32</f>
        <v>276.415483870968</v>
      </c>
      <c r="G32" s="170" t="n">
        <f aca="false">$C$6/$G$1</f>
        <v>297.375483870968</v>
      </c>
      <c r="H32" s="171" t="n">
        <f aca="false">H31+I32</f>
        <v>24594.34</v>
      </c>
      <c r="I32" s="149" t="n">
        <f aca="false">SUM(J32:AA32)</f>
        <v>20.96</v>
      </c>
      <c r="J32" s="150"/>
      <c r="K32" s="117"/>
      <c r="L32" s="202" t="n">
        <f aca="false">5.1+15.86</f>
        <v>20.96</v>
      </c>
      <c r="M32" s="202"/>
      <c r="N32" s="203"/>
      <c r="O32" s="204"/>
      <c r="P32" s="205"/>
      <c r="Q32" s="206"/>
      <c r="R32" s="178"/>
      <c r="S32" s="173"/>
      <c r="T32" s="173"/>
      <c r="U32" s="178"/>
      <c r="V32" s="179"/>
      <c r="W32" s="46"/>
      <c r="X32" s="155"/>
      <c r="Y32" s="155"/>
      <c r="Z32" s="140"/>
      <c r="AA32" s="316"/>
      <c r="AB32" s="317"/>
      <c r="AC32" s="318"/>
    </row>
    <row r="33" customFormat="false" ht="15" hidden="false" customHeight="false" outlineLevel="0" collapsed="false">
      <c r="A33" s="141" t="n">
        <v>25</v>
      </c>
      <c r="B33" s="273" t="n">
        <v>43490</v>
      </c>
      <c r="C33" s="145"/>
      <c r="D33" s="242"/>
      <c r="E33" s="145"/>
      <c r="F33" s="146" t="n">
        <f aca="false">G33-I33</f>
        <v>284.425483870968</v>
      </c>
      <c r="G33" s="147" t="n">
        <f aca="false">$C$6/$G$1</f>
        <v>297.375483870968</v>
      </c>
      <c r="H33" s="148" t="n">
        <f aca="false">H32+I33</f>
        <v>24607.29</v>
      </c>
      <c r="I33" s="149" t="n">
        <f aca="false">SUM(J33:AA33)</f>
        <v>12.95</v>
      </c>
      <c r="J33" s="150"/>
      <c r="K33" s="117"/>
      <c r="L33" s="244" t="n">
        <f aca="false">7.5</f>
        <v>7.5</v>
      </c>
      <c r="M33" s="244" t="n">
        <f aca="false">5.45</f>
        <v>5.45</v>
      </c>
      <c r="N33" s="245"/>
      <c r="O33" s="246"/>
      <c r="P33" s="247"/>
      <c r="Q33" s="248"/>
      <c r="R33" s="249"/>
      <c r="S33" s="250"/>
      <c r="T33" s="250"/>
      <c r="U33" s="249"/>
      <c r="V33" s="251"/>
      <c r="W33" s="252"/>
      <c r="X33" s="155"/>
      <c r="Y33" s="155"/>
      <c r="Z33" s="140"/>
      <c r="AA33" s="316"/>
      <c r="AB33" s="317"/>
      <c r="AC33" s="318"/>
    </row>
    <row r="34" customFormat="false" ht="15" hidden="false" customHeight="false" outlineLevel="0" collapsed="false">
      <c r="A34" s="157" t="n">
        <v>26</v>
      </c>
      <c r="B34" s="272" t="n">
        <v>43491</v>
      </c>
      <c r="C34" s="159"/>
      <c r="D34" s="242"/>
      <c r="E34" s="159"/>
      <c r="F34" s="146" t="n">
        <f aca="false">G34-I34</f>
        <v>244.495483870968</v>
      </c>
      <c r="G34" s="160" t="n">
        <f aca="false">$C$6/$G$1</f>
        <v>297.375483870968</v>
      </c>
      <c r="H34" s="161" t="n">
        <f aca="false">H33+I34</f>
        <v>24660.17</v>
      </c>
      <c r="I34" s="149" t="n">
        <f aca="false">SUM(J34:AA34)</f>
        <v>52.88</v>
      </c>
      <c r="J34" s="150"/>
      <c r="K34" s="117"/>
      <c r="L34" s="254" t="n">
        <f aca="false">5.1+6.12</f>
        <v>11.22</v>
      </c>
      <c r="M34" s="254"/>
      <c r="N34" s="255" t="n">
        <f aca="false">41.66</f>
        <v>41.66</v>
      </c>
      <c r="O34" s="256"/>
      <c r="P34" s="257"/>
      <c r="Q34" s="258"/>
      <c r="R34" s="259"/>
      <c r="S34" s="176"/>
      <c r="T34" s="176"/>
      <c r="U34" s="259"/>
      <c r="V34" s="260"/>
      <c r="W34" s="261"/>
      <c r="X34" s="155"/>
      <c r="Y34" s="155"/>
      <c r="Z34" s="140"/>
      <c r="AA34" s="316"/>
      <c r="AB34" s="317"/>
      <c r="AC34" s="318"/>
    </row>
    <row r="35" customFormat="false" ht="15" hidden="false" customHeight="false" outlineLevel="0" collapsed="false">
      <c r="A35" s="167" t="n">
        <v>27</v>
      </c>
      <c r="B35" s="268" t="n">
        <v>43492</v>
      </c>
      <c r="C35" s="169"/>
      <c r="D35" s="242"/>
      <c r="E35" s="169"/>
      <c r="F35" s="146" t="n">
        <f aca="false">G35-I35</f>
        <v>58.4454838709677</v>
      </c>
      <c r="G35" s="170" t="n">
        <f aca="false">$C$6/$G$1</f>
        <v>297.375483870968</v>
      </c>
      <c r="H35" s="171" t="n">
        <f aca="false">H34+I35</f>
        <v>24899.1</v>
      </c>
      <c r="I35" s="149" t="n">
        <f aca="false">SUM(J35:AA35)</f>
        <v>238.93</v>
      </c>
      <c r="J35" s="150"/>
      <c r="K35" s="117"/>
      <c r="L35" s="118"/>
      <c r="M35" s="118"/>
      <c r="N35" s="152"/>
      <c r="O35" s="120"/>
      <c r="P35" s="121"/>
      <c r="Q35" s="122"/>
      <c r="R35" s="123"/>
      <c r="S35" s="153" t="n">
        <f aca="false">238.93</f>
        <v>238.93</v>
      </c>
      <c r="T35" s="153"/>
      <c r="U35" s="123"/>
      <c r="V35" s="154"/>
      <c r="W35" s="240"/>
      <c r="X35" s="155"/>
      <c r="Y35" s="155"/>
      <c r="Z35" s="140"/>
      <c r="AA35" s="316"/>
      <c r="AB35" s="317"/>
      <c r="AC35" s="318"/>
    </row>
    <row r="36" s="156" customFormat="true" ht="15" hidden="false" customHeight="false" outlineLevel="0" collapsed="false">
      <c r="A36" s="141" t="n">
        <v>28</v>
      </c>
      <c r="B36" s="273" t="n">
        <v>43493</v>
      </c>
      <c r="C36" s="145"/>
      <c r="D36" s="242"/>
      <c r="E36" s="145"/>
      <c r="F36" s="146" t="n">
        <f aca="false">G36-I36</f>
        <v>137.835483870968</v>
      </c>
      <c r="G36" s="147" t="n">
        <f aca="false">$C$6/$G$1</f>
        <v>297.375483870968</v>
      </c>
      <c r="H36" s="148" t="n">
        <f aca="false">H35+I36</f>
        <v>25058.64</v>
      </c>
      <c r="I36" s="149" t="n">
        <f aca="false">SUM(J36:AA36)</f>
        <v>159.54</v>
      </c>
      <c r="J36" s="201" t="n">
        <v>29.99</v>
      </c>
      <c r="K36" s="117" t="s">
        <v>97</v>
      </c>
      <c r="L36" s="118"/>
      <c r="M36" s="118"/>
      <c r="N36" s="152"/>
      <c r="O36" s="120"/>
      <c r="P36" s="121"/>
      <c r="Q36" s="122"/>
      <c r="R36" s="123"/>
      <c r="S36" s="153"/>
      <c r="T36" s="153" t="n">
        <f aca="false">40</f>
        <v>40</v>
      </c>
      <c r="U36" s="123" t="n">
        <f aca="false">19.6</f>
        <v>19.6</v>
      </c>
      <c r="V36" s="154"/>
      <c r="W36" s="240" t="n">
        <f aca="false">66.96+2.99</f>
        <v>69.95</v>
      </c>
      <c r="X36" s="155"/>
      <c r="Y36" s="155"/>
      <c r="Z36" s="209"/>
      <c r="AA36" s="316"/>
      <c r="AB36" s="317"/>
      <c r="AC36" s="318"/>
    </row>
    <row r="37" customFormat="false" ht="15" hidden="false" customHeight="false" outlineLevel="0" collapsed="false">
      <c r="A37" s="157" t="n">
        <v>29</v>
      </c>
      <c r="B37" s="273" t="n">
        <v>43494</v>
      </c>
      <c r="C37" s="159"/>
      <c r="D37" s="242"/>
      <c r="E37" s="159"/>
      <c r="F37" s="146" t="n">
        <f aca="false">G37-I37</f>
        <v>77.0654838709677</v>
      </c>
      <c r="G37" s="160" t="n">
        <f aca="false">$C$6/$G$1</f>
        <v>297.375483870968</v>
      </c>
      <c r="H37" s="161" t="n">
        <f aca="false">H36+I37</f>
        <v>25278.95</v>
      </c>
      <c r="I37" s="149" t="n">
        <f aca="false">SUM(J37:AA37)</f>
        <v>220.31</v>
      </c>
      <c r="J37" s="150"/>
      <c r="K37" s="117"/>
      <c r="L37" s="118" t="n">
        <f aca="false">110.6+24.99-11.96+1.99+23.78+25.92</f>
        <v>175.32</v>
      </c>
      <c r="M37" s="118" t="n">
        <f aca="false">13</f>
        <v>13</v>
      </c>
      <c r="N37" s="152"/>
      <c r="O37" s="120"/>
      <c r="P37" s="121"/>
      <c r="Q37" s="122"/>
      <c r="R37" s="123"/>
      <c r="S37" s="153"/>
      <c r="T37" s="153" t="n">
        <f aca="false">11.99</f>
        <v>11.99</v>
      </c>
      <c r="U37" s="123"/>
      <c r="V37" s="154"/>
      <c r="W37" s="240"/>
      <c r="X37" s="155"/>
      <c r="Y37" s="155"/>
      <c r="Z37" s="209" t="n">
        <v>20</v>
      </c>
      <c r="AA37" s="316"/>
      <c r="AB37" s="317"/>
      <c r="AC37" s="318"/>
    </row>
    <row r="38" customFormat="false" ht="15" hidden="false" customHeight="false" outlineLevel="0" collapsed="false">
      <c r="A38" s="162" t="n">
        <v>30</v>
      </c>
      <c r="B38" s="273" t="n">
        <v>43495</v>
      </c>
      <c r="C38" s="164"/>
      <c r="D38" s="242"/>
      <c r="E38" s="164"/>
      <c r="F38" s="146" t="n">
        <f aca="false">G38-I38</f>
        <v>284.385483870968</v>
      </c>
      <c r="G38" s="165" t="n">
        <f aca="false">$C$6/$G$1</f>
        <v>297.375483870968</v>
      </c>
      <c r="H38" s="166" t="n">
        <f aca="false">H37+I38</f>
        <v>25291.94</v>
      </c>
      <c r="I38" s="149" t="n">
        <f aca="false">SUM(J38:AA38)</f>
        <v>12.99</v>
      </c>
      <c r="J38" s="150"/>
      <c r="K38" s="117"/>
      <c r="L38" s="118"/>
      <c r="M38" s="118"/>
      <c r="N38" s="152" t="n">
        <f aca="false">12.99</f>
        <v>12.99</v>
      </c>
      <c r="O38" s="120"/>
      <c r="P38" s="121"/>
      <c r="Q38" s="122"/>
      <c r="R38" s="123"/>
      <c r="S38" s="153"/>
      <c r="T38" s="153"/>
      <c r="U38" s="123"/>
      <c r="V38" s="154"/>
      <c r="W38" s="240"/>
      <c r="X38" s="155"/>
      <c r="Y38" s="155"/>
      <c r="Z38" s="209"/>
      <c r="AA38" s="316"/>
      <c r="AB38" s="317"/>
      <c r="AC38" s="318"/>
    </row>
    <row r="39" customFormat="false" ht="15" hidden="false" customHeight="false" outlineLevel="0" collapsed="false">
      <c r="A39" s="162" t="n">
        <v>31</v>
      </c>
      <c r="B39" s="273" t="n">
        <v>43496</v>
      </c>
      <c r="C39" s="164"/>
      <c r="D39" s="242"/>
      <c r="E39" s="164"/>
      <c r="F39" s="146" t="n">
        <f aca="false">G39-I39</f>
        <v>224.895483870968</v>
      </c>
      <c r="G39" s="165" t="n">
        <f aca="false">$C$6/$G$1</f>
        <v>297.375483870968</v>
      </c>
      <c r="H39" s="166" t="n">
        <f aca="false">H38+I39</f>
        <v>25364.42</v>
      </c>
      <c r="I39" s="149" t="n">
        <f aca="false">SUM(J39:AA39)</f>
        <v>72.48</v>
      </c>
      <c r="J39" s="150"/>
      <c r="K39" s="117"/>
      <c r="L39" s="118" t="n">
        <f aca="false">8.48+17.95+18.07</f>
        <v>44.5</v>
      </c>
      <c r="M39" s="118"/>
      <c r="N39" s="152"/>
      <c r="O39" s="120"/>
      <c r="P39" s="121"/>
      <c r="Q39" s="122"/>
      <c r="R39" s="123"/>
      <c r="S39" s="153"/>
      <c r="T39" s="153" t="n">
        <f aca="false">7.98</f>
        <v>7.98</v>
      </c>
      <c r="U39" s="123"/>
      <c r="V39" s="154"/>
      <c r="W39" s="240"/>
      <c r="X39" s="155"/>
      <c r="Y39" s="155"/>
      <c r="Z39" s="209" t="n">
        <f aca="false">20</f>
        <v>20</v>
      </c>
      <c r="AA39" s="316"/>
      <c r="AB39" s="317"/>
      <c r="AC39" s="318"/>
    </row>
    <row r="40" customFormat="false" ht="13.8" hidden="false" customHeight="false" outlineLevel="0" collapsed="false"/>
    <row r="41" customFormat="false" ht="22.05" hidden="false" customHeight="false" outlineLevel="0" collapsed="false">
      <c r="M41" s="319" t="s">
        <v>3</v>
      </c>
      <c r="N41" s="320" t="n">
        <f aca="false">O42+Q42+S42</f>
        <v>20394.41</v>
      </c>
      <c r="O41" s="320"/>
      <c r="P41" s="320"/>
      <c r="Q41" s="320"/>
      <c r="R41" s="320"/>
      <c r="S41" s="320"/>
    </row>
    <row r="42" customFormat="false" ht="28.35" hidden="false" customHeight="false" outlineLevel="0" collapsed="false">
      <c r="M42" s="0"/>
      <c r="N42" s="321" t="s">
        <v>120</v>
      </c>
      <c r="O42" s="321" t="n">
        <f aca="false">SUM(O45:O70)</f>
        <v>1379</v>
      </c>
      <c r="P42" s="322" t="s">
        <v>121</v>
      </c>
      <c r="Q42" s="322" t="n">
        <f aca="false">SUM(Q45:Q70)</f>
        <v>8242.24</v>
      </c>
      <c r="R42" s="323" t="s">
        <v>122</v>
      </c>
      <c r="S42" s="123" t="n">
        <f aca="false">SUM(S45:S70)</f>
        <v>10773.17</v>
      </c>
    </row>
    <row r="43" customFormat="false" ht="32" hidden="false" customHeight="true" outlineLevel="0" collapsed="false">
      <c r="M43" s="0"/>
      <c r="N43" s="324" t="s">
        <v>123</v>
      </c>
      <c r="O43" s="324"/>
      <c r="P43" s="325" t="s">
        <v>124</v>
      </c>
      <c r="Q43" s="325"/>
      <c r="R43" s="326" t="s">
        <v>125</v>
      </c>
      <c r="S43" s="326"/>
    </row>
    <row r="44" customFormat="false" ht="14.9" hidden="false" customHeight="false" outlineLevel="0" collapsed="false">
      <c r="J44" s="0"/>
      <c r="M44" s="0"/>
      <c r="N44" s="321" t="s">
        <v>126</v>
      </c>
      <c r="O44" s="321" t="s">
        <v>127</v>
      </c>
      <c r="P44" s="322" t="s">
        <v>126</v>
      </c>
      <c r="Q44" s="322" t="s">
        <v>127</v>
      </c>
      <c r="R44" s="323" t="s">
        <v>126</v>
      </c>
      <c r="S44" s="323" t="s">
        <v>127</v>
      </c>
    </row>
    <row r="45" customFormat="false" ht="14.9" hidden="false" customHeight="false" outlineLevel="0" collapsed="false">
      <c r="M45" s="0"/>
      <c r="N45" s="321" t="s">
        <v>128</v>
      </c>
      <c r="O45" s="321" t="n">
        <f aca="false">952</f>
        <v>952</v>
      </c>
      <c r="P45" s="322" t="s">
        <v>129</v>
      </c>
      <c r="Q45" s="322" t="n">
        <v>400</v>
      </c>
      <c r="R45" s="323" t="s">
        <v>130</v>
      </c>
      <c r="S45" s="323" t="n">
        <v>115</v>
      </c>
    </row>
    <row r="46" customFormat="false" ht="28.35" hidden="false" customHeight="false" outlineLevel="0" collapsed="false">
      <c r="N46" s="321" t="s">
        <v>131</v>
      </c>
      <c r="O46" s="321" t="n">
        <v>427</v>
      </c>
      <c r="P46" s="322" t="s">
        <v>132</v>
      </c>
      <c r="Q46" s="322" t="n">
        <f aca="false">376.99+775.19+867.84</f>
        <v>2020.02</v>
      </c>
      <c r="R46" s="323" t="s">
        <v>133</v>
      </c>
      <c r="S46" s="323" t="n">
        <v>5</v>
      </c>
    </row>
    <row r="47" customFormat="false" ht="41.75" hidden="false" customHeight="false" outlineLevel="0" collapsed="false">
      <c r="N47" s="321"/>
      <c r="O47" s="321"/>
      <c r="P47" s="322" t="s">
        <v>134</v>
      </c>
      <c r="Q47" s="322" t="n">
        <f aca="false">516.06</f>
        <v>516.06</v>
      </c>
      <c r="R47" s="323" t="s">
        <v>135</v>
      </c>
      <c r="S47" s="323" t="n">
        <v>100</v>
      </c>
    </row>
    <row r="48" customFormat="false" ht="55.2" hidden="false" customHeight="false" outlineLevel="0" collapsed="false">
      <c r="N48" s="321"/>
      <c r="O48" s="321"/>
      <c r="P48" s="322" t="s">
        <v>136</v>
      </c>
      <c r="Q48" s="322" t="n">
        <f aca="false">647.66</f>
        <v>647.66</v>
      </c>
      <c r="R48" s="323" t="s">
        <v>137</v>
      </c>
      <c r="S48" s="323" t="n">
        <f aca="false">43.4</f>
        <v>43.4</v>
      </c>
    </row>
    <row r="49" customFormat="false" ht="28.35" hidden="false" customHeight="false" outlineLevel="0" collapsed="false">
      <c r="N49" s="321"/>
      <c r="O49" s="321"/>
      <c r="P49" s="322" t="s">
        <v>138</v>
      </c>
      <c r="Q49" s="322" t="n">
        <f aca="false">1286.1</f>
        <v>1286.1</v>
      </c>
      <c r="R49" s="323" t="s">
        <v>139</v>
      </c>
      <c r="S49" s="323" t="n">
        <f aca="false">2.36</f>
        <v>2.36</v>
      </c>
    </row>
    <row r="50" customFormat="false" ht="28.35" hidden="false" customHeight="false" outlineLevel="0" collapsed="false">
      <c r="N50" s="321"/>
      <c r="O50" s="321"/>
      <c r="P50" s="322" t="s">
        <v>140</v>
      </c>
      <c r="Q50" s="322" t="n">
        <f aca="false">575.1</f>
        <v>575.1</v>
      </c>
      <c r="R50" s="323" t="s">
        <v>141</v>
      </c>
      <c r="S50" s="323" t="n">
        <f aca="false">15.54+15.54+0.38</f>
        <v>31.46</v>
      </c>
    </row>
    <row r="51" customFormat="false" ht="41.75" hidden="false" customHeight="false" outlineLevel="0" collapsed="false">
      <c r="N51" s="321"/>
      <c r="O51" s="321"/>
      <c r="P51" s="322" t="s">
        <v>142</v>
      </c>
      <c r="Q51" s="322" t="n">
        <f aca="false">251.1</f>
        <v>251.1</v>
      </c>
      <c r="R51" s="323" t="s">
        <v>143</v>
      </c>
      <c r="S51" s="323" t="n">
        <v>440</v>
      </c>
    </row>
    <row r="52" customFormat="false" ht="28.35" hidden="false" customHeight="false" outlineLevel="0" collapsed="false">
      <c r="N52" s="321"/>
      <c r="O52" s="321"/>
      <c r="P52" s="322" t="s">
        <v>144</v>
      </c>
      <c r="Q52" s="322" t="n">
        <f aca="false">251.1</f>
        <v>251.1</v>
      </c>
      <c r="R52" s="323" t="s">
        <v>130</v>
      </c>
      <c r="S52" s="323" t="n">
        <f aca="false">115</f>
        <v>115</v>
      </c>
    </row>
    <row r="53" customFormat="false" ht="41.75" hidden="false" customHeight="false" outlineLevel="0" collapsed="false">
      <c r="N53" s="321"/>
      <c r="O53" s="321"/>
      <c r="P53" s="322" t="s">
        <v>145</v>
      </c>
      <c r="Q53" s="322" t="n">
        <f aca="false">129</f>
        <v>129</v>
      </c>
      <c r="R53" s="323" t="s">
        <v>146</v>
      </c>
      <c r="S53" s="323" t="n">
        <f aca="false">25.98</f>
        <v>25.98</v>
      </c>
    </row>
    <row r="54" customFormat="false" ht="28.35" hidden="false" customHeight="false" outlineLevel="0" collapsed="false">
      <c r="N54" s="321"/>
      <c r="O54" s="321"/>
      <c r="P54" s="322" t="s">
        <v>147</v>
      </c>
      <c r="Q54" s="322" t="n">
        <v>87</v>
      </c>
      <c r="R54" s="323" t="s">
        <v>148</v>
      </c>
      <c r="S54" s="323" t="n">
        <f aca="false">39.6+39.6</f>
        <v>79.2</v>
      </c>
    </row>
    <row r="55" customFormat="false" ht="14.9" hidden="false" customHeight="false" outlineLevel="0" collapsed="false">
      <c r="N55" s="321"/>
      <c r="O55" s="321"/>
      <c r="P55" s="322" t="s">
        <v>149</v>
      </c>
      <c r="Q55" s="322" t="n">
        <f aca="false">378+3</f>
        <v>381</v>
      </c>
      <c r="R55" s="323" t="s">
        <v>150</v>
      </c>
      <c r="S55" s="323" t="n">
        <f aca="false">59.99+59.99</f>
        <v>119.98</v>
      </c>
    </row>
    <row r="56" customFormat="false" ht="41.75" hidden="false" customHeight="false" outlineLevel="0" collapsed="false">
      <c r="N56" s="321"/>
      <c r="O56" s="321"/>
      <c r="P56" s="322" t="s">
        <v>151</v>
      </c>
      <c r="Q56" s="322" t="n">
        <f aca="false">570.87-127.94-378</f>
        <v>64.93</v>
      </c>
      <c r="R56" s="323" t="s">
        <v>152</v>
      </c>
      <c r="S56" s="323" t="n">
        <f aca="false">14.8</f>
        <v>14.8</v>
      </c>
    </row>
    <row r="57" customFormat="false" ht="28.35" hidden="false" customHeight="false" outlineLevel="0" collapsed="false">
      <c r="N57" s="321"/>
      <c r="O57" s="321"/>
      <c r="P57" s="322" t="s">
        <v>153</v>
      </c>
      <c r="Q57" s="322" t="n">
        <f aca="false">177.08</f>
        <v>177.08</v>
      </c>
      <c r="R57" s="323" t="s">
        <v>154</v>
      </c>
      <c r="S57" s="323" t="n">
        <f aca="false">298+239.91</f>
        <v>537.91</v>
      </c>
    </row>
    <row r="58" customFormat="false" ht="28.35" hidden="false" customHeight="false" outlineLevel="0" collapsed="false">
      <c r="N58" s="321"/>
      <c r="O58" s="321"/>
      <c r="P58" s="322" t="s">
        <v>155</v>
      </c>
      <c r="Q58" s="322" t="n">
        <v>225</v>
      </c>
      <c r="R58" s="323" t="s">
        <v>156</v>
      </c>
      <c r="S58" s="323" t="n">
        <f aca="false">33.98+25.87+37.79</f>
        <v>97.64</v>
      </c>
    </row>
    <row r="59" customFormat="false" ht="28.35" hidden="false" customHeight="false" outlineLevel="0" collapsed="false">
      <c r="N59" s="321"/>
      <c r="O59" s="321"/>
      <c r="P59" s="322" t="s">
        <v>157</v>
      </c>
      <c r="Q59" s="322" t="n">
        <f aca="false">65.25</f>
        <v>65.25</v>
      </c>
      <c r="R59" s="323" t="s">
        <v>158</v>
      </c>
      <c r="S59" s="323" t="n">
        <f aca="false">79.8</f>
        <v>79.8</v>
      </c>
    </row>
    <row r="60" customFormat="false" ht="28.35" hidden="false" customHeight="false" outlineLevel="0" collapsed="false">
      <c r="N60" s="321"/>
      <c r="O60" s="321"/>
      <c r="P60" s="322" t="s">
        <v>159</v>
      </c>
      <c r="Q60" s="322" t="n">
        <f aca="false">27</f>
        <v>27</v>
      </c>
      <c r="R60" s="323" t="s">
        <v>160</v>
      </c>
      <c r="S60" s="323" t="n">
        <f aca="false">107.44</f>
        <v>107.44</v>
      </c>
    </row>
    <row r="61" customFormat="false" ht="29" hidden="false" customHeight="false" outlineLevel="0" collapsed="false">
      <c r="P61" s="322" t="s">
        <v>161</v>
      </c>
      <c r="Q61" s="322" t="n">
        <v>250</v>
      </c>
      <c r="R61" s="323" t="s">
        <v>162</v>
      </c>
      <c r="S61" s="323" t="n">
        <f aca="false">18.48</f>
        <v>18.48</v>
      </c>
    </row>
    <row r="62" customFormat="false" ht="42" hidden="false" customHeight="false" outlineLevel="0" collapsed="false">
      <c r="P62" s="322" t="s">
        <v>163</v>
      </c>
      <c r="Q62" s="322" t="n">
        <f aca="false">393.6</f>
        <v>393.6</v>
      </c>
      <c r="R62" s="323" t="s">
        <v>164</v>
      </c>
      <c r="S62" s="323" t="n">
        <v>6200</v>
      </c>
    </row>
    <row r="63" customFormat="false" ht="56" hidden="false" customHeight="false" outlineLevel="0" collapsed="false">
      <c r="P63" s="322" t="s">
        <v>165</v>
      </c>
      <c r="Q63" s="322" t="n">
        <f aca="false">41.94</f>
        <v>41.94</v>
      </c>
      <c r="R63" s="323" t="s">
        <v>166</v>
      </c>
      <c r="S63" s="323" t="n">
        <v>1026</v>
      </c>
    </row>
    <row r="64" customFormat="false" ht="53.75" hidden="false" customHeight="false" outlineLevel="0" collapsed="false">
      <c r="P64" s="322" t="s">
        <v>167</v>
      </c>
      <c r="Q64" s="322" t="n">
        <f aca="false">393.6</f>
        <v>393.6</v>
      </c>
      <c r="R64" s="323" t="s">
        <v>168</v>
      </c>
      <c r="S64" s="323" t="n">
        <f aca="false">187.91</f>
        <v>187.91</v>
      </c>
    </row>
    <row r="65" customFormat="false" ht="27.5" hidden="false" customHeight="false" outlineLevel="0" collapsed="false">
      <c r="P65" s="322" t="s">
        <v>169</v>
      </c>
      <c r="Q65" s="322" t="n">
        <f aca="false">53.92</f>
        <v>53.92</v>
      </c>
      <c r="R65" s="323" t="s">
        <v>170</v>
      </c>
      <c r="S65" s="323" t="n">
        <f aca="false">73</f>
        <v>73</v>
      </c>
    </row>
    <row r="66" customFormat="false" ht="25" hidden="false" customHeight="false" outlineLevel="0" collapsed="false">
      <c r="P66" s="322" t="s">
        <v>171</v>
      </c>
      <c r="Q66" s="322" t="n">
        <f aca="false">5.78</f>
        <v>5.78</v>
      </c>
      <c r="R66" s="323" t="s">
        <v>172</v>
      </c>
      <c r="S66" s="323" t="n">
        <v>10</v>
      </c>
    </row>
    <row r="67" customFormat="false" ht="27.5" hidden="false" customHeight="false" outlineLevel="0" collapsed="false">
      <c r="P67" s="322"/>
      <c r="Q67" s="322"/>
      <c r="R67" s="323" t="s">
        <v>173</v>
      </c>
      <c r="S67" s="323" t="n">
        <f aca="false">7.37</f>
        <v>7.37</v>
      </c>
    </row>
    <row r="68" customFormat="false" ht="40" hidden="false" customHeight="false" outlineLevel="0" collapsed="false">
      <c r="R68" s="323" t="s">
        <v>174</v>
      </c>
      <c r="S68" s="323" t="n">
        <f aca="false">1367.22-11.98-19.8</f>
        <v>1335.44</v>
      </c>
    </row>
    <row r="69" customFormat="false" ht="13.8" hidden="false" customHeight="false" outlineLevel="0" collapsed="false">
      <c r="R69" s="323"/>
      <c r="S69" s="323"/>
    </row>
  </sheetData>
  <mergeCells count="12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  <mergeCell ref="N41:S41"/>
    <mergeCell ref="R43:S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4.57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30</v>
      </c>
    </row>
    <row r="2" customFormat="false" ht="13.8" hidden="false" customHeight="false" outlineLevel="0" collapsed="false">
      <c r="B2" s="71" t="s">
        <v>50</v>
      </c>
      <c r="C2" s="72" t="n">
        <v>4738</v>
      </c>
      <c r="D2" s="72" t="n">
        <v>2711.5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/>
      <c r="D4" s="72"/>
      <c r="E4" s="72" t="n">
        <f aca="false">420+70</f>
        <v>490</v>
      </c>
      <c r="F4" s="181" t="n">
        <v>1000</v>
      </c>
      <c r="G4" s="182" t="n">
        <f aca="false">C6-F4</f>
        <v>6939.5</v>
      </c>
      <c r="H4" s="183" t="n">
        <f aca="false">G4-H6</f>
        <v>1012.51</v>
      </c>
      <c r="I4" s="217" t="n">
        <f aca="false">C6-H6</f>
        <v>2012.51</v>
      </c>
    </row>
    <row r="5" customFormat="false" ht="16.15" hidden="false" customHeight="false" outlineLevel="0" collapsed="false">
      <c r="B5" s="83" t="s">
        <v>53</v>
      </c>
      <c r="C5" s="84"/>
      <c r="D5" s="84"/>
      <c r="E5" s="84"/>
      <c r="J5" s="218" t="n">
        <f aca="false">J7/H6</f>
        <v>0.151420872989494</v>
      </c>
      <c r="K5" s="218"/>
      <c r="L5" s="219" t="n">
        <f aca="false">(L7+M7)/H6</f>
        <v>0.281790588477456</v>
      </c>
      <c r="M5" s="219"/>
      <c r="N5" s="220" t="n">
        <f aca="false">N7/H6</f>
        <v>0.0818374925552431</v>
      </c>
      <c r="O5" s="221" t="n">
        <f aca="false">O7/H6</f>
        <v>0.0302008270639903</v>
      </c>
      <c r="P5" s="222" t="n">
        <f aca="false">P7/H6</f>
        <v>0.0659255372457183</v>
      </c>
      <c r="Q5" s="223" t="e">
        <f aca="false">Q7/K6</f>
        <v>#DIV/0!</v>
      </c>
      <c r="R5" s="224" t="n">
        <f aca="false">R7/H6</f>
        <v>0.0178977862287603</v>
      </c>
      <c r="S5" s="225" t="n">
        <f aca="false">(S7+T7)/H6</f>
        <v>0.116003232669534</v>
      </c>
      <c r="T5" s="225"/>
      <c r="U5" s="226" t="n">
        <f aca="false">(U7+V7)/H6</f>
        <v>0.016730245875225</v>
      </c>
      <c r="V5" s="226"/>
      <c r="W5" s="227" t="n">
        <f aca="false">W7/H6</f>
        <v>0.106613981127014</v>
      </c>
      <c r="X5" s="228" t="n">
        <f aca="false">(X7+Y7)/H6</f>
        <v>0.0235178395779308</v>
      </c>
      <c r="Y5" s="228"/>
      <c r="Z5" s="229" t="n">
        <f aca="false">Z7/H6</f>
        <v>0.00455543201523876</v>
      </c>
      <c r="AA5" s="263" t="n">
        <f aca="false">AA7/H6</f>
        <v>0</v>
      </c>
      <c r="AB5" s="264" t="n">
        <f aca="false">AB7/H6</f>
        <v>0.0427029571502567</v>
      </c>
      <c r="AC5" s="310" t="n">
        <f aca="false">AC7/H6</f>
        <v>0.0463152460186368</v>
      </c>
    </row>
    <row r="6" customFormat="false" ht="57" hidden="false" customHeight="true" outlineLevel="0" collapsed="false">
      <c r="B6" s="98" t="s">
        <v>56</v>
      </c>
      <c r="C6" s="311" t="n">
        <f aca="false">SUM(C2:C5)+SUM(D2:D5)+SUM(E2:E5)</f>
        <v>7939.5</v>
      </c>
      <c r="D6" s="311"/>
      <c r="E6" s="311"/>
      <c r="G6" s="102" t="s">
        <v>57</v>
      </c>
      <c r="H6" s="103" t="n">
        <f aca="false">SUM(J7:AC7)</f>
        <v>5926.99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  <c r="AC6" s="314" t="s">
        <v>118</v>
      </c>
    </row>
    <row r="7" customFormat="false" ht="13.8" hidden="false" customHeight="false" outlineLevel="0" collapsed="false">
      <c r="B7" s="116"/>
      <c r="J7" s="117" t="n">
        <f aca="false">SUM(J9:J38)</f>
        <v>897.47</v>
      </c>
      <c r="K7" s="117"/>
      <c r="L7" s="118" t="n">
        <f aca="false">SUM(L9:L38)</f>
        <v>1565.17</v>
      </c>
      <c r="M7" s="118" t="n">
        <f aca="false">SUM(M9:M38)</f>
        <v>105</v>
      </c>
      <c r="N7" s="119" t="n">
        <f aca="false">SUM(N9:N38)</f>
        <v>485.05</v>
      </c>
      <c r="O7" s="120" t="n">
        <f aca="false">SUM(O9:O38)</f>
        <v>179</v>
      </c>
      <c r="P7" s="121" t="n">
        <f aca="false">SUM(P9:P38)</f>
        <v>390.74</v>
      </c>
      <c r="Q7" s="122" t="n">
        <f aca="false">SUM(Q9:Q38)</f>
        <v>85.87</v>
      </c>
      <c r="R7" s="123" t="n">
        <f aca="false">SUM(R9:R38)</f>
        <v>106.08</v>
      </c>
      <c r="S7" s="37" t="n">
        <f aca="false">SUM(S9:S38)</f>
        <v>640.59</v>
      </c>
      <c r="T7" s="37" t="n">
        <f aca="false">SUM(T9:T38)</f>
        <v>46.96</v>
      </c>
      <c r="U7" s="36" t="n">
        <f aca="false">SUM(U9:U38)</f>
        <v>99.16</v>
      </c>
      <c r="V7" s="124" t="n">
        <f aca="false">SUM(V9:V38)</f>
        <v>0</v>
      </c>
      <c r="W7" s="38" t="n">
        <f aca="false">SUM(W9:W38)</f>
        <v>631.9</v>
      </c>
      <c r="X7" s="39" t="n">
        <f aca="false">SUM(X9:X38)</f>
        <v>139.39</v>
      </c>
      <c r="Y7" s="39" t="n">
        <f aca="false">SUM(Y9:Y38)</f>
        <v>0</v>
      </c>
      <c r="Z7" s="40" t="n">
        <f aca="false">SUM(Z9:Z38)</f>
        <v>27</v>
      </c>
      <c r="AA7" s="41" t="n">
        <f aca="false">SUM(AA9:AA38)</f>
        <v>0</v>
      </c>
      <c r="AB7" s="34" t="n">
        <f aca="false">SUM(AB9:AB38)</f>
        <v>253.1</v>
      </c>
      <c r="AC7" s="117" t="n">
        <f aca="false">SUM(AC9:AC39)</f>
        <v>274.51</v>
      </c>
    </row>
    <row r="8" customFormat="false" ht="60" hidden="false" customHeight="false" outlineLevel="0" collapsed="false">
      <c r="A8" s="126" t="s">
        <v>61</v>
      </c>
      <c r="B8" s="127" t="s">
        <v>62</v>
      </c>
      <c r="C8" s="128" t="s">
        <v>103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175</v>
      </c>
      <c r="V8" s="124" t="s">
        <v>176</v>
      </c>
      <c r="W8" s="240"/>
      <c r="X8" s="138" t="s">
        <v>26</v>
      </c>
      <c r="Y8" s="139" t="s">
        <v>32</v>
      </c>
      <c r="Z8" s="140"/>
      <c r="AA8" s="267"/>
      <c r="AB8" s="266"/>
      <c r="AC8" s="318"/>
    </row>
    <row r="9" s="156" customFormat="true" ht="15" hidden="false" customHeight="false" outlineLevel="0" collapsed="false">
      <c r="A9" s="141" t="n">
        <v>1</v>
      </c>
      <c r="B9" s="273" t="n">
        <v>43497</v>
      </c>
      <c r="C9" s="145"/>
      <c r="D9" s="144" t="n">
        <f aca="false">F9</f>
        <v>171.66</v>
      </c>
      <c r="E9" s="145" t="n">
        <f aca="false">G9</f>
        <v>264.65</v>
      </c>
      <c r="F9" s="146" t="n">
        <f aca="false">G9-I9</f>
        <v>171.66</v>
      </c>
      <c r="G9" s="147" t="n">
        <f aca="false">$C$6/$G$1</f>
        <v>264.65</v>
      </c>
      <c r="H9" s="148" t="n">
        <f aca="false">I9</f>
        <v>92.99</v>
      </c>
      <c r="I9" s="149" t="n">
        <f aca="false">SUM(J9:AA9)</f>
        <v>92.99</v>
      </c>
      <c r="J9" s="150"/>
      <c r="K9" s="117"/>
      <c r="L9" s="118" t="n">
        <f aca="false">12.08+4.93</f>
        <v>17.01</v>
      </c>
      <c r="M9" s="118"/>
      <c r="N9" s="152" t="n">
        <f aca="false">15.98</f>
        <v>15.98</v>
      </c>
      <c r="O9" s="120" t="n">
        <f aca="false">50</f>
        <v>50</v>
      </c>
      <c r="P9" s="121" t="n">
        <f aca="false">10</f>
        <v>10</v>
      </c>
      <c r="Q9" s="122"/>
      <c r="R9" s="123"/>
      <c r="S9" s="153"/>
      <c r="T9" s="153"/>
      <c r="U9" s="123"/>
      <c r="V9" s="154"/>
      <c r="W9" s="240"/>
      <c r="X9" s="155"/>
      <c r="Y9" s="155"/>
      <c r="Z9" s="140"/>
      <c r="AA9" s="269"/>
      <c r="AB9" s="270"/>
      <c r="AC9" s="318"/>
    </row>
    <row r="10" customFormat="false" ht="15" hidden="false" customHeight="false" outlineLevel="0" collapsed="false">
      <c r="A10" s="157" t="n">
        <v>2</v>
      </c>
      <c r="B10" s="272" t="n">
        <v>43498</v>
      </c>
      <c r="C10" s="159"/>
      <c r="D10" s="242" t="n">
        <f aca="false">D9+F10</f>
        <v>154.6</v>
      </c>
      <c r="E10" s="159" t="n">
        <f aca="false">E9+G10</f>
        <v>529.3</v>
      </c>
      <c r="F10" s="146" t="n">
        <f aca="false">G10-I10</f>
        <v>-17.06</v>
      </c>
      <c r="G10" s="160" t="n">
        <f aca="false">$C$6/$G$1</f>
        <v>264.65</v>
      </c>
      <c r="H10" s="161" t="n">
        <f aca="false">H9+I10</f>
        <v>374.7</v>
      </c>
      <c r="I10" s="149" t="n">
        <f aca="false">SUM(J10:AA10)</f>
        <v>281.71</v>
      </c>
      <c r="J10" s="150"/>
      <c r="K10" s="135"/>
      <c r="L10" s="118" t="n">
        <f aca="false">5.1+155.94-15.99-29.99-7.99-12.99+4.69</f>
        <v>98.77</v>
      </c>
      <c r="M10" s="118"/>
      <c r="N10" s="152" t="n">
        <f aca="false">12.99+15.99+7.99</f>
        <v>36.97</v>
      </c>
      <c r="O10" s="120"/>
      <c r="P10" s="121"/>
      <c r="Q10" s="122" t="n">
        <f aca="false">9.99</f>
        <v>9.99</v>
      </c>
      <c r="R10" s="123" t="n">
        <f aca="false">12.99</f>
        <v>12.99</v>
      </c>
      <c r="S10" s="153"/>
      <c r="T10" s="153"/>
      <c r="U10" s="123"/>
      <c r="V10" s="154"/>
      <c r="W10" s="240" t="n">
        <f aca="false">52.99+50</f>
        <v>102.99</v>
      </c>
      <c r="X10" s="155"/>
      <c r="Y10" s="155"/>
      <c r="Z10" s="140" t="n">
        <v>20</v>
      </c>
      <c r="AA10" s="267"/>
      <c r="AB10" s="266"/>
      <c r="AC10" s="318"/>
    </row>
    <row r="11" customFormat="false" ht="15" hidden="false" customHeight="false" outlineLevel="0" collapsed="false">
      <c r="A11" s="167" t="n">
        <v>3</v>
      </c>
      <c r="B11" s="268" t="n">
        <v>43499</v>
      </c>
      <c r="C11" s="169"/>
      <c r="D11" s="242" t="n">
        <f aca="false">D10+F11</f>
        <v>419.25</v>
      </c>
      <c r="E11" s="169" t="n">
        <f aca="false">E10+G11</f>
        <v>793.95</v>
      </c>
      <c r="F11" s="146" t="n">
        <f aca="false">G11-I11</f>
        <v>264.65</v>
      </c>
      <c r="G11" s="170" t="n">
        <f aca="false">$C$6/$G$1</f>
        <v>264.65</v>
      </c>
      <c r="H11" s="171" t="n">
        <f aca="false">H10+I11</f>
        <v>374.7</v>
      </c>
      <c r="I11" s="149" t="n">
        <f aca="false">SUM(J11:AA11)</f>
        <v>0</v>
      </c>
      <c r="J11" s="150"/>
      <c r="K11" s="117"/>
      <c r="L11" s="202"/>
      <c r="M11" s="202"/>
      <c r="N11" s="203"/>
      <c r="O11" s="204"/>
      <c r="P11" s="205"/>
      <c r="Q11" s="206"/>
      <c r="R11" s="178"/>
      <c r="S11" s="173"/>
      <c r="T11" s="173"/>
      <c r="U11" s="178"/>
      <c r="V11" s="179"/>
      <c r="W11" s="46"/>
      <c r="X11" s="155"/>
      <c r="Y11" s="155"/>
      <c r="Z11" s="140"/>
      <c r="AA11" s="267"/>
      <c r="AB11" s="266"/>
      <c r="AC11" s="318"/>
    </row>
    <row r="12" customFormat="false" ht="15" hidden="false" customHeight="false" outlineLevel="0" collapsed="false">
      <c r="A12" s="141" t="n">
        <v>4</v>
      </c>
      <c r="B12" s="273" t="n">
        <v>43500</v>
      </c>
      <c r="C12" s="145"/>
      <c r="D12" s="242" t="n">
        <f aca="false">D11+F12</f>
        <v>639.79</v>
      </c>
      <c r="E12" s="145" t="n">
        <f aca="false">E11+G12</f>
        <v>1058.6</v>
      </c>
      <c r="F12" s="146" t="n">
        <f aca="false">G12-I12</f>
        <v>220.54</v>
      </c>
      <c r="G12" s="147" t="n">
        <f aca="false">$C$6/$G$1</f>
        <v>264.65</v>
      </c>
      <c r="H12" s="148" t="n">
        <f aca="false">H11+I12</f>
        <v>418.81</v>
      </c>
      <c r="I12" s="149" t="n">
        <f aca="false">SUM(J12:AA12)</f>
        <v>44.11</v>
      </c>
      <c r="J12" s="150"/>
      <c r="K12" s="117"/>
      <c r="L12" s="244" t="n">
        <f aca="false">5.1</f>
        <v>5.1</v>
      </c>
      <c r="M12" s="244"/>
      <c r="N12" s="245"/>
      <c r="O12" s="246"/>
      <c r="P12" s="247"/>
      <c r="Q12" s="248"/>
      <c r="R12" s="249"/>
      <c r="S12" s="250" t="n">
        <f aca="false">39.01</f>
        <v>39.01</v>
      </c>
      <c r="T12" s="250"/>
      <c r="U12" s="249"/>
      <c r="V12" s="251"/>
      <c r="W12" s="252"/>
      <c r="X12" s="155"/>
      <c r="Y12" s="155"/>
      <c r="Z12" s="140"/>
      <c r="AA12" s="269"/>
      <c r="AB12" s="270"/>
      <c r="AC12" s="318"/>
    </row>
    <row r="13" customFormat="false" ht="15" hidden="false" customHeight="false" outlineLevel="0" collapsed="false">
      <c r="A13" s="157" t="n">
        <v>5</v>
      </c>
      <c r="B13" s="273" t="n">
        <v>43501</v>
      </c>
      <c r="C13" s="159"/>
      <c r="D13" s="242" t="n">
        <f aca="false">D12+F13</f>
        <v>633.17</v>
      </c>
      <c r="E13" s="159" t="n">
        <f aca="false">E12+G13</f>
        <v>1323.25</v>
      </c>
      <c r="F13" s="146" t="n">
        <f aca="false">G13-I13</f>
        <v>-6.62</v>
      </c>
      <c r="G13" s="160" t="n">
        <f aca="false">$C$6/$G$1</f>
        <v>264.65</v>
      </c>
      <c r="H13" s="161" t="n">
        <f aca="false">H12+I13</f>
        <v>690.08</v>
      </c>
      <c r="I13" s="149" t="n">
        <f aca="false">SUM(J13:AA13)</f>
        <v>271.27</v>
      </c>
      <c r="J13" s="150"/>
      <c r="K13" s="117"/>
      <c r="L13" s="254" t="n">
        <f aca="false">5.67+4.49+5.11</f>
        <v>15.27</v>
      </c>
      <c r="M13" s="254"/>
      <c r="N13" s="255"/>
      <c r="O13" s="256"/>
      <c r="P13" s="257"/>
      <c r="Q13" s="258"/>
      <c r="R13" s="259"/>
      <c r="S13" s="176" t="n">
        <f aca="false">256</f>
        <v>256</v>
      </c>
      <c r="T13" s="176"/>
      <c r="U13" s="259"/>
      <c r="V13" s="260"/>
      <c r="W13" s="261"/>
      <c r="X13" s="155"/>
      <c r="Y13" s="155"/>
      <c r="Z13" s="140"/>
      <c r="AA13" s="267"/>
      <c r="AB13" s="266"/>
      <c r="AC13" s="318"/>
    </row>
    <row r="14" customFormat="false" ht="15" hidden="false" customHeight="false" outlineLevel="0" collapsed="false">
      <c r="A14" s="167" t="n">
        <v>6</v>
      </c>
      <c r="B14" s="273" t="n">
        <v>43502</v>
      </c>
      <c r="C14" s="159"/>
      <c r="D14" s="242" t="n">
        <f aca="false">D13+F14</f>
        <v>755.95</v>
      </c>
      <c r="E14" s="169" t="n">
        <f aca="false">E13+G14</f>
        <v>1587.9</v>
      </c>
      <c r="F14" s="146" t="n">
        <f aca="false">G14-I14</f>
        <v>122.78</v>
      </c>
      <c r="G14" s="170" t="n">
        <f aca="false">$C$6/$G$1</f>
        <v>264.65</v>
      </c>
      <c r="H14" s="171" t="n">
        <f aca="false">H13+I14</f>
        <v>831.95</v>
      </c>
      <c r="I14" s="149" t="n">
        <f aca="false">SUM(J14:AA14)</f>
        <v>141.87</v>
      </c>
      <c r="J14" s="150"/>
      <c r="K14" s="135"/>
      <c r="L14" s="118" t="n">
        <f aca="false">9.68+77.38-4.99+3.93</f>
        <v>86</v>
      </c>
      <c r="M14" s="118"/>
      <c r="N14" s="152" t="n">
        <f aca="false">4.99</f>
        <v>4.99</v>
      </c>
      <c r="O14" s="120"/>
      <c r="P14" s="121"/>
      <c r="Q14" s="122"/>
      <c r="R14" s="123"/>
      <c r="S14" s="153"/>
      <c r="T14" s="153"/>
      <c r="U14" s="123" t="n">
        <f aca="false">36.98+13.9</f>
        <v>50.88</v>
      </c>
      <c r="V14" s="154"/>
      <c r="W14" s="240"/>
      <c r="X14" s="155"/>
      <c r="Y14" s="155"/>
      <c r="Z14" s="140"/>
      <c r="AA14" s="267"/>
      <c r="AB14" s="266"/>
      <c r="AC14" s="318"/>
    </row>
    <row r="15" s="156" customFormat="true" ht="16.5" hidden="false" customHeight="true" outlineLevel="0" collapsed="false">
      <c r="A15" s="141" t="n">
        <v>7</v>
      </c>
      <c r="B15" s="273" t="n">
        <v>43503</v>
      </c>
      <c r="C15" s="306"/>
      <c r="D15" s="242" t="n">
        <f aca="false">D14+F15</f>
        <v>914.15</v>
      </c>
      <c r="E15" s="145" t="n">
        <f aca="false">E14+G15</f>
        <v>1852.55</v>
      </c>
      <c r="F15" s="146" t="n">
        <f aca="false">G15-I15</f>
        <v>158.2</v>
      </c>
      <c r="G15" s="147" t="n">
        <f aca="false">$C$6/$G$1</f>
        <v>264.65</v>
      </c>
      <c r="H15" s="148" t="n">
        <f aca="false">H14+I15</f>
        <v>938.4</v>
      </c>
      <c r="I15" s="149" t="n">
        <f aca="false">SUM(J15:AA15)</f>
        <v>106.45</v>
      </c>
      <c r="J15" s="150" t="n">
        <v>69.42</v>
      </c>
      <c r="K15" s="117" t="s">
        <v>108</v>
      </c>
      <c r="L15" s="118" t="n">
        <f aca="false">7.55</f>
        <v>7.55</v>
      </c>
      <c r="M15" s="118"/>
      <c r="N15" s="152" t="n">
        <f aca="false">29.48</f>
        <v>29.48</v>
      </c>
      <c r="O15" s="120"/>
      <c r="P15" s="121"/>
      <c r="Q15" s="122"/>
      <c r="R15" s="123"/>
      <c r="S15" s="153"/>
      <c r="T15" s="153"/>
      <c r="U15" s="123"/>
      <c r="V15" s="154"/>
      <c r="W15" s="240"/>
      <c r="X15" s="155"/>
      <c r="Y15" s="155"/>
      <c r="Z15" s="140"/>
      <c r="AA15" s="269"/>
      <c r="AB15" s="270"/>
      <c r="AC15" s="318"/>
    </row>
    <row r="16" customFormat="false" ht="15" hidden="false" customHeight="false" outlineLevel="0" collapsed="false">
      <c r="A16" s="157" t="n">
        <v>8</v>
      </c>
      <c r="B16" s="273" t="n">
        <v>43504</v>
      </c>
      <c r="C16" s="159"/>
      <c r="D16" s="242" t="n">
        <f aca="false">D15+F16</f>
        <v>1108.85</v>
      </c>
      <c r="E16" s="159" t="n">
        <f aca="false">E15+G16</f>
        <v>2117.2</v>
      </c>
      <c r="F16" s="146" t="n">
        <f aca="false">G16-I16</f>
        <v>194.7</v>
      </c>
      <c r="G16" s="160" t="n">
        <f aca="false">$C$6/$G$1</f>
        <v>264.65</v>
      </c>
      <c r="H16" s="161" t="n">
        <f aca="false">H15+I16</f>
        <v>1008.35</v>
      </c>
      <c r="I16" s="149" t="n">
        <f aca="false">SUM(J16:AA16)</f>
        <v>69.95</v>
      </c>
      <c r="J16" s="150"/>
      <c r="K16" s="135"/>
      <c r="L16" s="118" t="n">
        <f aca="false">21.98+33.67+7.3</f>
        <v>62.95</v>
      </c>
      <c r="M16" s="118" t="n">
        <f aca="false">4+3</f>
        <v>7</v>
      </c>
      <c r="N16" s="152"/>
      <c r="O16" s="120"/>
      <c r="P16" s="121"/>
      <c r="Q16" s="122"/>
      <c r="R16" s="123"/>
      <c r="S16" s="153"/>
      <c r="T16" s="153"/>
      <c r="U16" s="123"/>
      <c r="V16" s="154"/>
      <c r="W16" s="240"/>
      <c r="X16" s="155"/>
      <c r="Y16" s="155"/>
      <c r="Z16" s="140"/>
      <c r="AA16" s="267"/>
      <c r="AB16" s="266"/>
      <c r="AC16" s="318"/>
    </row>
    <row r="17" customFormat="false" ht="15" hidden="false" customHeight="false" outlineLevel="0" collapsed="false">
      <c r="A17" s="162" t="n">
        <v>9</v>
      </c>
      <c r="B17" s="272" t="n">
        <v>43505</v>
      </c>
      <c r="C17" s="164"/>
      <c r="D17" s="242" t="n">
        <f aca="false">D16+F17</f>
        <v>556.36</v>
      </c>
      <c r="E17" s="164" t="n">
        <f aca="false">E16+G17</f>
        <v>2381.85</v>
      </c>
      <c r="F17" s="146" t="n">
        <f aca="false">G17-I17</f>
        <v>-552.49</v>
      </c>
      <c r="G17" s="165" t="n">
        <f aca="false">$C$6/$G$1</f>
        <v>264.65</v>
      </c>
      <c r="H17" s="166" t="n">
        <f aca="false">H16+I17</f>
        <v>1825.49</v>
      </c>
      <c r="I17" s="149" t="n">
        <f aca="false">SUM(J17:AA17)</f>
        <v>817.14</v>
      </c>
      <c r="J17" s="150" t="n">
        <v>582.92</v>
      </c>
      <c r="K17" s="135" t="s">
        <v>87</v>
      </c>
      <c r="L17" s="118" t="n">
        <f aca="false">14.44+137.6-16.98</f>
        <v>135.06</v>
      </c>
      <c r="M17" s="118"/>
      <c r="N17" s="152" t="n">
        <f aca="false">16.98+2.69+53.42+5.1+16.98</f>
        <v>95.17</v>
      </c>
      <c r="O17" s="120"/>
      <c r="P17" s="121" t="n">
        <f aca="false">3.99</f>
        <v>3.99</v>
      </c>
      <c r="Q17" s="122"/>
      <c r="R17" s="123"/>
      <c r="S17" s="153"/>
      <c r="T17" s="153"/>
      <c r="U17" s="123"/>
      <c r="V17" s="154"/>
      <c r="W17" s="240"/>
      <c r="X17" s="155"/>
      <c r="Y17" s="155"/>
      <c r="Z17" s="140"/>
      <c r="AA17" s="267"/>
      <c r="AB17" s="266"/>
      <c r="AC17" s="318"/>
    </row>
    <row r="18" customFormat="false" ht="15" hidden="false" customHeight="false" outlineLevel="0" collapsed="false">
      <c r="A18" s="167" t="n">
        <v>10</v>
      </c>
      <c r="B18" s="268" t="n">
        <v>43506</v>
      </c>
      <c r="C18" s="169"/>
      <c r="D18" s="242" t="n">
        <f aca="false">D17+F18</f>
        <v>725.37</v>
      </c>
      <c r="E18" s="169" t="n">
        <f aca="false">E17+G18</f>
        <v>2646.5</v>
      </c>
      <c r="F18" s="146" t="n">
        <f aca="false">G18-I18</f>
        <v>169.01</v>
      </c>
      <c r="G18" s="170" t="n">
        <f aca="false">$C$6/$G$1</f>
        <v>264.65</v>
      </c>
      <c r="H18" s="171" t="n">
        <f aca="false">H17+I18</f>
        <v>1921.13</v>
      </c>
      <c r="I18" s="149" t="n">
        <f aca="false">SUM(J18:AA18)</f>
        <v>95.64</v>
      </c>
      <c r="J18" s="150" t="n">
        <v>88.64</v>
      </c>
      <c r="K18" s="117" t="s">
        <v>92</v>
      </c>
      <c r="L18" s="202"/>
      <c r="M18" s="202"/>
      <c r="N18" s="203"/>
      <c r="O18" s="204"/>
      <c r="P18" s="205"/>
      <c r="Q18" s="206"/>
      <c r="R18" s="178"/>
      <c r="S18" s="173"/>
      <c r="T18" s="173"/>
      <c r="U18" s="178"/>
      <c r="V18" s="179"/>
      <c r="W18" s="46"/>
      <c r="X18" s="155"/>
      <c r="Y18" s="155"/>
      <c r="Z18" s="140" t="n">
        <f aca="false">7</f>
        <v>7</v>
      </c>
      <c r="AA18" s="267"/>
      <c r="AB18" s="266"/>
      <c r="AC18" s="318"/>
    </row>
    <row r="19" customFormat="false" ht="15" hidden="false" customHeight="false" outlineLevel="0" collapsed="false">
      <c r="A19" s="141" t="n">
        <v>11</v>
      </c>
      <c r="B19" s="273" t="n">
        <v>43507</v>
      </c>
      <c r="C19" s="145"/>
      <c r="D19" s="242" t="n">
        <f aca="false">D18+F19</f>
        <v>681.78</v>
      </c>
      <c r="E19" s="145" t="n">
        <f aca="false">E18+G19</f>
        <v>2911.15</v>
      </c>
      <c r="F19" s="146" t="n">
        <f aca="false">G19-I19</f>
        <v>-43.59</v>
      </c>
      <c r="G19" s="147" t="n">
        <f aca="false">$C$6/$G$1</f>
        <v>264.65</v>
      </c>
      <c r="H19" s="148" t="n">
        <f aca="false">H18+I19</f>
        <v>2229.37</v>
      </c>
      <c r="I19" s="149" t="n">
        <f aca="false">SUM(J19:AA19)</f>
        <v>308.24</v>
      </c>
      <c r="J19" s="135"/>
      <c r="K19" s="135"/>
      <c r="L19" s="244" t="n">
        <f aca="false">5.1+85.37</f>
        <v>90.47</v>
      </c>
      <c r="M19" s="244"/>
      <c r="N19" s="245"/>
      <c r="O19" s="246" t="n">
        <f aca="false">129</f>
        <v>129</v>
      </c>
      <c r="P19" s="262"/>
      <c r="Q19" s="248"/>
      <c r="R19" s="249" t="n">
        <f aca="false">74.14+14.63</f>
        <v>88.77</v>
      </c>
      <c r="S19" s="250"/>
      <c r="T19" s="250"/>
      <c r="U19" s="249"/>
      <c r="V19" s="251"/>
      <c r="W19" s="252"/>
      <c r="X19" s="155"/>
      <c r="Y19" s="155"/>
      <c r="Z19" s="140"/>
      <c r="AA19" s="269"/>
      <c r="AB19" s="270"/>
      <c r="AC19" s="318"/>
    </row>
    <row r="20" customFormat="false" ht="15" hidden="false" customHeight="false" outlineLevel="0" collapsed="false">
      <c r="A20" s="157" t="n">
        <v>12</v>
      </c>
      <c r="B20" s="273" t="n">
        <v>43508</v>
      </c>
      <c r="C20" s="159"/>
      <c r="D20" s="242" t="n">
        <f aca="false">D19+F20</f>
        <v>946.43</v>
      </c>
      <c r="E20" s="159" t="n">
        <f aca="false">E19+G20</f>
        <v>3175.8</v>
      </c>
      <c r="F20" s="146" t="n">
        <f aca="false">G20-I20</f>
        <v>264.65</v>
      </c>
      <c r="G20" s="160" t="n">
        <f aca="false">$C$6/$G$1</f>
        <v>264.65</v>
      </c>
      <c r="H20" s="161" t="n">
        <f aca="false">H19+I20</f>
        <v>2229.37</v>
      </c>
      <c r="I20" s="149" t="n">
        <f aca="false">SUM(J20:AA20)</f>
        <v>0</v>
      </c>
      <c r="J20" s="150"/>
      <c r="K20" s="117"/>
      <c r="L20" s="254"/>
      <c r="M20" s="254"/>
      <c r="N20" s="255"/>
      <c r="O20" s="256"/>
      <c r="P20" s="257"/>
      <c r="Q20" s="258"/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  <c r="AC20" s="318"/>
    </row>
    <row r="21" customFormat="false" ht="15" hidden="false" customHeight="false" outlineLevel="0" collapsed="false">
      <c r="A21" s="167" t="n">
        <v>13</v>
      </c>
      <c r="B21" s="273" t="n">
        <v>43509</v>
      </c>
      <c r="C21" s="169"/>
      <c r="D21" s="242" t="n">
        <f aca="false">D20+F21</f>
        <v>1171.08</v>
      </c>
      <c r="E21" s="169" t="n">
        <f aca="false">E20+G21</f>
        <v>3440.45</v>
      </c>
      <c r="F21" s="146" t="n">
        <f aca="false">G21-I21</f>
        <v>224.65</v>
      </c>
      <c r="G21" s="170" t="n">
        <f aca="false">$C$6/$G$1</f>
        <v>264.65</v>
      </c>
      <c r="H21" s="171" t="n">
        <f aca="false">H20+I21</f>
        <v>2269.37</v>
      </c>
      <c r="I21" s="149" t="n">
        <f aca="false">SUM(J21:AA21)</f>
        <v>40</v>
      </c>
      <c r="J21" s="150"/>
      <c r="K21" s="135"/>
      <c r="L21" s="118"/>
      <c r="M21" s="118"/>
      <c r="N21" s="152"/>
      <c r="O21" s="120"/>
      <c r="P21" s="121"/>
      <c r="Q21" s="122"/>
      <c r="R21" s="123"/>
      <c r="S21" s="153"/>
      <c r="T21" s="153"/>
      <c r="U21" s="123"/>
      <c r="V21" s="154"/>
      <c r="W21" s="240" t="n">
        <f aca="false">40</f>
        <v>40</v>
      </c>
      <c r="X21" s="155"/>
      <c r="Y21" s="155"/>
      <c r="Z21" s="140"/>
      <c r="AA21" s="267"/>
      <c r="AB21" s="266"/>
      <c r="AC21" s="318"/>
    </row>
    <row r="22" s="156" customFormat="true" ht="15" hidden="false" customHeight="false" outlineLevel="0" collapsed="false">
      <c r="A22" s="141" t="n">
        <v>14</v>
      </c>
      <c r="B22" s="273" t="n">
        <v>43510</v>
      </c>
      <c r="C22" s="145"/>
      <c r="D22" s="242" t="n">
        <f aca="false">D21+F22</f>
        <v>1319.85</v>
      </c>
      <c r="E22" s="145" t="n">
        <f aca="false">E21+G22</f>
        <v>3705.1</v>
      </c>
      <c r="F22" s="146" t="n">
        <f aca="false">G22-I22</f>
        <v>148.77</v>
      </c>
      <c r="G22" s="147" t="n">
        <f aca="false">$C$6/$G$1</f>
        <v>264.65</v>
      </c>
      <c r="H22" s="148" t="n">
        <f aca="false">H21+I22</f>
        <v>2385.25</v>
      </c>
      <c r="I22" s="149" t="n">
        <f aca="false">SUM(J22:AA22)</f>
        <v>115.88</v>
      </c>
      <c r="J22" s="150" t="n">
        <v>64</v>
      </c>
      <c r="K22" s="135" t="s">
        <v>89</v>
      </c>
      <c r="L22" s="118" t="n">
        <f aca="false">32.57</f>
        <v>32.57</v>
      </c>
      <c r="M22" s="118"/>
      <c r="N22" s="152" t="n">
        <f aca="false">14.99</f>
        <v>14.99</v>
      </c>
      <c r="O22" s="120"/>
      <c r="P22" s="121"/>
      <c r="Q22" s="122"/>
      <c r="R22" s="123" t="n">
        <f aca="false">4.32</f>
        <v>4.32</v>
      </c>
      <c r="S22" s="153"/>
      <c r="T22" s="153"/>
      <c r="U22" s="123"/>
      <c r="V22" s="154"/>
      <c r="W22" s="240"/>
      <c r="X22" s="155"/>
      <c r="Y22" s="155"/>
      <c r="Z22" s="140"/>
      <c r="AA22" s="269"/>
      <c r="AB22" s="270"/>
      <c r="AC22" s="318"/>
    </row>
    <row r="23" customFormat="false" ht="15" hidden="false" customHeight="false" outlineLevel="0" collapsed="false">
      <c r="A23" s="157" t="n">
        <v>15</v>
      </c>
      <c r="B23" s="273" t="n">
        <v>43511</v>
      </c>
      <c r="C23" s="159"/>
      <c r="D23" s="242" t="n">
        <f aca="false">D22+F23</f>
        <v>1233.03</v>
      </c>
      <c r="E23" s="159" t="n">
        <f aca="false">E22+G23</f>
        <v>3969.75</v>
      </c>
      <c r="F23" s="146" t="n">
        <f aca="false">G23-I23</f>
        <v>-86.82</v>
      </c>
      <c r="G23" s="160" t="n">
        <f aca="false">$C$6/$G$1</f>
        <v>264.65</v>
      </c>
      <c r="H23" s="161" t="n">
        <f aca="false">H22+I23</f>
        <v>2736.72</v>
      </c>
      <c r="I23" s="149" t="n">
        <f aca="false">SUM(J23:AA23)</f>
        <v>351.47</v>
      </c>
      <c r="J23" s="150"/>
      <c r="K23" s="117"/>
      <c r="L23" s="118"/>
      <c r="M23" s="118" t="n">
        <f aca="false">31.4</f>
        <v>31.4</v>
      </c>
      <c r="N23" s="152" t="n">
        <f aca="false">8.99+27.07</f>
        <v>36.06</v>
      </c>
      <c r="O23" s="120"/>
      <c r="P23" s="121" t="n">
        <f aca="false">95.9+13.9</f>
        <v>109.8</v>
      </c>
      <c r="Q23" s="122" t="n">
        <f aca="false">27.95+29.95+17.98</f>
        <v>75.88</v>
      </c>
      <c r="R23" s="123"/>
      <c r="S23" s="153" t="n">
        <f aca="false">98.33</f>
        <v>98.33</v>
      </c>
      <c r="T23" s="153"/>
      <c r="U23" s="123"/>
      <c r="V23" s="154"/>
      <c r="W23" s="240"/>
      <c r="X23" s="155"/>
      <c r="Y23" s="155"/>
      <c r="Z23" s="140"/>
      <c r="AA23" s="267"/>
      <c r="AB23" s="266"/>
      <c r="AC23" s="318"/>
    </row>
    <row r="24" customFormat="false" ht="15" hidden="false" customHeight="false" outlineLevel="0" collapsed="false">
      <c r="A24" s="162" t="n">
        <v>16</v>
      </c>
      <c r="B24" s="272" t="n">
        <v>43512</v>
      </c>
      <c r="C24" s="164"/>
      <c r="D24" s="242" t="n">
        <f aca="false">D23+F24</f>
        <v>888.1</v>
      </c>
      <c r="E24" s="164" t="n">
        <f aca="false">E23+G24</f>
        <v>4234.4</v>
      </c>
      <c r="F24" s="146" t="n">
        <f aca="false">G24-I24</f>
        <v>-344.93</v>
      </c>
      <c r="G24" s="165" t="n">
        <f aca="false">$C$6/$G$1</f>
        <v>264.65</v>
      </c>
      <c r="H24" s="166" t="n">
        <f aca="false">H23+I24</f>
        <v>3346.3</v>
      </c>
      <c r="I24" s="149" t="n">
        <f aca="false">SUM(J24:AA24)</f>
        <v>609.58</v>
      </c>
      <c r="J24" s="150"/>
      <c r="K24" s="117"/>
      <c r="L24" s="118" t="n">
        <f aca="false">3.49+15.99+1.99+1.99+3.99+3.99+2.79+4.99+4.99+33.5+9.8+351.04-62.99-16.98-9.98+1.89</f>
        <v>350.49</v>
      </c>
      <c r="M24" s="118"/>
      <c r="N24" s="152" t="n">
        <f aca="false">31.87+24.38+16.98+9.98</f>
        <v>83.21</v>
      </c>
      <c r="O24" s="120"/>
      <c r="P24" s="121"/>
      <c r="Q24" s="122"/>
      <c r="R24" s="123"/>
      <c r="S24" s="153"/>
      <c r="T24" s="153" t="n">
        <f aca="false">5.99+5.99+7.99+26.99</f>
        <v>46.96</v>
      </c>
      <c r="U24" s="123"/>
      <c r="V24" s="154"/>
      <c r="W24" s="240"/>
      <c r="X24" s="155" t="n">
        <f aca="false">22.99+22.99+19.95+62.99</f>
        <v>128.92</v>
      </c>
      <c r="Y24" s="155"/>
      <c r="Z24" s="140"/>
      <c r="AA24" s="267"/>
      <c r="AB24" s="266"/>
      <c r="AC24" s="318"/>
    </row>
    <row r="25" customFormat="false" ht="15" hidden="false" customHeight="false" outlineLevel="0" collapsed="false">
      <c r="A25" s="167" t="n">
        <v>17</v>
      </c>
      <c r="B25" s="268" t="n">
        <v>43513</v>
      </c>
      <c r="C25" s="169"/>
      <c r="D25" s="242" t="n">
        <f aca="false">D24+F25</f>
        <v>1152.75</v>
      </c>
      <c r="E25" s="169" t="n">
        <f aca="false">E24+G25</f>
        <v>4499.05</v>
      </c>
      <c r="F25" s="146" t="n">
        <f aca="false">G25-I25</f>
        <v>264.65</v>
      </c>
      <c r="G25" s="170" t="n">
        <f aca="false">$C$6/$G$1</f>
        <v>264.65</v>
      </c>
      <c r="H25" s="171" t="n">
        <f aca="false">H24+I25</f>
        <v>3346.3</v>
      </c>
      <c r="I25" s="149" t="n">
        <f aca="false">SUM(J25:AA25)</f>
        <v>0</v>
      </c>
      <c r="J25" s="150"/>
      <c r="K25" s="117"/>
      <c r="L25" s="202"/>
      <c r="M25" s="202"/>
      <c r="N25" s="203"/>
      <c r="O25" s="204"/>
      <c r="P25" s="205"/>
      <c r="Q25" s="206"/>
      <c r="R25" s="178"/>
      <c r="S25" s="173"/>
      <c r="T25" s="173"/>
      <c r="U25" s="178"/>
      <c r="V25" s="179"/>
      <c r="W25" s="46"/>
      <c r="X25" s="155"/>
      <c r="Y25" s="155"/>
      <c r="Z25" s="140"/>
      <c r="AA25" s="267"/>
      <c r="AB25" s="266"/>
      <c r="AC25" s="318"/>
    </row>
    <row r="26" customFormat="false" ht="15" hidden="false" customHeight="false" outlineLevel="0" collapsed="false">
      <c r="A26" s="141" t="n">
        <v>18</v>
      </c>
      <c r="B26" s="273" t="n">
        <v>43514</v>
      </c>
      <c r="C26" s="145"/>
      <c r="D26" s="242" t="n">
        <f aca="false">D25+F26</f>
        <v>949.78</v>
      </c>
      <c r="E26" s="145" t="n">
        <f aca="false">E25+G26</f>
        <v>4763.7</v>
      </c>
      <c r="F26" s="146" t="n">
        <f aca="false">G26-I26</f>
        <v>-202.97</v>
      </c>
      <c r="G26" s="147" t="n">
        <f aca="false">$C$6/$G$1</f>
        <v>264.65</v>
      </c>
      <c r="H26" s="148" t="n">
        <f aca="false">H25+I26</f>
        <v>3813.92</v>
      </c>
      <c r="I26" s="149" t="n">
        <f aca="false">SUM(J26:AA26)</f>
        <v>467.62</v>
      </c>
      <c r="J26" s="150"/>
      <c r="K26" s="117"/>
      <c r="L26" s="244" t="n">
        <f aca="false">20.58+19.09</f>
        <v>39.67</v>
      </c>
      <c r="M26" s="244"/>
      <c r="N26" s="245"/>
      <c r="O26" s="246"/>
      <c r="P26" s="247" t="n">
        <f aca="false">47.95</f>
        <v>47.95</v>
      </c>
      <c r="Q26" s="248"/>
      <c r="R26" s="249"/>
      <c r="S26" s="250"/>
      <c r="T26" s="250"/>
      <c r="U26" s="249"/>
      <c r="V26" s="251"/>
      <c r="W26" s="252" t="n">
        <f aca="false">300+80</f>
        <v>380</v>
      </c>
      <c r="X26" s="155"/>
      <c r="Y26" s="155"/>
      <c r="Z26" s="140"/>
      <c r="AA26" s="269"/>
      <c r="AB26" s="270"/>
      <c r="AC26" s="318"/>
    </row>
    <row r="27" customFormat="false" ht="15" hidden="false" customHeight="false" outlineLevel="0" collapsed="false">
      <c r="A27" s="157" t="n">
        <v>19</v>
      </c>
      <c r="B27" s="273" t="n">
        <v>43515</v>
      </c>
      <c r="C27" s="159"/>
      <c r="D27" s="242" t="n">
        <f aca="false">D26+F27</f>
        <v>1006.41</v>
      </c>
      <c r="E27" s="159" t="n">
        <f aca="false">E26+G27</f>
        <v>5028.35</v>
      </c>
      <c r="F27" s="146" t="n">
        <f aca="false">G27-I27</f>
        <v>56.63</v>
      </c>
      <c r="G27" s="160" t="n">
        <f aca="false">$C$6/$G$1</f>
        <v>264.65</v>
      </c>
      <c r="H27" s="161" t="n">
        <f aca="false">H26+I27</f>
        <v>4021.94</v>
      </c>
      <c r="I27" s="149" t="n">
        <f aca="false">SUM(J27:AA27)</f>
        <v>208.02</v>
      </c>
      <c r="J27" s="150"/>
      <c r="K27" s="117"/>
      <c r="L27" s="254" t="n">
        <f aca="false">39.21+8.9+29.36+14.83</f>
        <v>92.3</v>
      </c>
      <c r="M27" s="254"/>
      <c r="N27" s="255" t="n">
        <f aca="false">74.73</f>
        <v>74.73</v>
      </c>
      <c r="O27" s="256"/>
      <c r="P27" s="257"/>
      <c r="Q27" s="258"/>
      <c r="R27" s="259"/>
      <c r="S27" s="176"/>
      <c r="T27" s="176"/>
      <c r="U27" s="259" t="n">
        <f aca="false">15.99</f>
        <v>15.99</v>
      </c>
      <c r="V27" s="260"/>
      <c r="W27" s="261" t="n">
        <f aca="false">25</f>
        <v>25</v>
      </c>
      <c r="X27" s="155"/>
      <c r="Y27" s="155"/>
      <c r="Z27" s="140"/>
      <c r="AA27" s="267"/>
      <c r="AB27" s="266"/>
      <c r="AC27" s="318"/>
    </row>
    <row r="28" customFormat="false" ht="15" hidden="false" customHeight="false" outlineLevel="0" collapsed="false">
      <c r="A28" s="167" t="n">
        <v>20</v>
      </c>
      <c r="B28" s="273" t="n">
        <v>43516</v>
      </c>
      <c r="C28" s="169"/>
      <c r="D28" s="242" t="n">
        <f aca="false">D27+F28</f>
        <v>911.22</v>
      </c>
      <c r="E28" s="169" t="n">
        <f aca="false">E27+G28</f>
        <v>5293</v>
      </c>
      <c r="F28" s="146" t="n">
        <f aca="false">G28-I28</f>
        <v>-95.1900000000001</v>
      </c>
      <c r="G28" s="170" t="n">
        <f aca="false">$C$6/$G$1</f>
        <v>264.65</v>
      </c>
      <c r="H28" s="171" t="n">
        <f aca="false">H27+I28</f>
        <v>4381.78</v>
      </c>
      <c r="I28" s="149" t="n">
        <f aca="false">SUM(J28:AA28)</f>
        <v>359.84</v>
      </c>
      <c r="J28" s="150" t="n">
        <v>13</v>
      </c>
      <c r="K28" s="135" t="s">
        <v>91</v>
      </c>
      <c r="L28" s="118" t="n">
        <f aca="false">5.4+8</f>
        <v>13.4</v>
      </c>
      <c r="M28" s="118" t="n">
        <f aca="false">57.2</f>
        <v>57.2</v>
      </c>
      <c r="N28" s="152"/>
      <c r="O28" s="120"/>
      <c r="P28" s="121"/>
      <c r="Q28" s="122"/>
      <c r="R28" s="123"/>
      <c r="S28" s="153" t="n">
        <f aca="false">247.25</f>
        <v>247.25</v>
      </c>
      <c r="T28" s="153"/>
      <c r="U28" s="123"/>
      <c r="V28" s="154"/>
      <c r="W28" s="240" t="n">
        <f aca="false">28.99</f>
        <v>28.99</v>
      </c>
      <c r="X28" s="155"/>
      <c r="Y28" s="155"/>
      <c r="Z28" s="140"/>
      <c r="AA28" s="267"/>
      <c r="AB28" s="266"/>
      <c r="AC28" s="318"/>
    </row>
    <row r="29" s="156" customFormat="true" ht="15" hidden="false" customHeight="false" outlineLevel="0" collapsed="false">
      <c r="A29" s="141" t="n">
        <v>21</v>
      </c>
      <c r="B29" s="273" t="n">
        <v>43517</v>
      </c>
      <c r="C29" s="145"/>
      <c r="D29" s="242" t="n">
        <f aca="false">D28+F29</f>
        <v>896.02</v>
      </c>
      <c r="E29" s="145" t="n">
        <f aca="false">E28+G29</f>
        <v>5557.65</v>
      </c>
      <c r="F29" s="146" t="n">
        <f aca="false">G29-I29</f>
        <v>-15.2</v>
      </c>
      <c r="G29" s="147" t="n">
        <f aca="false">$C$6/$G$1</f>
        <v>264.65</v>
      </c>
      <c r="H29" s="148" t="n">
        <f aca="false">H28+I29</f>
        <v>4661.63</v>
      </c>
      <c r="I29" s="149" t="n">
        <f aca="false">SUM(J29:AA29)</f>
        <v>279.85</v>
      </c>
      <c r="J29" s="150"/>
      <c r="K29" s="117"/>
      <c r="L29" s="118" t="n">
        <f aca="false">180.83-16.98+167.87-9.19-9.19-14.99-17.49-2.89-17.99</f>
        <v>259.98</v>
      </c>
      <c r="M29" s="118"/>
      <c r="N29" s="152" t="n">
        <f aca="false">16.98+2.89</f>
        <v>19.87</v>
      </c>
      <c r="O29" s="120"/>
      <c r="P29" s="121"/>
      <c r="Q29" s="122"/>
      <c r="R29" s="123"/>
      <c r="S29" s="153"/>
      <c r="T29" s="153"/>
      <c r="U29" s="123"/>
      <c r="V29" s="154"/>
      <c r="W29" s="240"/>
      <c r="X29" s="155"/>
      <c r="Y29" s="155"/>
      <c r="Z29" s="140"/>
      <c r="AA29" s="269"/>
      <c r="AB29" s="270" t="n">
        <f aca="false">139.9</f>
        <v>139.9</v>
      </c>
      <c r="AC29" s="318" t="n">
        <f aca="false">9.19+9.19+14.99+17.49+17.99</f>
        <v>68.85</v>
      </c>
    </row>
    <row r="30" customFormat="false" ht="15" hidden="false" customHeight="false" outlineLevel="0" collapsed="false">
      <c r="A30" s="157" t="n">
        <v>22</v>
      </c>
      <c r="B30" s="273" t="n">
        <v>43518</v>
      </c>
      <c r="C30" s="159"/>
      <c r="D30" s="242" t="n">
        <f aca="false">D29+F30</f>
        <v>1028.04</v>
      </c>
      <c r="E30" s="159" t="n">
        <f aca="false">E29+G30</f>
        <v>5822.3</v>
      </c>
      <c r="F30" s="146" t="n">
        <f aca="false">G30-I30</f>
        <v>132.02</v>
      </c>
      <c r="G30" s="160" t="n">
        <f aca="false">$C$6/$G$1</f>
        <v>264.65</v>
      </c>
      <c r="H30" s="161" t="n">
        <f aca="false">H29+I30</f>
        <v>4794.26</v>
      </c>
      <c r="I30" s="149" t="n">
        <f aca="false">SUM(J30:AA30)</f>
        <v>132.63</v>
      </c>
      <c r="J30" s="150"/>
      <c r="K30" s="117"/>
      <c r="L30" s="118" t="n">
        <f aca="false">3.99+7.8+91.92-3.49-3.49-3.49-26</f>
        <v>67.24</v>
      </c>
      <c r="M30" s="118"/>
      <c r="N30" s="152"/>
      <c r="O30" s="120"/>
      <c r="P30" s="121"/>
      <c r="Q30" s="122"/>
      <c r="R30" s="123"/>
      <c r="S30" s="153"/>
      <c r="T30" s="153"/>
      <c r="U30" s="123"/>
      <c r="V30" s="154"/>
      <c r="W30" s="240" t="n">
        <f aca="false">28.92+26</f>
        <v>54.92</v>
      </c>
      <c r="X30" s="155" t="n">
        <f aca="false">3.49+3.49+3.49</f>
        <v>10.47</v>
      </c>
      <c r="Y30" s="155"/>
      <c r="Z30" s="140"/>
      <c r="AA30" s="267"/>
      <c r="AB30" s="266"/>
      <c r="AC30" s="318"/>
    </row>
    <row r="31" customFormat="false" ht="15" hidden="false" customHeight="false" outlineLevel="0" collapsed="false">
      <c r="A31" s="162" t="n">
        <v>23</v>
      </c>
      <c r="B31" s="272" t="n">
        <v>43519</v>
      </c>
      <c r="C31" s="164"/>
      <c r="D31" s="242" t="n">
        <f aca="false">D30+F31</f>
        <v>1283.29</v>
      </c>
      <c r="E31" s="164" t="n">
        <f aca="false">E30+G31</f>
        <v>6086.95</v>
      </c>
      <c r="F31" s="146" t="n">
        <f aca="false">G31-I31</f>
        <v>255.25</v>
      </c>
      <c r="G31" s="165" t="n">
        <f aca="false">$C$6/$G$1</f>
        <v>264.65</v>
      </c>
      <c r="H31" s="166" t="n">
        <f aca="false">H30+I31</f>
        <v>4803.66</v>
      </c>
      <c r="I31" s="149" t="n">
        <f aca="false">SUM(J31:AA31)</f>
        <v>9.4</v>
      </c>
      <c r="J31" s="150"/>
      <c r="K31" s="117"/>
      <c r="L31" s="118"/>
      <c r="M31" s="118" t="n">
        <f aca="false">9.4</f>
        <v>9.4</v>
      </c>
      <c r="N31" s="152"/>
      <c r="O31" s="120"/>
      <c r="P31" s="121"/>
      <c r="Q31" s="122"/>
      <c r="R31" s="123"/>
      <c r="S31" s="153"/>
      <c r="T31" s="153"/>
      <c r="U31" s="123"/>
      <c r="V31" s="154"/>
      <c r="W31" s="240"/>
      <c r="X31" s="155"/>
      <c r="Y31" s="155"/>
      <c r="Z31" s="140"/>
      <c r="AA31" s="267"/>
      <c r="AB31" s="266"/>
      <c r="AC31" s="318"/>
    </row>
    <row r="32" customFormat="false" ht="15" hidden="false" customHeight="false" outlineLevel="0" collapsed="false">
      <c r="A32" s="167" t="n">
        <v>24</v>
      </c>
      <c r="B32" s="268" t="n">
        <v>43520</v>
      </c>
      <c r="C32" s="169"/>
      <c r="D32" s="242" t="n">
        <f aca="false">D31+F32</f>
        <v>1534.95</v>
      </c>
      <c r="E32" s="169" t="n">
        <f aca="false">E31+G32</f>
        <v>6351.6</v>
      </c>
      <c r="F32" s="146" t="n">
        <f aca="false">G32-I32</f>
        <v>251.66</v>
      </c>
      <c r="G32" s="170" t="n">
        <f aca="false">$C$6/$G$1</f>
        <v>264.65</v>
      </c>
      <c r="H32" s="171" t="n">
        <f aca="false">H31+I32</f>
        <v>4816.65</v>
      </c>
      <c r="I32" s="149" t="n">
        <f aca="false">SUM(J32:AA32)</f>
        <v>12.99</v>
      </c>
      <c r="J32" s="150"/>
      <c r="K32" s="117"/>
      <c r="L32" s="202" t="n">
        <f aca="false">2</f>
        <v>2</v>
      </c>
      <c r="M32" s="202"/>
      <c r="N32" s="203" t="n">
        <f aca="false">10.99</f>
        <v>10.99</v>
      </c>
      <c r="O32" s="204"/>
      <c r="P32" s="205"/>
      <c r="Q32" s="206"/>
      <c r="R32" s="178"/>
      <c r="S32" s="173"/>
      <c r="T32" s="173"/>
      <c r="U32" s="178"/>
      <c r="V32" s="179"/>
      <c r="W32" s="46"/>
      <c r="X32" s="155"/>
      <c r="Y32" s="155"/>
      <c r="Z32" s="140"/>
      <c r="AA32" s="267"/>
      <c r="AB32" s="266"/>
      <c r="AC32" s="318"/>
    </row>
    <row r="33" customFormat="false" ht="15" hidden="false" customHeight="false" outlineLevel="0" collapsed="false">
      <c r="A33" s="141" t="n">
        <v>25</v>
      </c>
      <c r="B33" s="273" t="n">
        <v>43521</v>
      </c>
      <c r="C33" s="145"/>
      <c r="D33" s="242" t="n">
        <f aca="false">D32+F33</f>
        <v>1420.45</v>
      </c>
      <c r="E33" s="145" t="n">
        <f aca="false">E32+G33</f>
        <v>6616.25</v>
      </c>
      <c r="F33" s="146" t="n">
        <f aca="false">G33-I33</f>
        <v>-114.5</v>
      </c>
      <c r="G33" s="147" t="n">
        <f aca="false">$C$6/$G$1</f>
        <v>264.65</v>
      </c>
      <c r="H33" s="148" t="n">
        <f aca="false">H32+I33</f>
        <v>5195.8</v>
      </c>
      <c r="I33" s="149" t="n">
        <f aca="false">SUM(J33:AA33)</f>
        <v>379.15</v>
      </c>
      <c r="J33" s="150" t="n">
        <f aca="false">49.5</f>
        <v>49.5</v>
      </c>
      <c r="K33" s="117" t="s">
        <v>117</v>
      </c>
      <c r="L33" s="244" t="n">
        <f aca="false">6.79+5.1+98.76-2.99-7.99</f>
        <v>99.67</v>
      </c>
      <c r="M33" s="244"/>
      <c r="N33" s="245" t="n">
        <f aca="false">7.99+2.99</f>
        <v>10.98</v>
      </c>
      <c r="O33" s="246"/>
      <c r="P33" s="247" t="n">
        <f aca="false">219</f>
        <v>219</v>
      </c>
      <c r="Q33" s="248"/>
      <c r="R33" s="249"/>
      <c r="S33" s="250"/>
      <c r="T33" s="250"/>
      <c r="U33" s="249"/>
      <c r="V33" s="251"/>
      <c r="W33" s="252"/>
      <c r="X33" s="155"/>
      <c r="Y33" s="155"/>
      <c r="Z33" s="140"/>
      <c r="AA33" s="269"/>
      <c r="AB33" s="270"/>
      <c r="AC33" s="318"/>
    </row>
    <row r="34" customFormat="false" ht="15" hidden="false" customHeight="false" outlineLevel="0" collapsed="false">
      <c r="A34" s="157" t="n">
        <v>26</v>
      </c>
      <c r="B34" s="273" t="n">
        <v>43522</v>
      </c>
      <c r="C34" s="159"/>
      <c r="D34" s="242" t="n">
        <f aca="false">D33+F34</f>
        <v>1685.1</v>
      </c>
      <c r="E34" s="159" t="n">
        <f aca="false">E33+G34</f>
        <v>6880.9</v>
      </c>
      <c r="F34" s="146" t="n">
        <f aca="false">G34-I34</f>
        <v>264.65</v>
      </c>
      <c r="G34" s="160" t="n">
        <f aca="false">$C$6/$G$1</f>
        <v>264.65</v>
      </c>
      <c r="H34" s="161" t="n">
        <f aca="false">H33+I34</f>
        <v>5195.8</v>
      </c>
      <c r="I34" s="149" t="n">
        <f aca="false">SUM(J34:AA34)</f>
        <v>0</v>
      </c>
      <c r="J34" s="150"/>
      <c r="K34" s="117"/>
      <c r="L34" s="254"/>
      <c r="M34" s="254"/>
      <c r="N34" s="255"/>
      <c r="O34" s="256"/>
      <c r="P34" s="257"/>
      <c r="Q34" s="258"/>
      <c r="R34" s="259"/>
      <c r="S34" s="176"/>
      <c r="T34" s="176"/>
      <c r="U34" s="259"/>
      <c r="V34" s="260"/>
      <c r="W34" s="261"/>
      <c r="X34" s="155"/>
      <c r="Y34" s="155"/>
      <c r="Z34" s="140"/>
      <c r="AA34" s="267"/>
      <c r="AB34" s="266"/>
      <c r="AC34" s="318"/>
    </row>
    <row r="35" customFormat="false" ht="15" hidden="false" customHeight="false" outlineLevel="0" collapsed="false">
      <c r="A35" s="167" t="n">
        <v>27</v>
      </c>
      <c r="B35" s="273" t="n">
        <v>43523</v>
      </c>
      <c r="C35" s="169"/>
      <c r="D35" s="242" t="n">
        <f aca="false">D34+F35</f>
        <v>1816.21</v>
      </c>
      <c r="E35" s="169" t="n">
        <f aca="false">E34+G35</f>
        <v>7145.55</v>
      </c>
      <c r="F35" s="146" t="n">
        <f aca="false">G35-I35</f>
        <v>131.11</v>
      </c>
      <c r="G35" s="170" t="n">
        <f aca="false">$C$6/$G$1</f>
        <v>264.65</v>
      </c>
      <c r="H35" s="171" t="n">
        <f aca="false">H34+I35</f>
        <v>5329.34</v>
      </c>
      <c r="I35" s="149" t="n">
        <f aca="false">SUM(J35:AA35)</f>
        <v>133.54</v>
      </c>
      <c r="J35" s="150"/>
      <c r="K35" s="117"/>
      <c r="L35" s="118" t="n">
        <f aca="false">81.87+7.8</f>
        <v>89.67</v>
      </c>
      <c r="M35" s="118"/>
      <c r="N35" s="152" t="n">
        <f aca="false">11.58</f>
        <v>11.58</v>
      </c>
      <c r="O35" s="120"/>
      <c r="P35" s="121"/>
      <c r="Q35" s="122"/>
      <c r="R35" s="123"/>
      <c r="S35" s="153"/>
      <c r="T35" s="153"/>
      <c r="U35" s="123" t="n">
        <f aca="false">32.29</f>
        <v>32.29</v>
      </c>
      <c r="V35" s="154"/>
      <c r="W35" s="240"/>
      <c r="X35" s="155"/>
      <c r="Y35" s="155"/>
      <c r="Z35" s="140"/>
      <c r="AA35" s="267"/>
      <c r="AB35" s="266"/>
      <c r="AC35" s="318" t="n">
        <f aca="false">46.37+33.29</f>
        <v>79.66</v>
      </c>
    </row>
    <row r="36" s="156" customFormat="true" ht="15" hidden="false" customHeight="false" outlineLevel="0" collapsed="false">
      <c r="A36" s="141" t="n">
        <v>28</v>
      </c>
      <c r="B36" s="273" t="n">
        <v>43524</v>
      </c>
      <c r="C36" s="145"/>
      <c r="D36" s="242" t="n">
        <f aca="false">D35+F36</f>
        <v>2010.82</v>
      </c>
      <c r="E36" s="145" t="n">
        <f aca="false">E35+G36</f>
        <v>7410.2</v>
      </c>
      <c r="F36" s="146" t="n">
        <f aca="false">G36-I36</f>
        <v>194.61</v>
      </c>
      <c r="G36" s="147" t="n">
        <f aca="false">$C$6/$G$1</f>
        <v>264.65</v>
      </c>
      <c r="H36" s="148" t="n">
        <f aca="false">H35+I36</f>
        <v>5399.38</v>
      </c>
      <c r="I36" s="149" t="n">
        <f aca="false">SUM(J36:AA36)</f>
        <v>70.04</v>
      </c>
      <c r="J36" s="201" t="n">
        <v>29.99</v>
      </c>
      <c r="K36" s="117" t="s">
        <v>97</v>
      </c>
      <c r="L36" s="118"/>
      <c r="M36" s="118"/>
      <c r="N36" s="152" t="n">
        <f aca="false">40.05</f>
        <v>40.05</v>
      </c>
      <c r="O36" s="120"/>
      <c r="P36" s="121"/>
      <c r="Q36" s="122"/>
      <c r="R36" s="123"/>
      <c r="S36" s="153"/>
      <c r="T36" s="153"/>
      <c r="U36" s="123"/>
      <c r="V36" s="154"/>
      <c r="W36" s="240"/>
      <c r="X36" s="155"/>
      <c r="Y36" s="155"/>
      <c r="Z36" s="209"/>
      <c r="AA36" s="269"/>
      <c r="AB36" s="270" t="n">
        <f aca="false">39.98+73.22</f>
        <v>113.2</v>
      </c>
      <c r="AC36" s="318" t="n">
        <f aca="false">126</f>
        <v>126</v>
      </c>
    </row>
    <row r="37" customFormat="false" ht="15" hidden="false" customHeight="false" outlineLevel="0" collapsed="false">
      <c r="A37" s="327"/>
      <c r="B37" s="328"/>
      <c r="C37" s="329"/>
      <c r="D37" s="329"/>
      <c r="E37" s="329"/>
      <c r="F37" s="330"/>
      <c r="G37" s="329"/>
      <c r="H37" s="329"/>
      <c r="I37" s="331"/>
      <c r="J37" s="332"/>
      <c r="K37" s="333"/>
      <c r="L37" s="333"/>
      <c r="M37" s="333"/>
      <c r="N37" s="333"/>
      <c r="O37" s="333"/>
      <c r="P37" s="64"/>
      <c r="Q37" s="64"/>
      <c r="R37" s="64"/>
      <c r="S37" s="64"/>
      <c r="T37" s="64"/>
      <c r="U37" s="64"/>
      <c r="V37" s="334"/>
      <c r="W37" s="64"/>
      <c r="X37" s="64"/>
      <c r="Y37" s="64"/>
      <c r="Z37" s="335"/>
      <c r="AC37" s="336"/>
    </row>
    <row r="38" customFormat="false" ht="15" hidden="false" customHeight="false" outlineLevel="0" collapsed="false">
      <c r="A38" s="337"/>
      <c r="B38" s="328"/>
      <c r="C38" s="338"/>
      <c r="D38" s="329"/>
      <c r="E38" s="338"/>
      <c r="F38" s="330"/>
      <c r="G38" s="338"/>
      <c r="H38" s="338"/>
      <c r="I38" s="331"/>
      <c r="J38" s="332"/>
      <c r="K38" s="333"/>
      <c r="L38" s="333"/>
      <c r="M38" s="333"/>
      <c r="N38" s="333"/>
      <c r="O38" s="333"/>
      <c r="P38" s="64"/>
      <c r="Q38" s="64"/>
      <c r="R38" s="64"/>
      <c r="S38" s="64"/>
      <c r="T38" s="64"/>
      <c r="U38" s="64"/>
      <c r="V38" s="334"/>
      <c r="W38" s="64"/>
      <c r="X38" s="64"/>
      <c r="Y38" s="64"/>
      <c r="Z38" s="335"/>
      <c r="AC38" s="336"/>
    </row>
    <row r="39" customFormat="false" ht="13.8" hidden="false" customHeight="false" outlineLevel="0" collapsed="false">
      <c r="AC39" s="336"/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4.57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30</v>
      </c>
    </row>
    <row r="2" customFormat="false" ht="13.8" hidden="false" customHeight="false" outlineLevel="0" collapsed="false">
      <c r="B2" s="71" t="s">
        <v>50</v>
      </c>
      <c r="C2" s="72" t="n">
        <v>4661.64</v>
      </c>
      <c r="D2" s="72" t="n">
        <v>2880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/>
      <c r="D4" s="72"/>
      <c r="E4" s="72"/>
      <c r="F4" s="181" t="n">
        <v>1000</v>
      </c>
      <c r="G4" s="182" t="n">
        <f aca="false">C6-F4</f>
        <v>21441.64</v>
      </c>
      <c r="H4" s="183" t="n">
        <f aca="false">G4-H6</f>
        <v>11094.34</v>
      </c>
      <c r="I4" s="217" t="n">
        <f aca="false">C6-H6</f>
        <v>12094.34</v>
      </c>
    </row>
    <row r="5" customFormat="false" ht="16.15" hidden="false" customHeight="false" outlineLevel="0" collapsed="false">
      <c r="B5" s="83" t="s">
        <v>53</v>
      </c>
      <c r="C5" s="84" t="n">
        <f aca="false">200</f>
        <v>200</v>
      </c>
      <c r="D5" s="84" t="n">
        <f aca="false">200</f>
        <v>200</v>
      </c>
      <c r="E5" s="84" t="n">
        <f aca="false">1500+13000</f>
        <v>14500</v>
      </c>
      <c r="J5" s="218" t="n">
        <f aca="false">J7/H6</f>
        <v>0.0653929044291748</v>
      </c>
      <c r="K5" s="218"/>
      <c r="L5" s="219" t="n">
        <f aca="false">(L7+M7)/H6</f>
        <v>0.192431842123066</v>
      </c>
      <c r="M5" s="219"/>
      <c r="N5" s="220" t="n">
        <f aca="false">N7/H6</f>
        <v>0.0438520193673712</v>
      </c>
      <c r="O5" s="221" t="n">
        <f aca="false">O7/H6</f>
        <v>0.0090844954722488</v>
      </c>
      <c r="P5" s="222" t="n">
        <f aca="false">P7/H6</f>
        <v>0.0941675606196786</v>
      </c>
      <c r="Q5" s="223" t="e">
        <f aca="false">Q7/K6</f>
        <v>#DIV/0!</v>
      </c>
      <c r="R5" s="224" t="n">
        <f aca="false">R7/H6</f>
        <v>0.000500613686662221</v>
      </c>
      <c r="S5" s="225" t="n">
        <f aca="false">(S7+T7)/H6</f>
        <v>0.0998994906883922</v>
      </c>
      <c r="T5" s="225"/>
      <c r="U5" s="226" t="n">
        <f aca="false">(U7+V7)/H6</f>
        <v>0.0503599972939801</v>
      </c>
      <c r="V5" s="226"/>
      <c r="W5" s="227" t="n">
        <f aca="false">W7/H6</f>
        <v>0.0544045306505079</v>
      </c>
      <c r="X5" s="228" t="n">
        <f aca="false">(X7+Y7)/H6</f>
        <v>0.0015028074956752</v>
      </c>
      <c r="Y5" s="228"/>
      <c r="Z5" s="229" t="n">
        <f aca="false">Z7/H6</f>
        <v>0.0208073603742039</v>
      </c>
      <c r="AA5" s="263" t="n">
        <f aca="false">AA7/H6</f>
        <v>0</v>
      </c>
      <c r="AB5" s="264" t="n">
        <f aca="false">AB7/H6</f>
        <v>0</v>
      </c>
      <c r="AC5" s="310" t="n">
        <f aca="false">AC7/H6</f>
        <v>0.286346196592348</v>
      </c>
    </row>
    <row r="6" customFormat="false" ht="57" hidden="false" customHeight="true" outlineLevel="0" collapsed="false">
      <c r="B6" s="98" t="s">
        <v>56</v>
      </c>
      <c r="C6" s="311" t="n">
        <f aca="false">SUM(C2:C5)+SUM(D2:D5)+SUM(E2:E5)</f>
        <v>22441.64</v>
      </c>
      <c r="D6" s="311"/>
      <c r="E6" s="311"/>
      <c r="G6" s="102" t="s">
        <v>57</v>
      </c>
      <c r="H6" s="103" t="n">
        <f aca="false">SUM(J7:AC7)</f>
        <v>10347.3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  <c r="AC6" s="314" t="s">
        <v>118</v>
      </c>
    </row>
    <row r="7" customFormat="false" ht="13.8" hidden="false" customHeight="false" outlineLevel="0" collapsed="false">
      <c r="B7" s="116"/>
      <c r="J7" s="117" t="n">
        <f aca="false">SUM(J9:J39)</f>
        <v>676.64</v>
      </c>
      <c r="K7" s="117"/>
      <c r="L7" s="118" t="n">
        <f aca="false">SUM(L9:L39)</f>
        <v>1727.01</v>
      </c>
      <c r="M7" s="118" t="n">
        <f aca="false">SUM(M9:M39)</f>
        <v>264.14</v>
      </c>
      <c r="N7" s="118" t="n">
        <f aca="false">SUM(N9:N39)</f>
        <v>453.75</v>
      </c>
      <c r="O7" s="118" t="n">
        <f aca="false">SUM(O9:O39)</f>
        <v>94</v>
      </c>
      <c r="P7" s="118" t="n">
        <f aca="false">SUM(P9:P39)</f>
        <v>974.38</v>
      </c>
      <c r="Q7" s="118" t="n">
        <f aca="false">SUM(Q9:Q39)</f>
        <v>840.72</v>
      </c>
      <c r="R7" s="118" t="n">
        <f aca="false">SUM(R9:R39)</f>
        <v>5.18</v>
      </c>
      <c r="S7" s="118" t="n">
        <f aca="false">SUM(S9:S39)</f>
        <v>837.69</v>
      </c>
      <c r="T7" s="118" t="n">
        <f aca="false">SUM(T9:T39)</f>
        <v>196</v>
      </c>
      <c r="U7" s="118" t="n">
        <f aca="false">SUM(U9:U39)</f>
        <v>331.9</v>
      </c>
      <c r="V7" s="118" t="n">
        <f aca="false">SUM(V9:V39)</f>
        <v>189.19</v>
      </c>
      <c r="W7" s="118" t="n">
        <f aca="false">SUM(W9:W39)</f>
        <v>562.94</v>
      </c>
      <c r="X7" s="118" t="n">
        <f aca="false">SUM(X9:X39)</f>
        <v>0</v>
      </c>
      <c r="Y7" s="118" t="n">
        <f aca="false">SUM(Y9:Y39)</f>
        <v>15.55</v>
      </c>
      <c r="Z7" s="118" t="n">
        <f aca="false">SUM(Z9:Z39)</f>
        <v>215.3</v>
      </c>
      <c r="AA7" s="118" t="n">
        <f aca="false">SUM(AA9:AA39)</f>
        <v>0</v>
      </c>
      <c r="AB7" s="118" t="n">
        <f aca="false">SUM(AB9:AB39)</f>
        <v>0</v>
      </c>
      <c r="AC7" s="117" t="n">
        <f aca="false">SUM(AC9:AC39)</f>
        <v>2962.91</v>
      </c>
    </row>
    <row r="8" customFormat="false" ht="60" hidden="false" customHeight="false" outlineLevel="0" collapsed="false">
      <c r="A8" s="126" t="s">
        <v>61</v>
      </c>
      <c r="B8" s="127" t="s">
        <v>62</v>
      </c>
      <c r="C8" s="128" t="s">
        <v>103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267"/>
      <c r="AB8" s="266"/>
      <c r="AC8" s="318"/>
    </row>
    <row r="9" s="156" customFormat="true" ht="15" hidden="false" customHeight="false" outlineLevel="0" collapsed="false">
      <c r="A9" s="141" t="n">
        <v>1</v>
      </c>
      <c r="B9" s="273" t="n">
        <v>43525</v>
      </c>
      <c r="C9" s="145"/>
      <c r="D9" s="144" t="n">
        <f aca="false">F9</f>
        <v>748.054666666667</v>
      </c>
      <c r="E9" s="145" t="n">
        <f aca="false">G9</f>
        <v>748.054666666667</v>
      </c>
      <c r="F9" s="146" t="n">
        <f aca="false">G9-I9</f>
        <v>748.054666666667</v>
      </c>
      <c r="G9" s="147" t="n">
        <f aca="false">$C$6/$G$1</f>
        <v>748.054666666667</v>
      </c>
      <c r="H9" s="148" t="n">
        <f aca="false">I9</f>
        <v>0</v>
      </c>
      <c r="I9" s="149" t="n">
        <f aca="false">SUM(J9:AA9)</f>
        <v>0</v>
      </c>
      <c r="J9" s="150"/>
      <c r="K9" s="117"/>
      <c r="L9" s="118"/>
      <c r="M9" s="118"/>
      <c r="N9" s="152"/>
      <c r="O9" s="120"/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/>
      <c r="AA9" s="269"/>
      <c r="AB9" s="270"/>
      <c r="AC9" s="318"/>
    </row>
    <row r="10" customFormat="false" ht="15" hidden="false" customHeight="false" outlineLevel="0" collapsed="false">
      <c r="A10" s="157" t="n">
        <v>2</v>
      </c>
      <c r="B10" s="273" t="n">
        <v>43526</v>
      </c>
      <c r="C10" s="159"/>
      <c r="D10" s="242" t="n">
        <f aca="false">D9+F10</f>
        <v>1330.13933333333</v>
      </c>
      <c r="E10" s="159" t="n">
        <f aca="false">E9+G10</f>
        <v>1496.10933333333</v>
      </c>
      <c r="F10" s="146" t="n">
        <f aca="false">G10-I10</f>
        <v>582.084666666667</v>
      </c>
      <c r="G10" s="160" t="n">
        <f aca="false">$C$6/$G$1</f>
        <v>748.054666666667</v>
      </c>
      <c r="H10" s="161" t="n">
        <f aca="false">H9+I10</f>
        <v>165.97</v>
      </c>
      <c r="I10" s="149" t="n">
        <f aca="false">SUM(J10:AA10)</f>
        <v>165.97</v>
      </c>
      <c r="J10" s="150"/>
      <c r="K10" s="135"/>
      <c r="L10" s="118" t="n">
        <f aca="false">3.99+110.38-9.98</f>
        <v>104.39</v>
      </c>
      <c r="M10" s="118" t="n">
        <f aca="false">31.6</f>
        <v>31.6</v>
      </c>
      <c r="N10" s="152" t="n">
        <f aca="false">9.98</f>
        <v>9.98</v>
      </c>
      <c r="O10" s="120"/>
      <c r="P10" s="121"/>
      <c r="Q10" s="122"/>
      <c r="R10" s="123"/>
      <c r="S10" s="153"/>
      <c r="T10" s="153"/>
      <c r="U10" s="123"/>
      <c r="V10" s="154"/>
      <c r="W10" s="240"/>
      <c r="X10" s="155"/>
      <c r="Y10" s="155"/>
      <c r="Z10" s="140" t="n">
        <f aca="false">20</f>
        <v>20</v>
      </c>
      <c r="AA10" s="267"/>
      <c r="AB10" s="266"/>
      <c r="AC10" s="318"/>
    </row>
    <row r="11" customFormat="false" ht="15" hidden="false" customHeight="false" outlineLevel="0" collapsed="false">
      <c r="A11" s="167" t="n">
        <v>3</v>
      </c>
      <c r="B11" s="268" t="n">
        <v>43527</v>
      </c>
      <c r="C11" s="169"/>
      <c r="D11" s="242" t="n">
        <f aca="false">D10+F11</f>
        <v>2070.204</v>
      </c>
      <c r="E11" s="169" t="n">
        <f aca="false">E10+G11</f>
        <v>2244.164</v>
      </c>
      <c r="F11" s="146" t="n">
        <f aca="false">G11-I11</f>
        <v>740.064666666667</v>
      </c>
      <c r="G11" s="170" t="n">
        <f aca="false">$C$6/$G$1</f>
        <v>748.054666666667</v>
      </c>
      <c r="H11" s="171" t="n">
        <f aca="false">H10+I11</f>
        <v>173.96</v>
      </c>
      <c r="I11" s="149" t="n">
        <f aca="false">SUM(J11:AA11)</f>
        <v>7.99</v>
      </c>
      <c r="J11" s="150"/>
      <c r="K11" s="117"/>
      <c r="L11" s="202"/>
      <c r="M11" s="202"/>
      <c r="N11" s="203" t="n">
        <f aca="false">7.99</f>
        <v>7.99</v>
      </c>
      <c r="O11" s="204"/>
      <c r="P11" s="205"/>
      <c r="Q11" s="206"/>
      <c r="R11" s="178"/>
      <c r="S11" s="173"/>
      <c r="T11" s="173"/>
      <c r="U11" s="178"/>
      <c r="V11" s="179"/>
      <c r="W11" s="46"/>
      <c r="X11" s="155"/>
      <c r="Y11" s="155"/>
      <c r="Z11" s="140"/>
      <c r="AA11" s="267"/>
      <c r="AB11" s="266"/>
      <c r="AC11" s="318"/>
    </row>
    <row r="12" customFormat="false" ht="15" hidden="false" customHeight="false" outlineLevel="0" collapsed="false">
      <c r="A12" s="141" t="n">
        <v>4</v>
      </c>
      <c r="B12" s="273" t="n">
        <v>43528</v>
      </c>
      <c r="C12" s="145"/>
      <c r="D12" s="242" t="n">
        <f aca="false">D11+F12</f>
        <v>2804.24866666667</v>
      </c>
      <c r="E12" s="145" t="n">
        <f aca="false">E11+G12</f>
        <v>2992.21866666667</v>
      </c>
      <c r="F12" s="146" t="n">
        <f aca="false">G12-I12</f>
        <v>734.044666666667</v>
      </c>
      <c r="G12" s="147" t="n">
        <f aca="false">$C$6/$G$1</f>
        <v>748.054666666667</v>
      </c>
      <c r="H12" s="148" t="n">
        <f aca="false">H11+I12</f>
        <v>187.97</v>
      </c>
      <c r="I12" s="149" t="n">
        <f aca="false">SUM(J12:AA12)</f>
        <v>14.01</v>
      </c>
      <c r="J12" s="150"/>
      <c r="K12" s="117"/>
      <c r="L12" s="244" t="n">
        <f aca="false">8.91+5.1</f>
        <v>14.01</v>
      </c>
      <c r="M12" s="244"/>
      <c r="N12" s="245"/>
      <c r="O12" s="246"/>
      <c r="P12" s="247"/>
      <c r="Q12" s="248"/>
      <c r="R12" s="249"/>
      <c r="S12" s="250"/>
      <c r="T12" s="250"/>
      <c r="U12" s="249"/>
      <c r="V12" s="251"/>
      <c r="W12" s="252"/>
      <c r="X12" s="155"/>
      <c r="Y12" s="155"/>
      <c r="Z12" s="140"/>
      <c r="AA12" s="269"/>
      <c r="AB12" s="270"/>
      <c r="AC12" s="318"/>
    </row>
    <row r="13" customFormat="false" ht="15" hidden="false" customHeight="false" outlineLevel="0" collapsed="false">
      <c r="A13" s="157" t="n">
        <v>5</v>
      </c>
      <c r="B13" s="273" t="n">
        <v>43529</v>
      </c>
      <c r="C13" s="159"/>
      <c r="D13" s="242" t="n">
        <f aca="false">D12+F13</f>
        <v>3316.72333333333</v>
      </c>
      <c r="E13" s="159" t="n">
        <f aca="false">E12+G13</f>
        <v>3740.27333333333</v>
      </c>
      <c r="F13" s="146" t="n">
        <f aca="false">G13-I13</f>
        <v>512.474666666667</v>
      </c>
      <c r="G13" s="160" t="n">
        <f aca="false">$C$6/$G$1</f>
        <v>748.054666666667</v>
      </c>
      <c r="H13" s="161" t="n">
        <f aca="false">H12+I13</f>
        <v>423.55</v>
      </c>
      <c r="I13" s="149" t="n">
        <f aca="false">SUM(J13:AA13)</f>
        <v>235.58</v>
      </c>
      <c r="J13" s="150"/>
      <c r="K13" s="117"/>
      <c r="L13" s="254" t="n">
        <f aca="false">125.46-4.99-15.99</f>
        <v>104.48</v>
      </c>
      <c r="M13" s="254"/>
      <c r="N13" s="255" t="n">
        <f aca="false">15.99+4.99</f>
        <v>20.98</v>
      </c>
      <c r="O13" s="256"/>
      <c r="P13" s="257"/>
      <c r="Q13" s="258"/>
      <c r="R13" s="259"/>
      <c r="S13" s="176" t="n">
        <f aca="false">110.12</f>
        <v>110.12</v>
      </c>
      <c r="T13" s="176"/>
      <c r="U13" s="259"/>
      <c r="V13" s="260"/>
      <c r="W13" s="261"/>
      <c r="X13" s="155"/>
      <c r="Y13" s="155"/>
      <c r="Z13" s="140"/>
      <c r="AA13" s="267"/>
      <c r="AB13" s="266"/>
      <c r="AC13" s="318"/>
    </row>
    <row r="14" customFormat="false" ht="15" hidden="false" customHeight="false" outlineLevel="0" collapsed="false">
      <c r="A14" s="167" t="n">
        <v>6</v>
      </c>
      <c r="B14" s="273" t="n">
        <v>43530</v>
      </c>
      <c r="C14" s="159"/>
      <c r="D14" s="242" t="n">
        <f aca="false">D13+F14</f>
        <v>3952.378</v>
      </c>
      <c r="E14" s="169" t="n">
        <f aca="false">E13+G14</f>
        <v>4488.328</v>
      </c>
      <c r="F14" s="146" t="n">
        <f aca="false">G14-I14</f>
        <v>635.654666666667</v>
      </c>
      <c r="G14" s="170" t="n">
        <f aca="false">$C$6/$G$1</f>
        <v>748.054666666667</v>
      </c>
      <c r="H14" s="171" t="n">
        <f aca="false">H13+I14</f>
        <v>535.95</v>
      </c>
      <c r="I14" s="149" t="n">
        <f aca="false">SUM(J14:AA14)</f>
        <v>112.4</v>
      </c>
      <c r="J14" s="150"/>
      <c r="K14" s="135"/>
      <c r="L14" s="118" t="n">
        <f aca="false">15.53+5.1</f>
        <v>20.63</v>
      </c>
      <c r="M14" s="118"/>
      <c r="N14" s="152"/>
      <c r="O14" s="120"/>
      <c r="P14" s="121"/>
      <c r="Q14" s="122" t="n">
        <f aca="false">77.87</f>
        <v>77.87</v>
      </c>
      <c r="R14" s="123"/>
      <c r="S14" s="153"/>
      <c r="T14" s="153"/>
      <c r="U14" s="123"/>
      <c r="V14" s="154" t="n">
        <f aca="false">13.9</f>
        <v>13.9</v>
      </c>
      <c r="W14" s="240"/>
      <c r="X14" s="155"/>
      <c r="Y14" s="155"/>
      <c r="Z14" s="140"/>
      <c r="AA14" s="267"/>
      <c r="AB14" s="266"/>
      <c r="AC14" s="318" t="n">
        <f aca="false">62.39</f>
        <v>62.39</v>
      </c>
    </row>
    <row r="15" s="156" customFormat="true" ht="16.5" hidden="false" customHeight="true" outlineLevel="0" collapsed="false">
      <c r="A15" s="141" t="n">
        <v>7</v>
      </c>
      <c r="B15" s="273" t="n">
        <v>43531</v>
      </c>
      <c r="C15" s="306"/>
      <c r="D15" s="242" t="n">
        <f aca="false">D14+F15</f>
        <v>4289.24266666667</v>
      </c>
      <c r="E15" s="145" t="n">
        <f aca="false">E14+G15</f>
        <v>5236.38266666667</v>
      </c>
      <c r="F15" s="146" t="n">
        <f aca="false">G15-I15</f>
        <v>336.864666666667</v>
      </c>
      <c r="G15" s="147" t="n">
        <f aca="false">$C$6/$G$1</f>
        <v>748.054666666667</v>
      </c>
      <c r="H15" s="148" t="n">
        <f aca="false">H14+I15</f>
        <v>947.14</v>
      </c>
      <c r="I15" s="149" t="n">
        <f aca="false">SUM(J15:AA15)</f>
        <v>411.19</v>
      </c>
      <c r="J15" s="150" t="n">
        <v>65.15</v>
      </c>
      <c r="K15" s="117" t="s">
        <v>108</v>
      </c>
      <c r="L15" s="118" t="n">
        <f aca="false">21.19</f>
        <v>21.19</v>
      </c>
      <c r="M15" s="118"/>
      <c r="N15" s="152" t="n">
        <f aca="false">39.09-29.99</f>
        <v>9.10000000000001</v>
      </c>
      <c r="O15" s="120"/>
      <c r="P15" s="121"/>
      <c r="Q15" s="122"/>
      <c r="R15" s="123"/>
      <c r="S15" s="153"/>
      <c r="T15" s="153" t="n">
        <f aca="false">196</f>
        <v>196</v>
      </c>
      <c r="U15" s="123" t="n">
        <f aca="false">5.25</f>
        <v>5.25</v>
      </c>
      <c r="V15" s="154" t="n">
        <f aca="false">69.5+45</f>
        <v>114.5</v>
      </c>
      <c r="W15" s="240"/>
      <c r="X15" s="155"/>
      <c r="Y15" s="155"/>
      <c r="Z15" s="140"/>
      <c r="AA15" s="269"/>
      <c r="AB15" s="270"/>
      <c r="AC15" s="318" t="n">
        <f aca="false">29.99</f>
        <v>29.99</v>
      </c>
    </row>
    <row r="16" customFormat="false" ht="15" hidden="false" customHeight="false" outlineLevel="0" collapsed="false">
      <c r="A16" s="157" t="n">
        <v>8</v>
      </c>
      <c r="B16" s="273" t="n">
        <v>43532</v>
      </c>
      <c r="C16" s="159"/>
      <c r="D16" s="242" t="n">
        <f aca="false">D15+F16</f>
        <v>4715.46733333333</v>
      </c>
      <c r="E16" s="159" t="n">
        <f aca="false">E15+G16</f>
        <v>5984.43733333333</v>
      </c>
      <c r="F16" s="146" t="n">
        <f aca="false">G16-I16</f>
        <v>426.224666666667</v>
      </c>
      <c r="G16" s="160" t="n">
        <f aca="false">$C$6/$G$1</f>
        <v>748.054666666667</v>
      </c>
      <c r="H16" s="161" t="n">
        <f aca="false">H15+I16</f>
        <v>1268.97</v>
      </c>
      <c r="I16" s="149" t="n">
        <f aca="false">SUM(J16:AA16)</f>
        <v>321.83</v>
      </c>
      <c r="J16" s="150"/>
      <c r="K16" s="135"/>
      <c r="L16" s="118" t="n">
        <f aca="false">5.85+5.1+4.39</f>
        <v>15.34</v>
      </c>
      <c r="M16" s="118"/>
      <c r="N16" s="152" t="n">
        <f aca="false">18.99</f>
        <v>18.99</v>
      </c>
      <c r="O16" s="120"/>
      <c r="P16" s="121"/>
      <c r="Q16" s="122"/>
      <c r="R16" s="123"/>
      <c r="S16" s="153"/>
      <c r="T16" s="153"/>
      <c r="U16" s="123"/>
      <c r="V16" s="154"/>
      <c r="W16" s="240" t="n">
        <f aca="false">24.5+113+60</f>
        <v>197.5</v>
      </c>
      <c r="X16" s="155"/>
      <c r="Y16" s="155"/>
      <c r="Z16" s="140" t="n">
        <f aca="false">90</f>
        <v>90</v>
      </c>
      <c r="AA16" s="267"/>
      <c r="AB16" s="266"/>
      <c r="AC16" s="318"/>
    </row>
    <row r="17" customFormat="false" ht="15" hidden="false" customHeight="false" outlineLevel="0" collapsed="false">
      <c r="A17" s="162" t="n">
        <v>9</v>
      </c>
      <c r="B17" s="273" t="n">
        <v>43533</v>
      </c>
      <c r="C17" s="164"/>
      <c r="D17" s="242" t="n">
        <f aca="false">D16+F17</f>
        <v>3565.872</v>
      </c>
      <c r="E17" s="164" t="n">
        <f aca="false">E16+G17</f>
        <v>6732.492</v>
      </c>
      <c r="F17" s="146" t="n">
        <f aca="false">G17-I17</f>
        <v>-1149.59533333333</v>
      </c>
      <c r="G17" s="165" t="n">
        <f aca="false">$C$6/$G$1</f>
        <v>748.054666666667</v>
      </c>
      <c r="H17" s="166" t="n">
        <f aca="false">H16+I17</f>
        <v>3166.62</v>
      </c>
      <c r="I17" s="149" t="n">
        <f aca="false">SUM(J17:AA17)</f>
        <v>1897.65</v>
      </c>
      <c r="J17" s="150" t="n">
        <v>375.5</v>
      </c>
      <c r="K17" s="150" t="s">
        <v>177</v>
      </c>
      <c r="L17" s="118" t="n">
        <f aca="false">5.1+474.43-17.63-54.11-9.53-10.93-9.7-29.4-89.11</f>
        <v>259.12</v>
      </c>
      <c r="M17" s="118" t="n">
        <f aca="false">14</f>
        <v>14</v>
      </c>
      <c r="N17" s="152" t="n">
        <f aca="false">9.53+10.93+89.11</f>
        <v>109.57</v>
      </c>
      <c r="O17" s="120"/>
      <c r="P17" s="121" t="n">
        <f aca="false">29.4</f>
        <v>29.4</v>
      </c>
      <c r="Q17" s="122" t="n">
        <f aca="false">762.85</f>
        <v>762.85</v>
      </c>
      <c r="R17" s="123"/>
      <c r="S17" s="153" t="n">
        <f aca="false">265.77</f>
        <v>265.77</v>
      </c>
      <c r="T17" s="153"/>
      <c r="U17" s="123"/>
      <c r="V17" s="154"/>
      <c r="W17" s="240" t="n">
        <f aca="false">9.7+17.63+54.11</f>
        <v>81.44</v>
      </c>
      <c r="X17" s="155"/>
      <c r="Y17" s="155"/>
      <c r="Z17" s="140"/>
      <c r="AA17" s="267"/>
      <c r="AB17" s="266"/>
      <c r="AC17" s="318"/>
    </row>
    <row r="18" customFormat="false" ht="15" hidden="false" customHeight="false" outlineLevel="0" collapsed="false">
      <c r="A18" s="167" t="n">
        <v>10</v>
      </c>
      <c r="B18" s="268" t="n">
        <v>43534</v>
      </c>
      <c r="C18" s="169"/>
      <c r="D18" s="242" t="n">
        <f aca="false">D17+F18</f>
        <v>4238.92666666667</v>
      </c>
      <c r="E18" s="169" t="n">
        <f aca="false">E17+G18</f>
        <v>7480.54666666667</v>
      </c>
      <c r="F18" s="146" t="n">
        <f aca="false">G18-I18</f>
        <v>673.054666666667</v>
      </c>
      <c r="G18" s="170" t="n">
        <f aca="false">$C$6/$G$1</f>
        <v>748.054666666667</v>
      </c>
      <c r="H18" s="171" t="n">
        <f aca="false">H17+I18</f>
        <v>3241.62</v>
      </c>
      <c r="I18" s="149" t="n">
        <f aca="false">SUM(J18:AA18)</f>
        <v>75</v>
      </c>
      <c r="J18" s="150" t="n">
        <v>75</v>
      </c>
      <c r="K18" s="117" t="s">
        <v>92</v>
      </c>
      <c r="L18" s="202"/>
      <c r="M18" s="202"/>
      <c r="N18" s="203"/>
      <c r="O18" s="204"/>
      <c r="P18" s="205"/>
      <c r="Q18" s="206"/>
      <c r="R18" s="178"/>
      <c r="S18" s="173"/>
      <c r="T18" s="173"/>
      <c r="U18" s="178"/>
      <c r="V18" s="179"/>
      <c r="W18" s="46"/>
      <c r="X18" s="155"/>
      <c r="Y18" s="155"/>
      <c r="Z18" s="140"/>
      <c r="AA18" s="267"/>
      <c r="AB18" s="266"/>
      <c r="AC18" s="318"/>
    </row>
    <row r="19" customFormat="false" ht="15" hidden="false" customHeight="false" outlineLevel="0" collapsed="false">
      <c r="A19" s="141" t="n">
        <v>11</v>
      </c>
      <c r="B19" s="273" t="n">
        <v>43535</v>
      </c>
      <c r="C19" s="145"/>
      <c r="D19" s="242" t="n">
        <f aca="false">D18+F19</f>
        <v>3811.40133333333</v>
      </c>
      <c r="E19" s="145" t="n">
        <f aca="false">E18+G19</f>
        <v>8228.60133333333</v>
      </c>
      <c r="F19" s="146" t="n">
        <f aca="false">G19-I19</f>
        <v>-427.525333333334</v>
      </c>
      <c r="G19" s="147" t="n">
        <f aca="false">$C$6/$G$1</f>
        <v>748.054666666667</v>
      </c>
      <c r="H19" s="148" t="n">
        <f aca="false">H18+I19</f>
        <v>4417.2</v>
      </c>
      <c r="I19" s="149" t="n">
        <f aca="false">SUM(J19:AA19)</f>
        <v>1175.58</v>
      </c>
      <c r="J19" s="135"/>
      <c r="K19" s="135"/>
      <c r="L19" s="244" t="n">
        <f aca="false">56.95+12.99</f>
        <v>69.94</v>
      </c>
      <c r="M19" s="244"/>
      <c r="N19" s="245"/>
      <c r="O19" s="246"/>
      <c r="P19" s="262" t="n">
        <f aca="false">944.98</f>
        <v>944.98</v>
      </c>
      <c r="Q19" s="248"/>
      <c r="R19" s="249"/>
      <c r="S19" s="250"/>
      <c r="T19" s="250"/>
      <c r="U19" s="249" t="n">
        <f aca="false">160.66</f>
        <v>160.66</v>
      </c>
      <c r="V19" s="251"/>
      <c r="W19" s="252"/>
      <c r="X19" s="155"/>
      <c r="Y19" s="155"/>
      <c r="Z19" s="140"/>
      <c r="AA19" s="269"/>
      <c r="AB19" s="270"/>
      <c r="AC19" s="318"/>
    </row>
    <row r="20" customFormat="false" ht="15" hidden="false" customHeight="false" outlineLevel="0" collapsed="false">
      <c r="A20" s="157" t="n">
        <v>12</v>
      </c>
      <c r="B20" s="273" t="n">
        <v>43536</v>
      </c>
      <c r="C20" s="159"/>
      <c r="D20" s="242" t="n">
        <f aca="false">D19+F20</f>
        <v>4438.386</v>
      </c>
      <c r="E20" s="159" t="n">
        <f aca="false">E19+G20</f>
        <v>8976.656</v>
      </c>
      <c r="F20" s="146" t="n">
        <f aca="false">G20-I20</f>
        <v>626.984666666667</v>
      </c>
      <c r="G20" s="160" t="n">
        <f aca="false">$C$6/$G$1</f>
        <v>748.054666666667</v>
      </c>
      <c r="H20" s="161" t="n">
        <f aca="false">H19+I20</f>
        <v>4538.27</v>
      </c>
      <c r="I20" s="149" t="n">
        <f aca="false">SUM(J20:AA20)</f>
        <v>121.07</v>
      </c>
      <c r="J20" s="150"/>
      <c r="K20" s="117"/>
      <c r="L20" s="254" t="n">
        <f aca="false">121.07</f>
        <v>121.07</v>
      </c>
      <c r="M20" s="254"/>
      <c r="N20" s="255"/>
      <c r="O20" s="256"/>
      <c r="P20" s="257"/>
      <c r="Q20" s="258"/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  <c r="AC20" s="318"/>
    </row>
    <row r="21" customFormat="false" ht="15" hidden="false" customHeight="false" outlineLevel="0" collapsed="false">
      <c r="A21" s="167" t="n">
        <v>13</v>
      </c>
      <c r="B21" s="273" t="n">
        <v>43537</v>
      </c>
      <c r="C21" s="169"/>
      <c r="D21" s="242" t="n">
        <f aca="false">D20+F21</f>
        <v>5171.12066666667</v>
      </c>
      <c r="E21" s="169" t="n">
        <f aca="false">E20+G21</f>
        <v>9724.71066666667</v>
      </c>
      <c r="F21" s="146" t="n">
        <f aca="false">G21-I21</f>
        <v>732.734666666667</v>
      </c>
      <c r="G21" s="170" t="n">
        <f aca="false">$C$6/$G$1</f>
        <v>748.054666666667</v>
      </c>
      <c r="H21" s="171" t="n">
        <f aca="false">H20+I21</f>
        <v>4553.59</v>
      </c>
      <c r="I21" s="149" t="n">
        <f aca="false">SUM(J21:AA21)</f>
        <v>15.32</v>
      </c>
      <c r="J21" s="150"/>
      <c r="K21" s="135"/>
      <c r="L21" s="118" t="n">
        <f aca="false">15.32</f>
        <v>15.32</v>
      </c>
      <c r="M21" s="118"/>
      <c r="N21" s="152"/>
      <c r="O21" s="120"/>
      <c r="P21" s="121"/>
      <c r="Q21" s="122"/>
      <c r="R21" s="123"/>
      <c r="S21" s="153"/>
      <c r="T21" s="153"/>
      <c r="U21" s="123"/>
      <c r="V21" s="154"/>
      <c r="W21" s="240"/>
      <c r="X21" s="155"/>
      <c r="Y21" s="155"/>
      <c r="Z21" s="140"/>
      <c r="AA21" s="267"/>
      <c r="AB21" s="266"/>
      <c r="AC21" s="318"/>
    </row>
    <row r="22" s="156" customFormat="true" ht="15" hidden="false" customHeight="false" outlineLevel="0" collapsed="false">
      <c r="A22" s="141" t="n">
        <v>14</v>
      </c>
      <c r="B22" s="273" t="n">
        <v>43538</v>
      </c>
      <c r="C22" s="145"/>
      <c r="D22" s="242" t="n">
        <f aca="false">D21+F22</f>
        <v>5842.99533333333</v>
      </c>
      <c r="E22" s="145" t="n">
        <f aca="false">E21+G22</f>
        <v>10472.7653333333</v>
      </c>
      <c r="F22" s="146" t="n">
        <f aca="false">G22-I22</f>
        <v>671.874666666667</v>
      </c>
      <c r="G22" s="147" t="n">
        <f aca="false">$C$6/$G$1</f>
        <v>748.054666666667</v>
      </c>
      <c r="H22" s="148" t="n">
        <f aca="false">H21+I22</f>
        <v>4629.77</v>
      </c>
      <c r="I22" s="149" t="n">
        <f aca="false">SUM(J22:AA22)</f>
        <v>76.18</v>
      </c>
      <c r="J22" s="150" t="n">
        <v>64</v>
      </c>
      <c r="K22" s="135" t="s">
        <v>89</v>
      </c>
      <c r="L22" s="118" t="n">
        <f aca="false">12.18</f>
        <v>12.18</v>
      </c>
      <c r="M22" s="118"/>
      <c r="N22" s="152"/>
      <c r="O22" s="120"/>
      <c r="P22" s="121"/>
      <c r="Q22" s="122"/>
      <c r="R22" s="123"/>
      <c r="S22" s="153"/>
      <c r="T22" s="153"/>
      <c r="U22" s="123"/>
      <c r="V22" s="154"/>
      <c r="W22" s="240"/>
      <c r="X22" s="155"/>
      <c r="Y22" s="155"/>
      <c r="Z22" s="140"/>
      <c r="AA22" s="269"/>
      <c r="AB22" s="270"/>
      <c r="AC22" s="318"/>
    </row>
    <row r="23" customFormat="false" ht="15" hidden="false" customHeight="false" outlineLevel="0" collapsed="false">
      <c r="A23" s="157" t="n">
        <v>15</v>
      </c>
      <c r="B23" s="273" t="n">
        <v>43539</v>
      </c>
      <c r="C23" s="159"/>
      <c r="D23" s="242" t="n">
        <f aca="false">D22+F23</f>
        <v>6513.7</v>
      </c>
      <c r="E23" s="159" t="n">
        <f aca="false">E22+G23</f>
        <v>11220.82</v>
      </c>
      <c r="F23" s="146" t="n">
        <f aca="false">G23-I23</f>
        <v>670.704666666667</v>
      </c>
      <c r="G23" s="160" t="n">
        <f aca="false">$C$6/$G$1</f>
        <v>748.054666666667</v>
      </c>
      <c r="H23" s="161" t="n">
        <f aca="false">H22+I23</f>
        <v>4707.12</v>
      </c>
      <c r="I23" s="149" t="n">
        <f aca="false">SUM(J23:AA23)</f>
        <v>77.35</v>
      </c>
      <c r="J23" s="339" t="n">
        <v>54</v>
      </c>
      <c r="K23" s="340" t="s">
        <v>178</v>
      </c>
      <c r="L23" s="118" t="n">
        <f aca="false">9.98+13.37</f>
        <v>23.35</v>
      </c>
      <c r="M23" s="118"/>
      <c r="N23" s="152"/>
      <c r="O23" s="120"/>
      <c r="P23" s="121"/>
      <c r="Q23" s="122"/>
      <c r="R23" s="123"/>
      <c r="S23" s="153"/>
      <c r="T23" s="153"/>
      <c r="U23" s="123"/>
      <c r="V23" s="154"/>
      <c r="W23" s="240"/>
      <c r="X23" s="155"/>
      <c r="Y23" s="155"/>
      <c r="Z23" s="140"/>
      <c r="AA23" s="267"/>
      <c r="AB23" s="266"/>
      <c r="AC23" s="318"/>
    </row>
    <row r="24" customFormat="false" ht="15" hidden="false" customHeight="false" outlineLevel="0" collapsed="false">
      <c r="A24" s="162" t="n">
        <v>16</v>
      </c>
      <c r="B24" s="273" t="n">
        <v>43540</v>
      </c>
      <c r="C24" s="164"/>
      <c r="D24" s="242" t="n">
        <f aca="false">D23+F24</f>
        <v>6918.58466666667</v>
      </c>
      <c r="E24" s="164" t="n">
        <f aca="false">E23+G24</f>
        <v>11968.8746666667</v>
      </c>
      <c r="F24" s="146" t="n">
        <f aca="false">G24-I24</f>
        <v>404.884666666667</v>
      </c>
      <c r="G24" s="165" t="n">
        <f aca="false">$C$6/$G$1</f>
        <v>748.054666666667</v>
      </c>
      <c r="H24" s="166" t="n">
        <f aca="false">H23+I24</f>
        <v>5050.29</v>
      </c>
      <c r="I24" s="149" t="n">
        <f aca="false">SUM(J24:AA24)</f>
        <v>343.17</v>
      </c>
      <c r="J24" s="150"/>
      <c r="K24" s="117"/>
      <c r="L24" s="118" t="n">
        <f aca="false">29+299-8.43-9.83-12.48+15.17</f>
        <v>312.43</v>
      </c>
      <c r="M24" s="118"/>
      <c r="N24" s="152" t="n">
        <f aca="false">8.43+9.83+12.48</f>
        <v>30.74</v>
      </c>
      <c r="O24" s="120"/>
      <c r="P24" s="121"/>
      <c r="Q24" s="122"/>
      <c r="R24" s="123"/>
      <c r="S24" s="153"/>
      <c r="T24" s="153"/>
      <c r="U24" s="123"/>
      <c r="V24" s="154"/>
      <c r="W24" s="240"/>
      <c r="X24" s="155"/>
      <c r="Y24" s="155"/>
      <c r="Z24" s="140"/>
      <c r="AA24" s="267"/>
      <c r="AB24" s="266"/>
      <c r="AC24" s="318"/>
    </row>
    <row r="25" customFormat="false" ht="15" hidden="false" customHeight="false" outlineLevel="0" collapsed="false">
      <c r="A25" s="167" t="n">
        <v>17</v>
      </c>
      <c r="B25" s="268" t="n">
        <v>43541</v>
      </c>
      <c r="C25" s="169"/>
      <c r="D25" s="242" t="n">
        <f aca="false">D24+F25</f>
        <v>7666.63933333333</v>
      </c>
      <c r="E25" s="169" t="n">
        <f aca="false">E24+G25</f>
        <v>12716.9293333333</v>
      </c>
      <c r="F25" s="146" t="n">
        <f aca="false">G25-I25</f>
        <v>748.054666666667</v>
      </c>
      <c r="G25" s="170" t="n">
        <f aca="false">$C$6/$G$1</f>
        <v>748.054666666667</v>
      </c>
      <c r="H25" s="171" t="n">
        <f aca="false">H24+I25</f>
        <v>5050.29</v>
      </c>
      <c r="I25" s="149" t="n">
        <f aca="false">SUM(J25:AA25)</f>
        <v>0</v>
      </c>
      <c r="J25" s="150"/>
      <c r="K25" s="117"/>
      <c r="L25" s="202"/>
      <c r="M25" s="202"/>
      <c r="N25" s="203"/>
      <c r="O25" s="204"/>
      <c r="P25" s="205"/>
      <c r="Q25" s="206"/>
      <c r="R25" s="178"/>
      <c r="S25" s="173"/>
      <c r="T25" s="173"/>
      <c r="U25" s="178"/>
      <c r="V25" s="179"/>
      <c r="W25" s="46"/>
      <c r="X25" s="155"/>
      <c r="Y25" s="155"/>
      <c r="Z25" s="140"/>
      <c r="AA25" s="267"/>
      <c r="AB25" s="266"/>
      <c r="AC25" s="318"/>
    </row>
    <row r="26" customFormat="false" ht="15" hidden="false" customHeight="false" outlineLevel="0" collapsed="false">
      <c r="A26" s="141" t="n">
        <v>18</v>
      </c>
      <c r="B26" s="273" t="n">
        <v>43542</v>
      </c>
      <c r="C26" s="145"/>
      <c r="D26" s="242" t="n">
        <f aca="false">D25+F26</f>
        <v>8333.394</v>
      </c>
      <c r="E26" s="145" t="n">
        <f aca="false">E25+G26</f>
        <v>13464.984</v>
      </c>
      <c r="F26" s="146" t="n">
        <f aca="false">G26-I26</f>
        <v>666.754666666667</v>
      </c>
      <c r="G26" s="147" t="n">
        <f aca="false">$C$6/$G$1</f>
        <v>748.054666666667</v>
      </c>
      <c r="H26" s="148" t="n">
        <f aca="false">H25+I26</f>
        <v>5131.59</v>
      </c>
      <c r="I26" s="149" t="n">
        <f aca="false">SUM(J26:AA26)</f>
        <v>81.3</v>
      </c>
      <c r="J26" s="150"/>
      <c r="K26" s="117"/>
      <c r="L26" s="244" t="n">
        <f aca="false">8.44+16.72</f>
        <v>25.16</v>
      </c>
      <c r="M26" s="244"/>
      <c r="N26" s="245" t="n">
        <f aca="false">40.15</f>
        <v>40.15</v>
      </c>
      <c r="O26" s="246"/>
      <c r="P26" s="247"/>
      <c r="Q26" s="248"/>
      <c r="R26" s="249"/>
      <c r="S26" s="250"/>
      <c r="T26" s="250"/>
      <c r="U26" s="249" t="n">
        <f aca="false">15.99</f>
        <v>15.99</v>
      </c>
      <c r="V26" s="251"/>
      <c r="W26" s="252"/>
      <c r="X26" s="155"/>
      <c r="Y26" s="155"/>
      <c r="Z26" s="140"/>
      <c r="AA26" s="269"/>
      <c r="AB26" s="270"/>
      <c r="AC26" s="318" t="n">
        <f aca="false">79</f>
        <v>79</v>
      </c>
    </row>
    <row r="27" customFormat="false" ht="15" hidden="false" customHeight="false" outlineLevel="0" collapsed="false">
      <c r="A27" s="157" t="n">
        <v>19</v>
      </c>
      <c r="B27" s="273" t="n">
        <v>43543</v>
      </c>
      <c r="C27" s="159"/>
      <c r="D27" s="242" t="n">
        <f aca="false">D26+F27</f>
        <v>9013.87866666667</v>
      </c>
      <c r="E27" s="159" t="n">
        <f aca="false">E26+G27</f>
        <v>14213.0386666667</v>
      </c>
      <c r="F27" s="146" t="n">
        <f aca="false">G27-I27</f>
        <v>680.484666666667</v>
      </c>
      <c r="G27" s="160" t="n">
        <f aca="false">$C$6/$G$1</f>
        <v>748.054666666667</v>
      </c>
      <c r="H27" s="161" t="n">
        <f aca="false">H26+I27</f>
        <v>5199.16</v>
      </c>
      <c r="I27" s="149" t="n">
        <f aca="false">SUM(J27:AA27)</f>
        <v>67.57</v>
      </c>
      <c r="J27" s="150"/>
      <c r="K27" s="117"/>
      <c r="L27" s="254" t="n">
        <f aca="false">55.43-3.95+12.14</f>
        <v>63.62</v>
      </c>
      <c r="M27" s="254"/>
      <c r="N27" s="255" t="n">
        <f aca="false">3.95</f>
        <v>3.95</v>
      </c>
      <c r="O27" s="256"/>
      <c r="P27" s="257"/>
      <c r="Q27" s="258"/>
      <c r="R27" s="259"/>
      <c r="S27" s="176"/>
      <c r="T27" s="176"/>
      <c r="U27" s="259"/>
      <c r="V27" s="260"/>
      <c r="W27" s="261"/>
      <c r="X27" s="155"/>
      <c r="Y27" s="155"/>
      <c r="Z27" s="140"/>
      <c r="AA27" s="267"/>
      <c r="AB27" s="266"/>
      <c r="AC27" s="318" t="n">
        <f aca="false">88.98</f>
        <v>88.98</v>
      </c>
    </row>
    <row r="28" customFormat="false" ht="15" hidden="false" customHeight="false" outlineLevel="0" collapsed="false">
      <c r="A28" s="167" t="n">
        <v>20</v>
      </c>
      <c r="B28" s="273" t="n">
        <v>43544</v>
      </c>
      <c r="C28" s="169"/>
      <c r="D28" s="242" t="n">
        <f aca="false">D27+F28</f>
        <v>9368.57333333333</v>
      </c>
      <c r="E28" s="169" t="n">
        <f aca="false">E27+G28</f>
        <v>14961.0933333333</v>
      </c>
      <c r="F28" s="146" t="n">
        <f aca="false">G28-I28</f>
        <v>354.694666666667</v>
      </c>
      <c r="G28" s="170" t="n">
        <f aca="false">$C$6/$G$1</f>
        <v>748.054666666667</v>
      </c>
      <c r="H28" s="171" t="n">
        <f aca="false">H27+I28</f>
        <v>5592.52</v>
      </c>
      <c r="I28" s="149" t="n">
        <f aca="false">SUM(J28:AA28)</f>
        <v>393.36</v>
      </c>
      <c r="J28" s="150" t="n">
        <v>13</v>
      </c>
      <c r="K28" s="135" t="s">
        <v>91</v>
      </c>
      <c r="L28" s="118" t="n">
        <f aca="false">16.23+5.1</f>
        <v>21.33</v>
      </c>
      <c r="M28" s="118"/>
      <c r="N28" s="152" t="n">
        <f aca="false">73.89+44.84</f>
        <v>118.73</v>
      </c>
      <c r="O28" s="120"/>
      <c r="P28" s="121"/>
      <c r="Q28" s="122"/>
      <c r="R28" s="123"/>
      <c r="S28" s="153"/>
      <c r="T28" s="153"/>
      <c r="U28" s="123" t="n">
        <f aca="false">150</f>
        <v>150</v>
      </c>
      <c r="V28" s="154"/>
      <c r="W28" s="240"/>
      <c r="X28" s="155"/>
      <c r="Y28" s="155"/>
      <c r="Z28" s="140" t="n">
        <f aca="false">90.3</f>
        <v>90.3</v>
      </c>
      <c r="AA28" s="267"/>
      <c r="AB28" s="266"/>
      <c r="AC28" s="318" t="n">
        <f aca="false">64.9</f>
        <v>64.9</v>
      </c>
    </row>
    <row r="29" s="156" customFormat="true" ht="15" hidden="false" customHeight="false" outlineLevel="0" collapsed="false">
      <c r="A29" s="141" t="n">
        <v>21</v>
      </c>
      <c r="B29" s="273" t="n">
        <v>43545</v>
      </c>
      <c r="C29" s="145"/>
      <c r="D29" s="242" t="n">
        <f aca="false">D28+F29</f>
        <v>10075.178</v>
      </c>
      <c r="E29" s="145" t="n">
        <f aca="false">E28+G29</f>
        <v>15709.148</v>
      </c>
      <c r="F29" s="146" t="n">
        <f aca="false">G29-I29</f>
        <v>706.604666666667</v>
      </c>
      <c r="G29" s="147" t="n">
        <f aca="false">$C$6/$G$1</f>
        <v>748.054666666667</v>
      </c>
      <c r="H29" s="148" t="n">
        <f aca="false">H28+I29</f>
        <v>5633.97</v>
      </c>
      <c r="I29" s="149" t="n">
        <f aca="false">SUM(J29:AA29)</f>
        <v>41.45</v>
      </c>
      <c r="J29" s="150"/>
      <c r="K29" s="117"/>
      <c r="L29" s="118" t="n">
        <f aca="false">2.5</f>
        <v>2.5</v>
      </c>
      <c r="M29" s="118"/>
      <c r="N29" s="152" t="n">
        <f aca="false">38.95</f>
        <v>38.95</v>
      </c>
      <c r="O29" s="120"/>
      <c r="P29" s="121"/>
      <c r="Q29" s="122"/>
      <c r="R29" s="123"/>
      <c r="S29" s="153"/>
      <c r="T29" s="153"/>
      <c r="U29" s="123"/>
      <c r="V29" s="154"/>
      <c r="W29" s="240"/>
      <c r="X29" s="155"/>
      <c r="Y29" s="155"/>
      <c r="Z29" s="140"/>
      <c r="AA29" s="269"/>
      <c r="AB29" s="270"/>
      <c r="AC29" s="318" t="n">
        <f aca="false">52.5</f>
        <v>52.5</v>
      </c>
    </row>
    <row r="30" customFormat="false" ht="15" hidden="false" customHeight="false" outlineLevel="0" collapsed="false">
      <c r="A30" s="157" t="n">
        <v>22</v>
      </c>
      <c r="B30" s="273" t="n">
        <v>43546</v>
      </c>
      <c r="C30" s="159"/>
      <c r="D30" s="242" t="n">
        <f aca="false">D29+F30</f>
        <v>10702.8126666667</v>
      </c>
      <c r="E30" s="159" t="n">
        <f aca="false">E29+G30</f>
        <v>16457.2026666667</v>
      </c>
      <c r="F30" s="146" t="n">
        <f aca="false">G30-I30</f>
        <v>627.634666666667</v>
      </c>
      <c r="G30" s="160" t="n">
        <f aca="false">$C$6/$G$1</f>
        <v>748.054666666667</v>
      </c>
      <c r="H30" s="161" t="n">
        <f aca="false">H29+I30</f>
        <v>5754.39</v>
      </c>
      <c r="I30" s="149" t="n">
        <f aca="false">SUM(J30:AA30)</f>
        <v>120.42</v>
      </c>
      <c r="J30" s="150"/>
      <c r="K30" s="117"/>
      <c r="L30" s="118"/>
      <c r="M30" s="118" t="n">
        <f aca="false">35.43-9.57-2.99-2.99</f>
        <v>19.88</v>
      </c>
      <c r="N30" s="152"/>
      <c r="O30" s="120"/>
      <c r="P30" s="121"/>
      <c r="Q30" s="122"/>
      <c r="R30" s="123"/>
      <c r="S30" s="153" t="n">
        <f aca="false">50</f>
        <v>50</v>
      </c>
      <c r="T30" s="153"/>
      <c r="U30" s="123"/>
      <c r="V30" s="154" t="n">
        <f aca="false">34.99</f>
        <v>34.99</v>
      </c>
      <c r="W30" s="240"/>
      <c r="X30" s="155"/>
      <c r="Y30" s="155" t="n">
        <f aca="false">9.57+2.99+2.99</f>
        <v>15.55</v>
      </c>
      <c r="Z30" s="140"/>
      <c r="AA30" s="267"/>
      <c r="AB30" s="266"/>
      <c r="AC30" s="318" t="n">
        <f aca="false">1385.15</f>
        <v>1385.15</v>
      </c>
    </row>
    <row r="31" customFormat="false" ht="15" hidden="false" customHeight="false" outlineLevel="0" collapsed="false">
      <c r="A31" s="162" t="n">
        <v>23</v>
      </c>
      <c r="B31" s="273" t="n">
        <v>43547</v>
      </c>
      <c r="C31" s="164"/>
      <c r="D31" s="242" t="n">
        <f aca="false">D30+F31</f>
        <v>10794.3273333333</v>
      </c>
      <c r="E31" s="164" t="n">
        <f aca="false">E30+G31</f>
        <v>17205.2573333333</v>
      </c>
      <c r="F31" s="146" t="n">
        <f aca="false">G31-I31</f>
        <v>91.5146666666667</v>
      </c>
      <c r="G31" s="165" t="n">
        <f aca="false">$C$6/$G$1</f>
        <v>748.054666666667</v>
      </c>
      <c r="H31" s="166" t="n">
        <f aca="false">H30+I31</f>
        <v>6410.93</v>
      </c>
      <c r="I31" s="149" t="n">
        <f aca="false">SUM(J31:AA31)</f>
        <v>656.54</v>
      </c>
      <c r="J31" s="150"/>
      <c r="K31" s="117"/>
      <c r="L31" s="118" t="n">
        <f aca="false">5.38+5.1+121.83-2.39+50.66</f>
        <v>180.58</v>
      </c>
      <c r="M31" s="118" t="n">
        <f aca="false">17</f>
        <v>17</v>
      </c>
      <c r="N31" s="152" t="n">
        <f aca="false">2.39</f>
        <v>2.39</v>
      </c>
      <c r="O31" s="120"/>
      <c r="P31" s="121"/>
      <c r="Q31" s="122"/>
      <c r="R31" s="123"/>
      <c r="S31" s="153" t="n">
        <f aca="false">261.57</f>
        <v>261.57</v>
      </c>
      <c r="T31" s="153"/>
      <c r="U31" s="123"/>
      <c r="V31" s="154"/>
      <c r="W31" s="240" t="n">
        <v>180</v>
      </c>
      <c r="X31" s="155"/>
      <c r="Y31" s="155"/>
      <c r="Z31" s="140" t="n">
        <f aca="false">15</f>
        <v>15</v>
      </c>
      <c r="AA31" s="267"/>
      <c r="AB31" s="266"/>
      <c r="AC31" s="318" t="n">
        <f aca="false">1200</f>
        <v>1200</v>
      </c>
    </row>
    <row r="32" customFormat="false" ht="15" hidden="false" customHeight="false" outlineLevel="0" collapsed="false">
      <c r="A32" s="167" t="n">
        <v>24</v>
      </c>
      <c r="B32" s="268" t="n">
        <v>43548</v>
      </c>
      <c r="C32" s="169"/>
      <c r="D32" s="242" t="n">
        <f aca="false">D31+F32</f>
        <v>11517.222</v>
      </c>
      <c r="E32" s="169" t="n">
        <f aca="false">E31+G32</f>
        <v>17953.312</v>
      </c>
      <c r="F32" s="146" t="n">
        <f aca="false">G32-I32</f>
        <v>722.894666666667</v>
      </c>
      <c r="G32" s="170" t="n">
        <f aca="false">$C$6/$G$1</f>
        <v>748.054666666667</v>
      </c>
      <c r="H32" s="171" t="n">
        <f aca="false">H31+I32</f>
        <v>6436.09</v>
      </c>
      <c r="I32" s="149" t="n">
        <f aca="false">SUM(J32:AA32)</f>
        <v>25.16</v>
      </c>
      <c r="J32" s="150"/>
      <c r="K32" s="117"/>
      <c r="L32" s="202"/>
      <c r="M32" s="202" t="n">
        <f aca="false">25.16</f>
        <v>25.16</v>
      </c>
      <c r="N32" s="203"/>
      <c r="O32" s="204"/>
      <c r="P32" s="205"/>
      <c r="Q32" s="206"/>
      <c r="R32" s="178"/>
      <c r="S32" s="173"/>
      <c r="T32" s="173"/>
      <c r="U32" s="178"/>
      <c r="V32" s="179"/>
      <c r="W32" s="46"/>
      <c r="X32" s="155"/>
      <c r="Y32" s="155"/>
      <c r="Z32" s="140"/>
      <c r="AA32" s="267"/>
      <c r="AB32" s="266"/>
      <c r="AC32" s="318"/>
    </row>
    <row r="33" customFormat="false" ht="15" hidden="false" customHeight="false" outlineLevel="0" collapsed="false">
      <c r="A33" s="141" t="n">
        <v>25</v>
      </c>
      <c r="B33" s="273" t="n">
        <v>43549</v>
      </c>
      <c r="C33" s="145"/>
      <c r="D33" s="242" t="n">
        <f aca="false">D32+F33</f>
        <v>12182.3166666667</v>
      </c>
      <c r="E33" s="145" t="n">
        <f aca="false">E32+G33</f>
        <v>18701.3666666667</v>
      </c>
      <c r="F33" s="146" t="n">
        <f aca="false">G33-I33</f>
        <v>665.094666666667</v>
      </c>
      <c r="G33" s="147" t="n">
        <f aca="false">$C$6/$G$1</f>
        <v>748.054666666667</v>
      </c>
      <c r="H33" s="148" t="n">
        <f aca="false">H32+I33</f>
        <v>6519.05</v>
      </c>
      <c r="I33" s="149" t="n">
        <f aca="false">SUM(J33:AA33)</f>
        <v>82.96</v>
      </c>
      <c r="J33" s="150"/>
      <c r="K33" s="117"/>
      <c r="L33" s="244" t="n">
        <f aca="false">7.69+1.79+12.6+8.23+19.2</f>
        <v>49.51</v>
      </c>
      <c r="M33" s="244" t="n">
        <f aca="false">12.5</f>
        <v>12.5</v>
      </c>
      <c r="N33" s="245" t="n">
        <f aca="false">15.77</f>
        <v>15.77</v>
      </c>
      <c r="O33" s="246"/>
      <c r="P33" s="247"/>
      <c r="Q33" s="248"/>
      <c r="R33" s="249" t="n">
        <f aca="false">5.18</f>
        <v>5.18</v>
      </c>
      <c r="S33" s="250"/>
      <c r="T33" s="250"/>
      <c r="U33" s="249"/>
      <c r="V33" s="251"/>
      <c r="W33" s="252"/>
      <c r="X33" s="155"/>
      <c r="Y33" s="155"/>
      <c r="Z33" s="140"/>
      <c r="AA33" s="269"/>
      <c r="AB33" s="270"/>
      <c r="AC33" s="318"/>
    </row>
    <row r="34" customFormat="false" ht="15" hidden="false" customHeight="false" outlineLevel="0" collapsed="false">
      <c r="A34" s="157" t="n">
        <v>26</v>
      </c>
      <c r="B34" s="273" t="n">
        <v>43550</v>
      </c>
      <c r="C34" s="159"/>
      <c r="D34" s="242" t="n">
        <f aca="false">D33+F34</f>
        <v>12807.3413333333</v>
      </c>
      <c r="E34" s="159" t="n">
        <f aca="false">E33+G34</f>
        <v>19449.4213333333</v>
      </c>
      <c r="F34" s="146" t="n">
        <f aca="false">G34-I34</f>
        <v>625.024666666667</v>
      </c>
      <c r="G34" s="160" t="n">
        <f aca="false">$C$6/$G$1</f>
        <v>748.054666666667</v>
      </c>
      <c r="H34" s="161" t="n">
        <f aca="false">H33+I34</f>
        <v>6642.08</v>
      </c>
      <c r="I34" s="149" t="n">
        <f aca="false">SUM(J34:AA34)</f>
        <v>123.03</v>
      </c>
      <c r="J34" s="150"/>
      <c r="K34" s="117"/>
      <c r="L34" s="254" t="n">
        <f aca="false">97.23-9.98-7.99</f>
        <v>79.26</v>
      </c>
      <c r="M34" s="254"/>
      <c r="N34" s="255" t="n">
        <f aca="false">9.98+7.99</f>
        <v>17.97</v>
      </c>
      <c r="O34" s="256"/>
      <c r="P34" s="257"/>
      <c r="Q34" s="258"/>
      <c r="R34" s="259"/>
      <c r="S34" s="176"/>
      <c r="T34" s="176"/>
      <c r="U34" s="259"/>
      <c r="V34" s="260" t="n">
        <f aca="false">25.8</f>
        <v>25.8</v>
      </c>
      <c r="W34" s="261"/>
      <c r="X34" s="155"/>
      <c r="Y34" s="155"/>
      <c r="Z34" s="140"/>
      <c r="AA34" s="267"/>
      <c r="AB34" s="266"/>
      <c r="AC34" s="318"/>
    </row>
    <row r="35" customFormat="false" ht="15" hidden="false" customHeight="false" outlineLevel="0" collapsed="false">
      <c r="A35" s="167" t="n">
        <v>27</v>
      </c>
      <c r="B35" s="273" t="n">
        <v>43551</v>
      </c>
      <c r="C35" s="169"/>
      <c r="D35" s="242" t="n">
        <f aca="false">D34+F35</f>
        <v>13543.836</v>
      </c>
      <c r="E35" s="169" t="n">
        <f aca="false">E34+G35</f>
        <v>20197.476</v>
      </c>
      <c r="F35" s="146" t="n">
        <f aca="false">G35-I35</f>
        <v>736.494666666667</v>
      </c>
      <c r="G35" s="170" t="n">
        <f aca="false">$C$6/$G$1</f>
        <v>748.054666666667</v>
      </c>
      <c r="H35" s="171" t="n">
        <f aca="false">H34+I35</f>
        <v>6653.64</v>
      </c>
      <c r="I35" s="149" t="n">
        <f aca="false">SUM(J35:AA35)</f>
        <v>11.56</v>
      </c>
      <c r="J35" s="150"/>
      <c r="K35" s="117"/>
      <c r="L35" s="118" t="n">
        <f aca="false">11.56</f>
        <v>11.56</v>
      </c>
      <c r="M35" s="118"/>
      <c r="N35" s="152"/>
      <c r="O35" s="120"/>
      <c r="P35" s="121"/>
      <c r="Q35" s="122"/>
      <c r="R35" s="123"/>
      <c r="S35" s="153"/>
      <c r="T35" s="153"/>
      <c r="U35" s="123"/>
      <c r="V35" s="154"/>
      <c r="W35" s="240"/>
      <c r="X35" s="155"/>
      <c r="Y35" s="155"/>
      <c r="Z35" s="140"/>
      <c r="AA35" s="267"/>
      <c r="AB35" s="266"/>
      <c r="AC35" s="318"/>
    </row>
    <row r="36" s="156" customFormat="true" ht="15" hidden="false" customHeight="false" outlineLevel="0" collapsed="false">
      <c r="A36" s="141" t="n">
        <v>28</v>
      </c>
      <c r="B36" s="273" t="n">
        <v>43552</v>
      </c>
      <c r="C36" s="145"/>
      <c r="D36" s="242" t="n">
        <f aca="false">D35+F36</f>
        <v>14138.9306666667</v>
      </c>
      <c r="E36" s="145" t="n">
        <f aca="false">E35+G36</f>
        <v>20945.5306666667</v>
      </c>
      <c r="F36" s="146" t="n">
        <f aca="false">G36-I36</f>
        <v>595.094666666667</v>
      </c>
      <c r="G36" s="147" t="n">
        <f aca="false">$C$6/$G$1</f>
        <v>748.054666666667</v>
      </c>
      <c r="H36" s="148" t="n">
        <f aca="false">H35+I36</f>
        <v>6806.6</v>
      </c>
      <c r="I36" s="149" t="n">
        <f aca="false">SUM(J36:AA36)</f>
        <v>152.96</v>
      </c>
      <c r="J36" s="201" t="n">
        <v>29.99</v>
      </c>
      <c r="K36" s="117" t="s">
        <v>97</v>
      </c>
      <c r="L36" s="118" t="n">
        <f aca="false">18.97</f>
        <v>18.97</v>
      </c>
      <c r="M36" s="118"/>
      <c r="N36" s="152"/>
      <c r="O36" s="120"/>
      <c r="P36" s="121"/>
      <c r="Q36" s="122"/>
      <c r="R36" s="123"/>
      <c r="S36" s="153"/>
      <c r="T36" s="153"/>
      <c r="U36" s="123"/>
      <c r="V36" s="154"/>
      <c r="W36" s="240" t="n">
        <f aca="false">104</f>
        <v>104</v>
      </c>
      <c r="X36" s="155"/>
      <c r="Y36" s="155"/>
      <c r="Z36" s="209"/>
      <c r="AA36" s="269"/>
      <c r="AB36" s="270"/>
      <c r="AC36" s="318"/>
    </row>
    <row r="37" customFormat="false" ht="15" hidden="false" customHeight="false" outlineLevel="0" collapsed="false">
      <c r="A37" s="157" t="n">
        <v>29</v>
      </c>
      <c r="B37" s="273" t="n">
        <v>43553</v>
      </c>
      <c r="C37" s="159"/>
      <c r="D37" s="242" t="n">
        <f aca="false">D36+F37</f>
        <v>14886.9853333333</v>
      </c>
      <c r="E37" s="159" t="n">
        <f aca="false">E36+G37</f>
        <v>21693.5853333333</v>
      </c>
      <c r="F37" s="146" t="n">
        <f aca="false">G37-I37</f>
        <v>748.054666666667</v>
      </c>
      <c r="G37" s="160" t="n">
        <f aca="false">$C$6/$G$1</f>
        <v>748.054666666667</v>
      </c>
      <c r="H37" s="161" t="n">
        <f aca="false">H36+I37</f>
        <v>6806.6</v>
      </c>
      <c r="I37" s="149" t="n">
        <f aca="false">SUM(J37:AA37)</f>
        <v>0</v>
      </c>
      <c r="J37" s="150"/>
      <c r="K37" s="117"/>
      <c r="L37" s="118"/>
      <c r="M37" s="118"/>
      <c r="N37" s="152"/>
      <c r="O37" s="120"/>
      <c r="P37" s="121"/>
      <c r="Q37" s="122"/>
      <c r="R37" s="123"/>
      <c r="S37" s="153"/>
      <c r="T37" s="153"/>
      <c r="U37" s="123"/>
      <c r="V37" s="154"/>
      <c r="W37" s="240"/>
      <c r="X37" s="155"/>
      <c r="Y37" s="155"/>
      <c r="Z37" s="209"/>
      <c r="AA37" s="267"/>
      <c r="AB37" s="266"/>
      <c r="AC37" s="318"/>
    </row>
    <row r="38" customFormat="false" ht="15" hidden="false" customHeight="false" outlineLevel="0" collapsed="false">
      <c r="A38" s="162" t="n">
        <v>30</v>
      </c>
      <c r="B38" s="273" t="n">
        <v>43554</v>
      </c>
      <c r="C38" s="164"/>
      <c r="D38" s="242" t="n">
        <f aca="false">D37+F38</f>
        <v>15469.42</v>
      </c>
      <c r="E38" s="164" t="n">
        <f aca="false">E37+G38</f>
        <v>22441.64</v>
      </c>
      <c r="F38" s="146" t="n">
        <f aca="false">G38-I38</f>
        <v>582.434666666667</v>
      </c>
      <c r="G38" s="165" t="n">
        <f aca="false">$C$6/$G$1</f>
        <v>748.054666666667</v>
      </c>
      <c r="H38" s="166" t="n">
        <f aca="false">H37+I38</f>
        <v>6972.22</v>
      </c>
      <c r="I38" s="149" t="n">
        <f aca="false">SUM(J38:AA38)</f>
        <v>165.62</v>
      </c>
      <c r="J38" s="150"/>
      <c r="K38" s="117"/>
      <c r="L38" s="118" t="n">
        <f aca="false">18.02+3.6</f>
        <v>21.62</v>
      </c>
      <c r="M38" s="118" t="n">
        <f aca="false">16+8+8+18</f>
        <v>50</v>
      </c>
      <c r="N38" s="152"/>
      <c r="O38" s="120" t="n">
        <f aca="false">82+10+2</f>
        <v>94</v>
      </c>
      <c r="P38" s="121"/>
      <c r="Q38" s="122"/>
      <c r="R38" s="123"/>
      <c r="S38" s="153"/>
      <c r="T38" s="153"/>
      <c r="U38" s="123"/>
      <c r="V38" s="154"/>
      <c r="W38" s="240"/>
      <c r="X38" s="155"/>
      <c r="Y38" s="155"/>
      <c r="Z38" s="209"/>
      <c r="AA38" s="267"/>
      <c r="AB38" s="266"/>
      <c r="AC38" s="318"/>
    </row>
    <row r="39" customFormat="false" ht="15" hidden="false" customHeight="false" outlineLevel="0" collapsed="false">
      <c r="A39" s="162" t="n">
        <v>31</v>
      </c>
      <c r="B39" s="273" t="n">
        <v>43555</v>
      </c>
      <c r="C39" s="164"/>
      <c r="D39" s="242" t="n">
        <f aca="false">D38+F39</f>
        <v>15805.3046666667</v>
      </c>
      <c r="E39" s="164" t="n">
        <f aca="false">E38+G39</f>
        <v>23189.6946666667</v>
      </c>
      <c r="F39" s="146" t="n">
        <f aca="false">G39-I39</f>
        <v>335.884666666667</v>
      </c>
      <c r="G39" s="165" t="n">
        <f aca="false">$C$6/$G$1</f>
        <v>748.054666666667</v>
      </c>
      <c r="H39" s="166" t="n">
        <f aca="false">H38+I39</f>
        <v>7384.39</v>
      </c>
      <c r="I39" s="149" t="n">
        <f aca="false">SUM(J39:AA39)</f>
        <v>412.17</v>
      </c>
      <c r="J39" s="150"/>
      <c r="K39" s="117"/>
      <c r="L39" s="118" t="n">
        <f aca="false">160.64-8.49+7.3</f>
        <v>159.45</v>
      </c>
      <c r="M39" s="118" t="n">
        <f aca="false">72+22</f>
        <v>94</v>
      </c>
      <c r="N39" s="152" t="n">
        <f aca="false">8.49</f>
        <v>8.49</v>
      </c>
      <c r="O39" s="120"/>
      <c r="P39" s="121"/>
      <c r="Q39" s="122"/>
      <c r="R39" s="123"/>
      <c r="S39" s="153" t="n">
        <f aca="false">150.23</f>
        <v>150.23</v>
      </c>
      <c r="T39" s="153"/>
      <c r="U39" s="123"/>
      <c r="V39" s="154"/>
      <c r="W39" s="240"/>
      <c r="X39" s="155"/>
      <c r="Y39" s="155"/>
      <c r="Z39" s="209"/>
      <c r="AA39" s="267"/>
      <c r="AB39" s="266"/>
      <c r="AC39" s="318"/>
    </row>
    <row r="45" customFormat="false" ht="13.8" hidden="false" customHeight="false" outlineLevel="0" collapsed="false"/>
    <row r="54" customFormat="false" ht="15" hidden="false" customHeight="false" outlineLevel="0" collapsed="false">
      <c r="D54" s="65" t="s">
        <v>179</v>
      </c>
    </row>
  </sheetData>
  <mergeCells count="11">
    <mergeCell ref="J5:K5"/>
    <mergeCell ref="L5:M5"/>
    <mergeCell ref="S5:T5"/>
    <mergeCell ref="U5:V5"/>
    <mergeCell ref="X5:Y5"/>
    <mergeCell ref="C6:E6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5.58"/>
    <col collapsed="false" customWidth="true" hidden="false" outlineLevel="0" max="4" min="4" style="65" width="6.61"/>
    <col collapsed="false" customWidth="true" hidden="false" outlineLevel="0" max="5" min="5" style="65" width="5.7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30</v>
      </c>
    </row>
    <row r="2" customFormat="false" ht="13.8" hidden="false" customHeight="false" outlineLevel="0" collapsed="false">
      <c r="B2" s="71" t="s">
        <v>50</v>
      </c>
      <c r="C2" s="72" t="n">
        <v>4850</v>
      </c>
      <c r="D2" s="72" t="n">
        <v>2880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/>
      <c r="D4" s="72"/>
      <c r="E4" s="72"/>
      <c r="F4" s="181" t="n">
        <v>1000</v>
      </c>
      <c r="G4" s="182" t="n">
        <f aca="false">C6-F4</f>
        <v>8762</v>
      </c>
      <c r="H4" s="183" t="n">
        <f aca="false">G4-H6</f>
        <v>2251.62</v>
      </c>
      <c r="I4" s="217" t="n">
        <f aca="false">C6-H6</f>
        <v>3251.62</v>
      </c>
    </row>
    <row r="5" customFormat="false" ht="17.35" hidden="false" customHeight="false" outlineLevel="0" collapsed="false">
      <c r="B5" s="83" t="s">
        <v>53</v>
      </c>
      <c r="C5" s="84" t="n">
        <v>32</v>
      </c>
      <c r="D5" s="84"/>
      <c r="E5" s="84" t="n">
        <f aca="false">500+1500</f>
        <v>2000</v>
      </c>
      <c r="H5" s="217" t="s">
        <v>180</v>
      </c>
      <c r="I5" s="217" t="n">
        <f aca="false">(I4/C6)</f>
        <v>0.333089530833846</v>
      </c>
      <c r="J5" s="218" t="n">
        <f aca="false">J7/H6</f>
        <v>0.125799108500579</v>
      </c>
      <c r="K5" s="218"/>
      <c r="L5" s="219" t="n">
        <f aca="false">(L7+M7)/H6</f>
        <v>0.263746509420341</v>
      </c>
      <c r="M5" s="219"/>
      <c r="N5" s="220" t="n">
        <f aca="false">N7/H6</f>
        <v>0.0662787732820511</v>
      </c>
      <c r="O5" s="221" t="n">
        <f aca="false">O7/H6</f>
        <v>0.121636525056909</v>
      </c>
      <c r="P5" s="222" t="n">
        <f aca="false">P7/H6</f>
        <v>0.00597660966026561</v>
      </c>
      <c r="Q5" s="223" t="e">
        <f aca="false">Q7/K6</f>
        <v>#DIV/0!</v>
      </c>
      <c r="R5" s="224" t="n">
        <f aca="false">R7/H6</f>
        <v>0</v>
      </c>
      <c r="S5" s="225" t="n">
        <f aca="false">(S7+T7)/H6</f>
        <v>0.162578835644002</v>
      </c>
      <c r="T5" s="225"/>
      <c r="U5" s="226" t="n">
        <f aca="false">(U7+V7)/H6</f>
        <v>0.0447869402400474</v>
      </c>
      <c r="V5" s="226"/>
      <c r="W5" s="227" t="n">
        <f aca="false">W7/H6</f>
        <v>0.0191985721263582</v>
      </c>
      <c r="X5" s="228" t="n">
        <f aca="false">(X7+Y7)/H6</f>
        <v>0.0184321038096087</v>
      </c>
      <c r="Y5" s="228"/>
      <c r="Z5" s="229" t="n">
        <f aca="false">Z7/H6</f>
        <v>0.06727410688777</v>
      </c>
      <c r="AA5" s="263" t="n">
        <f aca="false">AA7/H6</f>
        <v>0</v>
      </c>
      <c r="AB5" s="264" t="n">
        <f aca="false">AB7/H6</f>
        <v>0.0950589673721043</v>
      </c>
      <c r="AC5" s="310" t="n">
        <f aca="false">AC7/H6</f>
        <v>0.00923294799996314</v>
      </c>
    </row>
    <row r="6" customFormat="false" ht="57" hidden="false" customHeight="true" outlineLevel="0" collapsed="false">
      <c r="B6" s="98" t="s">
        <v>56</v>
      </c>
      <c r="C6" s="311" t="n">
        <f aca="false">SUM(C2:C5)+SUM(D2:D5)+SUM(E2:E5)</f>
        <v>9762</v>
      </c>
      <c r="D6" s="311"/>
      <c r="E6" s="311"/>
      <c r="G6" s="102" t="s">
        <v>57</v>
      </c>
      <c r="H6" s="103" t="n">
        <f aca="false">SUM(J7:AC7)</f>
        <v>6510.38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  <c r="AC6" s="314" t="s">
        <v>118</v>
      </c>
    </row>
    <row r="7" customFormat="false" ht="13.8" hidden="false" customHeight="false" outlineLevel="0" collapsed="false">
      <c r="B7" s="116"/>
      <c r="J7" s="117" t="n">
        <f aca="false">SUM(J9:J39)</f>
        <v>819</v>
      </c>
      <c r="K7" s="117"/>
      <c r="L7" s="118" t="n">
        <f aca="false">SUM(L9:L39)</f>
        <v>1408.19</v>
      </c>
      <c r="M7" s="118" t="n">
        <f aca="false">SUM(M9:M39)</f>
        <v>308.9</v>
      </c>
      <c r="N7" s="118" t="n">
        <f aca="false">SUM(N9:N39)</f>
        <v>431.5</v>
      </c>
      <c r="O7" s="118" t="n">
        <f aca="false">SUM(O9:O39)</f>
        <v>791.9</v>
      </c>
      <c r="P7" s="118" t="n">
        <f aca="false">SUM(P9:P39)</f>
        <v>38.91</v>
      </c>
      <c r="Q7" s="118" t="n">
        <f aca="false">SUM(Q9:Q39)</f>
        <v>0</v>
      </c>
      <c r="R7" s="118" t="n">
        <f aca="false">SUM(R9:R39)</f>
        <v>0</v>
      </c>
      <c r="S7" s="118" t="n">
        <f aca="false">SUM(S9:S39)</f>
        <v>254.45</v>
      </c>
      <c r="T7" s="118" t="n">
        <f aca="false">SUM(T9:T39)</f>
        <v>804</v>
      </c>
      <c r="U7" s="118" t="n">
        <f aca="false">SUM(U9:U39)</f>
        <v>1.3</v>
      </c>
      <c r="V7" s="118" t="n">
        <f aca="false">SUM(V9:V39)</f>
        <v>290.28</v>
      </c>
      <c r="W7" s="118" t="n">
        <f aca="false">SUM(W9:W39)</f>
        <v>124.99</v>
      </c>
      <c r="X7" s="118" t="n">
        <f aca="false">SUM(X9:X39)</f>
        <v>120</v>
      </c>
      <c r="Y7" s="118" t="n">
        <f aca="false">SUM(Y9:Y39)</f>
        <v>0</v>
      </c>
      <c r="Z7" s="118" t="n">
        <f aca="false">SUM(Z9:Z39)</f>
        <v>437.98</v>
      </c>
      <c r="AA7" s="118" t="n">
        <f aca="false">SUM(AA9:AA39)</f>
        <v>0</v>
      </c>
      <c r="AB7" s="118" t="n">
        <f aca="false">SUM(AB9:AB39)</f>
        <v>618.87</v>
      </c>
      <c r="AC7" s="117" t="n">
        <f aca="false">SUM(AC9:AC39)</f>
        <v>60.11</v>
      </c>
    </row>
    <row r="8" customFormat="false" ht="42.5" hidden="false" customHeight="false" outlineLevel="0" collapsed="false">
      <c r="A8" s="126" t="s">
        <v>61</v>
      </c>
      <c r="B8" s="127" t="s">
        <v>62</v>
      </c>
      <c r="C8" s="128" t="s">
        <v>103</v>
      </c>
      <c r="D8" s="129"/>
      <c r="E8" s="128"/>
      <c r="F8" s="130"/>
      <c r="G8" s="131"/>
      <c r="H8" s="132"/>
      <c r="I8" s="133"/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267"/>
      <c r="AB8" s="266"/>
      <c r="AC8" s="318"/>
    </row>
    <row r="9" s="156" customFormat="true" ht="15" hidden="false" customHeight="false" outlineLevel="0" collapsed="false">
      <c r="A9" s="141" t="n">
        <v>1</v>
      </c>
      <c r="B9" s="273" t="n">
        <v>43556</v>
      </c>
      <c r="C9" s="145"/>
      <c r="D9" s="144"/>
      <c r="E9" s="145"/>
      <c r="F9" s="146"/>
      <c r="G9" s="147"/>
      <c r="H9" s="148"/>
      <c r="I9" s="149"/>
      <c r="J9" s="150"/>
      <c r="K9" s="117"/>
      <c r="L9" s="118" t="n">
        <f aca="false">13.78+4.99</f>
        <v>18.77</v>
      </c>
      <c r="M9" s="118"/>
      <c r="N9" s="152" t="n">
        <f aca="false">13.28</f>
        <v>13.28</v>
      </c>
      <c r="O9" s="120"/>
      <c r="P9" s="121" t="n">
        <f aca="false">13.97</f>
        <v>13.97</v>
      </c>
      <c r="Q9" s="122"/>
      <c r="R9" s="123"/>
      <c r="S9" s="153"/>
      <c r="T9" s="153"/>
      <c r="U9" s="123"/>
      <c r="V9" s="154"/>
      <c r="W9" s="240"/>
      <c r="X9" s="155"/>
      <c r="Y9" s="155"/>
      <c r="Z9" s="140"/>
      <c r="AA9" s="269"/>
      <c r="AB9" s="270"/>
      <c r="AC9" s="318"/>
    </row>
    <row r="10" customFormat="false" ht="15" hidden="false" customHeight="false" outlineLevel="0" collapsed="false">
      <c r="A10" s="157" t="n">
        <v>2</v>
      </c>
      <c r="B10" s="273" t="n">
        <v>43557</v>
      </c>
      <c r="C10" s="159"/>
      <c r="D10" s="242"/>
      <c r="E10" s="159"/>
      <c r="F10" s="146"/>
      <c r="G10" s="160"/>
      <c r="H10" s="161"/>
      <c r="I10" s="149"/>
      <c r="J10" s="150"/>
      <c r="K10" s="135"/>
      <c r="L10" s="118" t="n">
        <f aca="false">67.49</f>
        <v>67.49</v>
      </c>
      <c r="M10" s="118"/>
      <c r="N10" s="152" t="n">
        <f aca="false">33.36</f>
        <v>33.36</v>
      </c>
      <c r="O10" s="120"/>
      <c r="P10" s="121"/>
      <c r="Q10" s="122"/>
      <c r="R10" s="123"/>
      <c r="S10" s="153"/>
      <c r="T10" s="153"/>
      <c r="U10" s="123"/>
      <c r="V10" s="154"/>
      <c r="W10" s="240"/>
      <c r="X10" s="155"/>
      <c r="Y10" s="155"/>
      <c r="Z10" s="140" t="n">
        <f aca="false">35</f>
        <v>35</v>
      </c>
      <c r="AA10" s="267"/>
      <c r="AB10" s="266"/>
      <c r="AC10" s="318"/>
    </row>
    <row r="11" customFormat="false" ht="15" hidden="false" customHeight="false" outlineLevel="0" collapsed="false">
      <c r="A11" s="167" t="n">
        <v>3</v>
      </c>
      <c r="B11" s="273" t="n">
        <v>43558</v>
      </c>
      <c r="C11" s="169"/>
      <c r="D11" s="242"/>
      <c r="E11" s="169"/>
      <c r="F11" s="146"/>
      <c r="G11" s="170"/>
      <c r="H11" s="171"/>
      <c r="I11" s="149"/>
      <c r="J11" s="150"/>
      <c r="K11" s="117"/>
      <c r="L11" s="202"/>
      <c r="M11" s="202"/>
      <c r="N11" s="203" t="n">
        <f aca="false">9.19</f>
        <v>9.19</v>
      </c>
      <c r="O11" s="204"/>
      <c r="P11" s="205"/>
      <c r="Q11" s="206"/>
      <c r="R11" s="178"/>
      <c r="S11" s="173"/>
      <c r="T11" s="173"/>
      <c r="U11" s="178"/>
      <c r="V11" s="179"/>
      <c r="W11" s="46"/>
      <c r="X11" s="155"/>
      <c r="Y11" s="155"/>
      <c r="Z11" s="140"/>
      <c r="AA11" s="267"/>
      <c r="AB11" s="266" t="n">
        <f aca="false">348.99</f>
        <v>348.99</v>
      </c>
      <c r="AC11" s="318"/>
    </row>
    <row r="12" customFormat="false" ht="15" hidden="false" customHeight="false" outlineLevel="0" collapsed="false">
      <c r="A12" s="141" t="n">
        <v>4</v>
      </c>
      <c r="B12" s="273" t="n">
        <v>43559</v>
      </c>
      <c r="C12" s="145"/>
      <c r="D12" s="242"/>
      <c r="E12" s="145"/>
      <c r="F12" s="146"/>
      <c r="G12" s="147"/>
      <c r="H12" s="148"/>
      <c r="I12" s="149"/>
      <c r="J12" s="150"/>
      <c r="K12" s="117"/>
      <c r="L12" s="244" t="n">
        <f aca="false">5.1+30.06+13.86</f>
        <v>49.02</v>
      </c>
      <c r="M12" s="244"/>
      <c r="N12" s="245"/>
      <c r="O12" s="246" t="n">
        <f aca="false">639+59+93.9</f>
        <v>791.9</v>
      </c>
      <c r="P12" s="247"/>
      <c r="Q12" s="248"/>
      <c r="R12" s="249"/>
      <c r="S12" s="250"/>
      <c r="T12" s="250"/>
      <c r="U12" s="249" t="n">
        <f aca="false">1.3</f>
        <v>1.3</v>
      </c>
      <c r="V12" s="251"/>
      <c r="W12" s="252"/>
      <c r="X12" s="155"/>
      <c r="Y12" s="155"/>
      <c r="Z12" s="140" t="n">
        <v>120</v>
      </c>
      <c r="AA12" s="269"/>
      <c r="AB12" s="270" t="n">
        <f aca="false">69.98+199.9</f>
        <v>269.88</v>
      </c>
      <c r="AC12" s="318"/>
    </row>
    <row r="13" customFormat="false" ht="15" hidden="false" customHeight="false" outlineLevel="0" collapsed="false">
      <c r="A13" s="157" t="n">
        <v>5</v>
      </c>
      <c r="B13" s="273" t="n">
        <v>43560</v>
      </c>
      <c r="C13" s="159"/>
      <c r="D13" s="242"/>
      <c r="E13" s="159"/>
      <c r="F13" s="146"/>
      <c r="G13" s="160"/>
      <c r="H13" s="161"/>
      <c r="I13" s="149"/>
      <c r="J13" s="150"/>
      <c r="K13" s="117"/>
      <c r="L13" s="254" t="n">
        <f aca="false">33.63+6.75</f>
        <v>40.38</v>
      </c>
      <c r="M13" s="254" t="n">
        <f aca="false">6.3</f>
        <v>6.3</v>
      </c>
      <c r="N13" s="255"/>
      <c r="O13" s="256"/>
      <c r="P13" s="257"/>
      <c r="Q13" s="258"/>
      <c r="R13" s="259"/>
      <c r="S13" s="176"/>
      <c r="T13" s="176"/>
      <c r="U13" s="259"/>
      <c r="V13" s="260"/>
      <c r="W13" s="261"/>
      <c r="X13" s="155"/>
      <c r="Y13" s="155"/>
      <c r="Z13" s="140" t="n">
        <v>120</v>
      </c>
      <c r="AA13" s="267"/>
      <c r="AB13" s="266"/>
      <c r="AC13" s="318"/>
    </row>
    <row r="14" s="363" customFormat="true" ht="15" hidden="false" customHeight="false" outlineLevel="0" collapsed="false">
      <c r="A14" s="341" t="n">
        <v>6</v>
      </c>
      <c r="B14" s="342" t="n">
        <v>43561</v>
      </c>
      <c r="C14" s="343"/>
      <c r="D14" s="344"/>
      <c r="E14" s="343"/>
      <c r="F14" s="345"/>
      <c r="G14" s="346"/>
      <c r="H14" s="347"/>
      <c r="I14" s="348"/>
      <c r="J14" s="349"/>
      <c r="K14" s="350"/>
      <c r="L14" s="351" t="n">
        <f aca="false">12.38</f>
        <v>12.38</v>
      </c>
      <c r="M14" s="351" t="n">
        <f aca="false">5+5+2</f>
        <v>12</v>
      </c>
      <c r="N14" s="352"/>
      <c r="O14" s="353"/>
      <c r="P14" s="354"/>
      <c r="Q14" s="355"/>
      <c r="R14" s="356"/>
      <c r="S14" s="357"/>
      <c r="T14" s="357"/>
      <c r="U14" s="356"/>
      <c r="V14" s="358"/>
      <c r="W14" s="359" t="n">
        <v>100</v>
      </c>
      <c r="X14" s="360"/>
      <c r="Y14" s="360"/>
      <c r="Z14" s="361" t="n">
        <f aca="false">50+50</f>
        <v>100</v>
      </c>
      <c r="AA14" s="362"/>
      <c r="AB14" s="317"/>
      <c r="AC14" s="318"/>
      <c r="AMJ14" s="336"/>
    </row>
    <row r="15" s="363" customFormat="true" ht="16.5" hidden="false" customHeight="true" outlineLevel="0" collapsed="false">
      <c r="A15" s="341" t="n">
        <v>7</v>
      </c>
      <c r="B15" s="364" t="n">
        <v>43562</v>
      </c>
      <c r="C15" s="365"/>
      <c r="D15" s="344"/>
      <c r="E15" s="343"/>
      <c r="F15" s="345"/>
      <c r="G15" s="346"/>
      <c r="H15" s="347"/>
      <c r="I15" s="366"/>
      <c r="J15" s="367"/>
      <c r="K15" s="368" t="s">
        <v>108</v>
      </c>
      <c r="L15" s="369"/>
      <c r="M15" s="369"/>
      <c r="N15" s="370"/>
      <c r="O15" s="371"/>
      <c r="P15" s="372"/>
      <c r="Q15" s="373"/>
      <c r="R15" s="374"/>
      <c r="S15" s="375"/>
      <c r="T15" s="375"/>
      <c r="U15" s="374"/>
      <c r="V15" s="376"/>
      <c r="W15" s="377"/>
      <c r="X15" s="378"/>
      <c r="Y15" s="378"/>
      <c r="Z15" s="379"/>
      <c r="AA15" s="362"/>
      <c r="AB15" s="317"/>
      <c r="AC15" s="318"/>
      <c r="AMJ15" s="336"/>
    </row>
    <row r="16" customFormat="false" ht="15" hidden="false" customHeight="false" outlineLevel="0" collapsed="false">
      <c r="A16" s="157" t="n">
        <v>8</v>
      </c>
      <c r="B16" s="273" t="n">
        <v>43563</v>
      </c>
      <c r="C16" s="159"/>
      <c r="D16" s="242"/>
      <c r="E16" s="159"/>
      <c r="F16" s="146"/>
      <c r="G16" s="160"/>
      <c r="H16" s="161"/>
      <c r="I16" s="149"/>
      <c r="J16" s="150"/>
      <c r="K16" s="135"/>
      <c r="L16" s="118" t="n">
        <f aca="false">128.95-9.98-1.99-7.99</f>
        <v>108.99</v>
      </c>
      <c r="M16" s="118"/>
      <c r="N16" s="152" t="n">
        <f aca="false">9.98+1.99+7.99</f>
        <v>19.96</v>
      </c>
      <c r="O16" s="120"/>
      <c r="P16" s="121" t="n">
        <f aca="false">24.94</f>
        <v>24.94</v>
      </c>
      <c r="Q16" s="122"/>
      <c r="R16" s="123"/>
      <c r="S16" s="153"/>
      <c r="T16" s="153"/>
      <c r="U16" s="123"/>
      <c r="V16" s="154"/>
      <c r="W16" s="240"/>
      <c r="X16" s="155"/>
      <c r="Y16" s="155"/>
      <c r="Z16" s="140"/>
      <c r="AA16" s="267"/>
      <c r="AB16" s="266"/>
      <c r="AC16" s="318"/>
    </row>
    <row r="17" customFormat="false" ht="15" hidden="false" customHeight="false" outlineLevel="0" collapsed="false">
      <c r="A17" s="162" t="n">
        <v>9</v>
      </c>
      <c r="B17" s="273" t="n">
        <v>43564</v>
      </c>
      <c r="C17" s="164"/>
      <c r="D17" s="242"/>
      <c r="E17" s="164"/>
      <c r="F17" s="146"/>
      <c r="G17" s="165"/>
      <c r="H17" s="166"/>
      <c r="I17" s="149"/>
      <c r="J17" s="135" t="n">
        <v>585.92</v>
      </c>
      <c r="K17" s="135" t="s">
        <v>181</v>
      </c>
      <c r="L17" s="118" t="n">
        <f aca="false">32.82+12.8+35.19</f>
        <v>80.81</v>
      </c>
      <c r="M17" s="118"/>
      <c r="N17" s="152"/>
      <c r="O17" s="120"/>
      <c r="P17" s="121"/>
      <c r="Q17" s="122"/>
      <c r="R17" s="123"/>
      <c r="S17" s="153"/>
      <c r="T17" s="153" t="n">
        <f aca="false">684</f>
        <v>684</v>
      </c>
      <c r="U17" s="123"/>
      <c r="V17" s="154"/>
      <c r="W17" s="240"/>
      <c r="X17" s="155"/>
      <c r="Y17" s="155"/>
      <c r="Z17" s="140"/>
      <c r="AA17" s="267"/>
      <c r="AB17" s="266"/>
      <c r="AC17" s="318"/>
    </row>
    <row r="18" customFormat="false" ht="15" hidden="false" customHeight="false" outlineLevel="0" collapsed="false">
      <c r="A18" s="167" t="n">
        <v>10</v>
      </c>
      <c r="B18" s="273" t="n">
        <v>43565</v>
      </c>
      <c r="C18" s="169"/>
      <c r="D18" s="242"/>
      <c r="E18" s="169"/>
      <c r="F18" s="146"/>
      <c r="G18" s="170"/>
      <c r="H18" s="171"/>
      <c r="I18" s="149"/>
      <c r="J18" s="150" t="n">
        <v>77.48</v>
      </c>
      <c r="K18" s="117" t="s">
        <v>92</v>
      </c>
      <c r="L18" s="202" t="n">
        <f aca="false">10.2+32.95-15.99+7.3</f>
        <v>34.46</v>
      </c>
      <c r="M18" s="202"/>
      <c r="N18" s="203" t="n">
        <f aca="false">15.99</f>
        <v>15.99</v>
      </c>
      <c r="O18" s="204"/>
      <c r="P18" s="205"/>
      <c r="Q18" s="206"/>
      <c r="R18" s="178"/>
      <c r="S18" s="173"/>
      <c r="T18" s="173"/>
      <c r="U18" s="178"/>
      <c r="V18" s="179"/>
      <c r="W18" s="46"/>
      <c r="X18" s="155"/>
      <c r="Y18" s="155"/>
      <c r="Z18" s="140"/>
      <c r="AA18" s="267"/>
      <c r="AB18" s="266"/>
      <c r="AC18" s="318"/>
    </row>
    <row r="19" customFormat="false" ht="15" hidden="false" customHeight="false" outlineLevel="0" collapsed="false">
      <c r="A19" s="141" t="n">
        <v>11</v>
      </c>
      <c r="B19" s="273" t="n">
        <v>43566</v>
      </c>
      <c r="C19" s="145"/>
      <c r="D19" s="242"/>
      <c r="E19" s="145"/>
      <c r="F19" s="146"/>
      <c r="G19" s="147"/>
      <c r="H19" s="148"/>
      <c r="I19" s="149"/>
      <c r="J19" s="135" t="s">
        <v>182</v>
      </c>
      <c r="K19" s="135" t="s">
        <v>183</v>
      </c>
      <c r="L19" s="244" t="n">
        <f aca="false">11.89</f>
        <v>11.89</v>
      </c>
      <c r="M19" s="244" t="n">
        <f aca="false">76</f>
        <v>76</v>
      </c>
      <c r="N19" s="245"/>
      <c r="O19" s="246"/>
      <c r="P19" s="262"/>
      <c r="Q19" s="248"/>
      <c r="R19" s="249"/>
      <c r="S19" s="250"/>
      <c r="T19" s="250"/>
      <c r="U19" s="249"/>
      <c r="V19" s="251"/>
      <c r="W19" s="252"/>
      <c r="X19" s="155"/>
      <c r="Y19" s="155"/>
      <c r="Z19" s="140"/>
      <c r="AA19" s="269"/>
      <c r="AB19" s="270"/>
      <c r="AC19" s="318"/>
    </row>
    <row r="20" customFormat="false" ht="15" hidden="false" customHeight="false" outlineLevel="0" collapsed="false">
      <c r="A20" s="157" t="n">
        <v>12</v>
      </c>
      <c r="B20" s="273" t="n">
        <v>43567</v>
      </c>
      <c r="C20" s="159"/>
      <c r="D20" s="242"/>
      <c r="E20" s="159"/>
      <c r="F20" s="146"/>
      <c r="G20" s="160"/>
      <c r="H20" s="161"/>
      <c r="I20" s="149"/>
      <c r="J20" s="150" t="n">
        <v>112.61</v>
      </c>
      <c r="K20" s="117" t="s">
        <v>184</v>
      </c>
      <c r="L20" s="254"/>
      <c r="M20" s="254"/>
      <c r="N20" s="255"/>
      <c r="O20" s="256"/>
      <c r="P20" s="257"/>
      <c r="Q20" s="258"/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  <c r="AC20" s="318"/>
    </row>
    <row r="21" customFormat="false" ht="15" hidden="false" customHeight="false" outlineLevel="0" collapsed="false">
      <c r="A21" s="167" t="n">
        <v>13</v>
      </c>
      <c r="B21" s="380" t="n">
        <v>43568</v>
      </c>
      <c r="C21" s="169"/>
      <c r="D21" s="242"/>
      <c r="E21" s="169"/>
      <c r="F21" s="146"/>
      <c r="G21" s="170"/>
      <c r="H21" s="171"/>
      <c r="I21" s="149"/>
      <c r="J21" s="150"/>
      <c r="K21" s="135"/>
      <c r="L21" s="118" t="n">
        <f aca="false">7+19.16+290.99-59.99-9.49-6.19-14.99-6.99-8.49-17.9</f>
        <v>193.11</v>
      </c>
      <c r="M21" s="118"/>
      <c r="N21" s="152" t="n">
        <f aca="false">5.79+19.57+9.49+6.19+14.99+6.99+8.49+17.9</f>
        <v>89.41</v>
      </c>
      <c r="O21" s="120"/>
      <c r="P21" s="121"/>
      <c r="Q21" s="122"/>
      <c r="R21" s="123"/>
      <c r="S21" s="153"/>
      <c r="T21" s="153"/>
      <c r="U21" s="123"/>
      <c r="V21" s="154"/>
      <c r="W21" s="240"/>
      <c r="X21" s="155"/>
      <c r="Y21" s="155"/>
      <c r="Z21" s="140"/>
      <c r="AA21" s="267"/>
      <c r="AB21" s="266"/>
      <c r="AC21" s="318"/>
    </row>
    <row r="22" s="363" customFormat="true" ht="15" hidden="false" customHeight="false" outlineLevel="0" collapsed="false">
      <c r="A22" s="341" t="n">
        <v>14</v>
      </c>
      <c r="B22" s="364" t="n">
        <v>43569</v>
      </c>
      <c r="C22" s="343"/>
      <c r="D22" s="344"/>
      <c r="E22" s="343"/>
      <c r="F22" s="345"/>
      <c r="G22" s="346"/>
      <c r="H22" s="347"/>
      <c r="I22" s="366"/>
      <c r="J22" s="367"/>
      <c r="K22" s="381"/>
      <c r="L22" s="369"/>
      <c r="M22" s="369" t="n">
        <f aca="false">19+50</f>
        <v>69</v>
      </c>
      <c r="N22" s="370"/>
      <c r="O22" s="371"/>
      <c r="P22" s="372"/>
      <c r="Q22" s="373"/>
      <c r="R22" s="374"/>
      <c r="S22" s="375"/>
      <c r="T22" s="375"/>
      <c r="U22" s="374"/>
      <c r="V22" s="376"/>
      <c r="W22" s="377"/>
      <c r="X22" s="378"/>
      <c r="Y22" s="378"/>
      <c r="Z22" s="379" t="n">
        <v>7</v>
      </c>
      <c r="AA22" s="362"/>
      <c r="AB22" s="317"/>
      <c r="AC22" s="318"/>
      <c r="AMJ22" s="336"/>
    </row>
    <row r="23" customFormat="false" ht="15" hidden="false" customHeight="false" outlineLevel="0" collapsed="false">
      <c r="A23" s="157" t="n">
        <v>15</v>
      </c>
      <c r="B23" s="273" t="n">
        <v>43570</v>
      </c>
      <c r="C23" s="159"/>
      <c r="D23" s="242"/>
      <c r="E23" s="159"/>
      <c r="F23" s="146"/>
      <c r="G23" s="160"/>
      <c r="H23" s="161"/>
      <c r="I23" s="149"/>
      <c r="J23" s="150"/>
      <c r="K23" s="150"/>
      <c r="L23" s="118" t="n">
        <f aca="false">30.05</f>
        <v>30.05</v>
      </c>
      <c r="M23" s="118"/>
      <c r="N23" s="152" t="n">
        <f aca="false">58.27</f>
        <v>58.27</v>
      </c>
      <c r="O23" s="120"/>
      <c r="P23" s="121"/>
      <c r="Q23" s="122"/>
      <c r="R23" s="123"/>
      <c r="S23" s="153" t="n">
        <f aca="false">254.45</f>
        <v>254.45</v>
      </c>
      <c r="T23" s="153"/>
      <c r="U23" s="123"/>
      <c r="V23" s="154"/>
      <c r="W23" s="240"/>
      <c r="X23" s="155"/>
      <c r="Y23" s="155"/>
      <c r="Z23" s="140" t="n">
        <f aca="false">49.98</f>
        <v>49.98</v>
      </c>
      <c r="AA23" s="267"/>
      <c r="AB23" s="266"/>
      <c r="AC23" s="318"/>
    </row>
    <row r="24" customFormat="false" ht="15" hidden="false" customHeight="false" outlineLevel="0" collapsed="false">
      <c r="A24" s="162" t="n">
        <v>16</v>
      </c>
      <c r="B24" s="273" t="n">
        <v>43571</v>
      </c>
      <c r="C24" s="164"/>
      <c r="D24" s="242"/>
      <c r="E24" s="164"/>
      <c r="F24" s="146"/>
      <c r="G24" s="165"/>
      <c r="H24" s="166"/>
      <c r="I24" s="149"/>
      <c r="J24" s="150"/>
      <c r="K24" s="117"/>
      <c r="L24" s="118" t="n">
        <f aca="false">127.13</f>
        <v>127.13</v>
      </c>
      <c r="M24" s="118"/>
      <c r="N24" s="152" t="n">
        <f aca="false">9.99</f>
        <v>9.99</v>
      </c>
      <c r="O24" s="120"/>
      <c r="P24" s="121"/>
      <c r="Q24" s="122"/>
      <c r="R24" s="123"/>
      <c r="S24" s="153"/>
      <c r="T24" s="153"/>
      <c r="U24" s="123"/>
      <c r="V24" s="154"/>
      <c r="W24" s="240"/>
      <c r="X24" s="155"/>
      <c r="Y24" s="155"/>
      <c r="Z24" s="140"/>
      <c r="AA24" s="267"/>
      <c r="AB24" s="266"/>
      <c r="AC24" s="318"/>
    </row>
    <row r="25" customFormat="false" ht="15" hidden="false" customHeight="false" outlineLevel="0" collapsed="false">
      <c r="A25" s="167" t="n">
        <v>17</v>
      </c>
      <c r="B25" s="273" t="n">
        <v>43572</v>
      </c>
      <c r="C25" s="169"/>
      <c r="D25" s="242"/>
      <c r="E25" s="169"/>
      <c r="F25" s="146"/>
      <c r="G25" s="170"/>
      <c r="H25" s="171"/>
      <c r="I25" s="149"/>
      <c r="J25" s="150"/>
      <c r="K25" s="117"/>
      <c r="L25" s="202"/>
      <c r="M25" s="202"/>
      <c r="N25" s="203"/>
      <c r="O25" s="204"/>
      <c r="P25" s="205"/>
      <c r="Q25" s="206"/>
      <c r="R25" s="178"/>
      <c r="S25" s="173"/>
      <c r="T25" s="173"/>
      <c r="U25" s="178"/>
      <c r="V25" s="179"/>
      <c r="W25" s="46"/>
      <c r="X25" s="155"/>
      <c r="Y25" s="155"/>
      <c r="Z25" s="140"/>
      <c r="AA25" s="267"/>
      <c r="AB25" s="266"/>
      <c r="AC25" s="318"/>
    </row>
    <row r="26" customFormat="false" ht="15" hidden="false" customHeight="false" outlineLevel="0" collapsed="false">
      <c r="A26" s="141" t="n">
        <v>18</v>
      </c>
      <c r="B26" s="273" t="n">
        <v>43573</v>
      </c>
      <c r="C26" s="145"/>
      <c r="D26" s="242"/>
      <c r="E26" s="145"/>
      <c r="F26" s="146"/>
      <c r="G26" s="147"/>
      <c r="H26" s="148"/>
      <c r="I26" s="149"/>
      <c r="J26" s="150"/>
      <c r="K26" s="117"/>
      <c r="L26" s="244" t="n">
        <f aca="false">9.01+22.22+5.1</f>
        <v>36.33</v>
      </c>
      <c r="M26" s="244"/>
      <c r="N26" s="245"/>
      <c r="O26" s="246"/>
      <c r="P26" s="247"/>
      <c r="Q26" s="248"/>
      <c r="R26" s="249"/>
      <c r="S26" s="250"/>
      <c r="T26" s="250"/>
      <c r="U26" s="249"/>
      <c r="V26" s="251"/>
      <c r="W26" s="252"/>
      <c r="X26" s="155"/>
      <c r="Y26" s="155"/>
      <c r="Z26" s="140"/>
      <c r="AA26" s="269"/>
      <c r="AB26" s="270"/>
      <c r="AC26" s="318"/>
    </row>
    <row r="27" customFormat="false" ht="15" hidden="false" customHeight="false" outlineLevel="0" collapsed="false">
      <c r="A27" s="157" t="n">
        <v>19</v>
      </c>
      <c r="B27" s="273" t="n">
        <v>43574</v>
      </c>
      <c r="C27" s="159"/>
      <c r="D27" s="242"/>
      <c r="E27" s="159"/>
      <c r="F27" s="146"/>
      <c r="G27" s="160"/>
      <c r="H27" s="161"/>
      <c r="I27" s="149"/>
      <c r="J27" s="150"/>
      <c r="K27" s="117"/>
      <c r="L27" s="254" t="n">
        <f aca="false">10.26+7.3+184.49-8.49-24.99+8.14</f>
        <v>176.71</v>
      </c>
      <c r="M27" s="254"/>
      <c r="N27" s="255" t="n">
        <f aca="false">8.49</f>
        <v>8.49</v>
      </c>
      <c r="O27" s="256"/>
      <c r="P27" s="257"/>
      <c r="Q27" s="258"/>
      <c r="R27" s="259"/>
      <c r="S27" s="176"/>
      <c r="T27" s="176"/>
      <c r="U27" s="259"/>
      <c r="V27" s="260"/>
      <c r="W27" s="261" t="n">
        <f aca="false">24.99</f>
        <v>24.99</v>
      </c>
      <c r="X27" s="155"/>
      <c r="Y27" s="155"/>
      <c r="Z27" s="140"/>
      <c r="AA27" s="267"/>
      <c r="AB27" s="266"/>
      <c r="AC27" s="318"/>
    </row>
    <row r="28" customFormat="false" ht="15" hidden="false" customHeight="false" outlineLevel="0" collapsed="false">
      <c r="A28" s="167" t="n">
        <v>20</v>
      </c>
      <c r="B28" s="380" t="n">
        <v>43575</v>
      </c>
      <c r="C28" s="169"/>
      <c r="D28" s="242"/>
      <c r="E28" s="169"/>
      <c r="F28" s="146"/>
      <c r="G28" s="170"/>
      <c r="H28" s="171"/>
      <c r="I28" s="149"/>
      <c r="J28" s="150" t="n">
        <v>13</v>
      </c>
      <c r="K28" s="135" t="s">
        <v>91</v>
      </c>
      <c r="L28" s="118"/>
      <c r="M28" s="118" t="n">
        <f aca="false">33</f>
        <v>33</v>
      </c>
      <c r="N28" s="152" t="n">
        <f aca="false">13.59</f>
        <v>13.59</v>
      </c>
      <c r="O28" s="120"/>
      <c r="P28" s="121"/>
      <c r="Q28" s="122"/>
      <c r="R28" s="123"/>
      <c r="S28" s="153"/>
      <c r="T28" s="153"/>
      <c r="U28" s="123"/>
      <c r="V28" s="154"/>
      <c r="W28" s="240"/>
      <c r="X28" s="155"/>
      <c r="Y28" s="155"/>
      <c r="Z28" s="140"/>
      <c r="AA28" s="267"/>
      <c r="AB28" s="266"/>
      <c r="AC28" s="318"/>
    </row>
    <row r="29" s="363" customFormat="true" ht="15" hidden="false" customHeight="false" outlineLevel="0" collapsed="false">
      <c r="A29" s="341" t="n">
        <v>21</v>
      </c>
      <c r="B29" s="364" t="n">
        <v>43576</v>
      </c>
      <c r="C29" s="343"/>
      <c r="D29" s="344"/>
      <c r="E29" s="343"/>
      <c r="F29" s="345"/>
      <c r="G29" s="346"/>
      <c r="H29" s="347"/>
      <c r="I29" s="366"/>
      <c r="J29" s="367"/>
      <c r="K29" s="368"/>
      <c r="L29" s="369"/>
      <c r="M29" s="369"/>
      <c r="N29" s="370"/>
      <c r="O29" s="371"/>
      <c r="P29" s="372"/>
      <c r="Q29" s="373"/>
      <c r="R29" s="374"/>
      <c r="S29" s="375"/>
      <c r="T29" s="375"/>
      <c r="U29" s="374"/>
      <c r="V29" s="376"/>
      <c r="W29" s="377"/>
      <c r="X29" s="378"/>
      <c r="Y29" s="378"/>
      <c r="Z29" s="379" t="n">
        <v>4</v>
      </c>
      <c r="AA29" s="362"/>
      <c r="AB29" s="317"/>
      <c r="AC29" s="318"/>
      <c r="AMJ29" s="336"/>
    </row>
    <row r="30" customFormat="false" ht="15" hidden="false" customHeight="false" outlineLevel="0" collapsed="false">
      <c r="A30" s="157" t="n">
        <v>22</v>
      </c>
      <c r="B30" s="382" t="n">
        <v>43577</v>
      </c>
      <c r="C30" s="159"/>
      <c r="D30" s="242"/>
      <c r="E30" s="159"/>
      <c r="F30" s="146"/>
      <c r="G30" s="160"/>
      <c r="H30" s="161"/>
      <c r="I30" s="149"/>
      <c r="J30" s="150"/>
      <c r="K30" s="117"/>
      <c r="L30" s="118"/>
      <c r="M30" s="118"/>
      <c r="N30" s="152"/>
      <c r="O30" s="120"/>
      <c r="P30" s="121"/>
      <c r="Q30" s="122"/>
      <c r="R30" s="123"/>
      <c r="S30" s="153"/>
      <c r="T30" s="153"/>
      <c r="U30" s="123"/>
      <c r="V30" s="154" t="n">
        <v>170</v>
      </c>
      <c r="W30" s="240"/>
      <c r="X30" s="155"/>
      <c r="Y30" s="155"/>
      <c r="Z30" s="140"/>
      <c r="AA30" s="267"/>
      <c r="AB30" s="266"/>
      <c r="AC30" s="318"/>
    </row>
    <row r="31" customFormat="false" ht="15" hidden="false" customHeight="false" outlineLevel="0" collapsed="false">
      <c r="A31" s="162" t="n">
        <v>23</v>
      </c>
      <c r="B31" s="273" t="n">
        <v>43578</v>
      </c>
      <c r="C31" s="164"/>
      <c r="D31" s="242"/>
      <c r="E31" s="164"/>
      <c r="F31" s="146"/>
      <c r="G31" s="165"/>
      <c r="H31" s="166"/>
      <c r="I31" s="149"/>
      <c r="J31" s="150"/>
      <c r="K31" s="117"/>
      <c r="L31" s="118" t="n">
        <f aca="false">24.59+9.45</f>
        <v>34.04</v>
      </c>
      <c r="M31" s="118"/>
      <c r="N31" s="152" t="n">
        <f aca="false">75.54</f>
        <v>75.54</v>
      </c>
      <c r="O31" s="120"/>
      <c r="P31" s="121"/>
      <c r="Q31" s="122"/>
      <c r="R31" s="123"/>
      <c r="S31" s="153"/>
      <c r="T31" s="153"/>
      <c r="U31" s="123"/>
      <c r="V31" s="154" t="n">
        <f aca="false">26</f>
        <v>26</v>
      </c>
      <c r="W31" s="240"/>
      <c r="X31" s="155"/>
      <c r="Y31" s="155"/>
      <c r="Z31" s="140" t="n">
        <v>2</v>
      </c>
      <c r="AA31" s="267"/>
      <c r="AB31" s="266"/>
      <c r="AC31" s="318"/>
    </row>
    <row r="32" customFormat="false" ht="15" hidden="false" customHeight="false" outlineLevel="0" collapsed="false">
      <c r="A32" s="167" t="n">
        <v>24</v>
      </c>
      <c r="B32" s="273" t="n">
        <v>43579</v>
      </c>
      <c r="C32" s="169"/>
      <c r="D32" s="242"/>
      <c r="E32" s="169"/>
      <c r="F32" s="146"/>
      <c r="G32" s="170"/>
      <c r="H32" s="171"/>
      <c r="I32" s="149"/>
      <c r="J32" s="150"/>
      <c r="K32" s="117"/>
      <c r="L32" s="202" t="n">
        <f aca="false">185.46-5.99-4.59-8.49-4.19-4.19-16.99+4-6.29+5.1</f>
        <v>143.83</v>
      </c>
      <c r="M32" s="202"/>
      <c r="N32" s="203" t="n">
        <f aca="false">5.99+4.59+8.49+4.19+4.19+16.99+6.29</f>
        <v>50.73</v>
      </c>
      <c r="O32" s="204"/>
      <c r="P32" s="205"/>
      <c r="Q32" s="206"/>
      <c r="R32" s="178"/>
      <c r="S32" s="173"/>
      <c r="T32" s="173"/>
      <c r="U32" s="178"/>
      <c r="V32" s="179"/>
      <c r="W32" s="46"/>
      <c r="X32" s="155"/>
      <c r="Y32" s="155"/>
      <c r="Z32" s="140"/>
      <c r="AA32" s="267"/>
      <c r="AB32" s="266"/>
      <c r="AC32" s="318"/>
    </row>
    <row r="33" customFormat="false" ht="15" hidden="false" customHeight="false" outlineLevel="0" collapsed="false">
      <c r="A33" s="141" t="n">
        <v>25</v>
      </c>
      <c r="B33" s="273" t="n">
        <v>43580</v>
      </c>
      <c r="C33" s="145"/>
      <c r="D33" s="242"/>
      <c r="E33" s="145"/>
      <c r="F33" s="146"/>
      <c r="G33" s="147"/>
      <c r="H33" s="148"/>
      <c r="I33" s="149"/>
      <c r="J33" s="150"/>
      <c r="K33" s="117"/>
      <c r="L33" s="244" t="n">
        <f aca="false">3.3+33.61-3.19-1.99-3.79</f>
        <v>27.94</v>
      </c>
      <c r="M33" s="244" t="n">
        <f aca="false">17.5</f>
        <v>17.5</v>
      </c>
      <c r="N33" s="245" t="n">
        <f aca="false">3.19+1.99+3.79</f>
        <v>8.97</v>
      </c>
      <c r="O33" s="246"/>
      <c r="P33" s="247"/>
      <c r="Q33" s="248"/>
      <c r="R33" s="249"/>
      <c r="S33" s="250"/>
      <c r="T33" s="250" t="n">
        <f aca="false">10</f>
        <v>10</v>
      </c>
      <c r="U33" s="249"/>
      <c r="V33" s="251"/>
      <c r="W33" s="252"/>
      <c r="X33" s="155"/>
      <c r="Y33" s="155"/>
      <c r="Z33" s="140"/>
      <c r="AA33" s="269"/>
      <c r="AB33" s="270"/>
      <c r="AC33" s="318"/>
    </row>
    <row r="34" customFormat="false" ht="15" hidden="false" customHeight="false" outlineLevel="0" collapsed="false">
      <c r="A34" s="157" t="n">
        <v>26</v>
      </c>
      <c r="B34" s="273" t="n">
        <v>43581</v>
      </c>
      <c r="C34" s="159"/>
      <c r="D34" s="242"/>
      <c r="E34" s="159"/>
      <c r="F34" s="146"/>
      <c r="G34" s="160"/>
      <c r="H34" s="161"/>
      <c r="I34" s="149"/>
      <c r="J34" s="150"/>
      <c r="K34" s="117"/>
      <c r="L34" s="254"/>
      <c r="M34" s="254" t="n">
        <f aca="false">4.5+8.4</f>
        <v>12.9</v>
      </c>
      <c r="N34" s="255"/>
      <c r="O34" s="256"/>
      <c r="P34" s="257"/>
      <c r="Q34" s="258"/>
      <c r="R34" s="259"/>
      <c r="S34" s="176"/>
      <c r="T34" s="176" t="n">
        <f aca="false">80</f>
        <v>80</v>
      </c>
      <c r="U34" s="259"/>
      <c r="V34" s="260"/>
      <c r="W34" s="261"/>
      <c r="X34" s="155"/>
      <c r="Y34" s="155"/>
      <c r="Z34" s="140"/>
      <c r="AA34" s="267"/>
      <c r="AB34" s="266"/>
      <c r="AC34" s="318" t="n">
        <f aca="false">6.39</f>
        <v>6.39</v>
      </c>
    </row>
    <row r="35" customFormat="false" ht="15" hidden="false" customHeight="false" outlineLevel="0" collapsed="false">
      <c r="A35" s="167" t="n">
        <v>27</v>
      </c>
      <c r="B35" s="380" t="n">
        <v>43582</v>
      </c>
      <c r="C35" s="169"/>
      <c r="D35" s="242"/>
      <c r="E35" s="169"/>
      <c r="F35" s="146"/>
      <c r="G35" s="170"/>
      <c r="H35" s="171"/>
      <c r="I35" s="149"/>
      <c r="J35" s="150"/>
      <c r="K35" s="117"/>
      <c r="L35" s="118" t="n">
        <f aca="false">133.97-32-88</f>
        <v>13.97</v>
      </c>
      <c r="M35" s="118" t="n">
        <v>42</v>
      </c>
      <c r="N35" s="152"/>
      <c r="O35" s="120"/>
      <c r="P35" s="121"/>
      <c r="Q35" s="122"/>
      <c r="R35" s="123"/>
      <c r="S35" s="153"/>
      <c r="T35" s="153" t="n">
        <v>20</v>
      </c>
      <c r="U35" s="123"/>
      <c r="V35" s="154"/>
      <c r="W35" s="240"/>
      <c r="X35" s="155" t="n">
        <f aca="false">32+88</f>
        <v>120</v>
      </c>
      <c r="Y35" s="155"/>
      <c r="Z35" s="140"/>
      <c r="AA35" s="267"/>
      <c r="AB35" s="266"/>
      <c r="AC35" s="318"/>
    </row>
    <row r="36" s="363" customFormat="true" ht="15" hidden="false" customHeight="false" outlineLevel="0" collapsed="false">
      <c r="A36" s="341" t="n">
        <v>28</v>
      </c>
      <c r="B36" s="364" t="n">
        <v>43583</v>
      </c>
      <c r="C36" s="343"/>
      <c r="D36" s="344"/>
      <c r="E36" s="343"/>
      <c r="F36" s="345"/>
      <c r="G36" s="346"/>
      <c r="H36" s="347"/>
      <c r="I36" s="366"/>
      <c r="J36" s="367" t="n">
        <v>29.99</v>
      </c>
      <c r="K36" s="368" t="s">
        <v>97</v>
      </c>
      <c r="L36" s="369" t="n">
        <f aca="false">35.37+27.99-15.99+17.97+8.54</f>
        <v>73.88</v>
      </c>
      <c r="M36" s="369"/>
      <c r="N36" s="370" t="n">
        <f aca="false">15.99+0.25</f>
        <v>16.24</v>
      </c>
      <c r="O36" s="371"/>
      <c r="P36" s="372"/>
      <c r="Q36" s="373"/>
      <c r="R36" s="374"/>
      <c r="S36" s="375"/>
      <c r="T36" s="375"/>
      <c r="U36" s="374"/>
      <c r="V36" s="376"/>
      <c r="W36" s="377"/>
      <c r="X36" s="378"/>
      <c r="Y36" s="378"/>
      <c r="Z36" s="379"/>
      <c r="AA36" s="362"/>
      <c r="AB36" s="317"/>
      <c r="AC36" s="318" t="n">
        <f aca="false">3.99+16.94</f>
        <v>20.93</v>
      </c>
      <c r="AMJ36" s="336"/>
    </row>
    <row r="37" customFormat="false" ht="15" hidden="false" customHeight="false" outlineLevel="0" collapsed="false">
      <c r="A37" s="157" t="n">
        <v>29</v>
      </c>
      <c r="B37" s="273" t="n">
        <v>43584</v>
      </c>
      <c r="C37" s="159"/>
      <c r="D37" s="242"/>
      <c r="E37" s="159"/>
      <c r="F37" s="146"/>
      <c r="G37" s="160"/>
      <c r="H37" s="161"/>
      <c r="I37" s="149"/>
      <c r="J37" s="150"/>
      <c r="K37" s="117"/>
      <c r="L37" s="118" t="n">
        <f aca="false">5.1+1.99+3.34</f>
        <v>10.43</v>
      </c>
      <c r="M37" s="118" t="n">
        <f aca="false">4.5</f>
        <v>4.5</v>
      </c>
      <c r="N37" s="152"/>
      <c r="O37" s="120"/>
      <c r="P37" s="121"/>
      <c r="Q37" s="122"/>
      <c r="R37" s="123"/>
      <c r="S37" s="153"/>
      <c r="T37" s="153" t="n">
        <v>10</v>
      </c>
      <c r="U37" s="123"/>
      <c r="V37" s="154" t="n">
        <f aca="false">5.49</f>
        <v>5.49</v>
      </c>
      <c r="W37" s="240"/>
      <c r="X37" s="155"/>
      <c r="Y37" s="155"/>
      <c r="Z37" s="209"/>
      <c r="AA37" s="267"/>
      <c r="AB37" s="266"/>
      <c r="AC37" s="318"/>
    </row>
    <row r="38" customFormat="false" ht="15" hidden="false" customHeight="false" outlineLevel="0" collapsed="false">
      <c r="A38" s="162" t="n">
        <v>30</v>
      </c>
      <c r="B38" s="273" t="n">
        <v>43585</v>
      </c>
      <c r="C38" s="164"/>
      <c r="D38" s="242"/>
      <c r="E38" s="164"/>
      <c r="F38" s="146"/>
      <c r="G38" s="165"/>
      <c r="H38" s="166"/>
      <c r="I38" s="149"/>
      <c r="J38" s="150"/>
      <c r="K38" s="117"/>
      <c r="L38" s="118" t="n">
        <f aca="false">3.87+121.2-8.49</f>
        <v>116.58</v>
      </c>
      <c r="M38" s="118" t="n">
        <f aca="false">35.7</f>
        <v>35.7</v>
      </c>
      <c r="N38" s="152" t="n">
        <f aca="false">8.49</f>
        <v>8.49</v>
      </c>
      <c r="O38" s="120"/>
      <c r="P38" s="121"/>
      <c r="Q38" s="122"/>
      <c r="R38" s="123"/>
      <c r="S38" s="153"/>
      <c r="T38" s="153"/>
      <c r="U38" s="123"/>
      <c r="V38" s="154" t="n">
        <f aca="false">69.5+19.29</f>
        <v>88.79</v>
      </c>
      <c r="W38" s="240"/>
      <c r="X38" s="155"/>
      <c r="Y38" s="155"/>
      <c r="Z38" s="209"/>
      <c r="AA38" s="267"/>
      <c r="AB38" s="266"/>
      <c r="AC38" s="318" t="n">
        <f aca="false">13.4+19.39</f>
        <v>32.79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mergeCells count="11">
    <mergeCell ref="J5:K5"/>
    <mergeCell ref="L5:M5"/>
    <mergeCell ref="S5:T5"/>
    <mergeCell ref="U5:V5"/>
    <mergeCell ref="X5:Y5"/>
    <mergeCell ref="C6:E6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N39" activeCellId="0" sqref="N3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5.58"/>
    <col collapsed="false" customWidth="true" hidden="false" outlineLevel="0" max="4" min="4" style="65" width="6.61"/>
    <col collapsed="false" customWidth="true" hidden="false" outlineLevel="0" max="5" min="5" style="65" width="5.7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30</v>
      </c>
    </row>
    <row r="2" customFormat="false" ht="13.8" hidden="false" customHeight="false" outlineLevel="0" collapsed="false">
      <c r="B2" s="71" t="s">
        <v>50</v>
      </c>
      <c r="C2" s="72" t="n">
        <v>4666</v>
      </c>
      <c r="D2" s="72" t="n">
        <v>3020</v>
      </c>
      <c r="E2" s="72"/>
    </row>
    <row r="3" customFormat="false" ht="60" hidden="false" customHeight="false" outlineLevel="0" collapsed="false">
      <c r="B3" s="71" t="s">
        <v>51</v>
      </c>
      <c r="C3" s="72" t="n">
        <v>1800</v>
      </c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/>
      <c r="D4" s="72"/>
      <c r="E4" s="72"/>
      <c r="F4" s="181" t="n">
        <v>1000</v>
      </c>
      <c r="G4" s="182" t="n">
        <f aca="false">C6-F4</f>
        <v>8573.07</v>
      </c>
      <c r="H4" s="183" t="n">
        <f aca="false">G4-H6</f>
        <v>5363.42</v>
      </c>
      <c r="I4" s="217" t="n">
        <f aca="false">C6-H6</f>
        <v>6363.42</v>
      </c>
    </row>
    <row r="5" customFormat="false" ht="17.35" hidden="false" customHeight="false" outlineLevel="0" collapsed="false">
      <c r="B5" s="83" t="s">
        <v>53</v>
      </c>
      <c r="C5" s="84" t="n">
        <f aca="false">200-142.92+29.99</f>
        <v>87.07</v>
      </c>
      <c r="D5" s="84"/>
      <c r="E5" s="84"/>
      <c r="H5" s="217" t="s">
        <v>180</v>
      </c>
      <c r="I5" s="217" t="n">
        <f aca="false">(I4/C6)</f>
        <v>0.664720930694124</v>
      </c>
      <c r="J5" s="218" t="n">
        <f aca="false">J7/H6</f>
        <v>0.214549873039116</v>
      </c>
      <c r="K5" s="218"/>
      <c r="L5" s="219" t="n">
        <f aca="false">(L7+M7)/H6</f>
        <v>0.105843316249435</v>
      </c>
      <c r="M5" s="219"/>
      <c r="N5" s="220" t="n">
        <f aca="false">N7/H6</f>
        <v>0.0260495692676772</v>
      </c>
      <c r="O5" s="221" t="n">
        <f aca="false">O7/H6</f>
        <v>0</v>
      </c>
      <c r="P5" s="222" t="n">
        <f aca="false">P7/H6</f>
        <v>0.0466717554873584</v>
      </c>
      <c r="Q5" s="223" t="e">
        <f aca="false">Q7/K6</f>
        <v>#DIV/0!</v>
      </c>
      <c r="R5" s="224" t="n">
        <f aca="false">R7/H6</f>
        <v>0</v>
      </c>
      <c r="S5" s="225" t="n">
        <f aca="false">(S7+T7)/H6</f>
        <v>0.079201782125777</v>
      </c>
      <c r="T5" s="225"/>
      <c r="U5" s="226" t="n">
        <f aca="false">(U7+V7)/H6</f>
        <v>0.00216534513108906</v>
      </c>
      <c r="V5" s="226"/>
      <c r="W5" s="227" t="n">
        <f aca="false">W7/H6</f>
        <v>0</v>
      </c>
      <c r="X5" s="228" t="n">
        <f aca="false">(X7+Y7)/H6</f>
        <v>0</v>
      </c>
      <c r="Y5" s="228"/>
      <c r="Z5" s="229" t="n">
        <f aca="false">Z7/H6</f>
        <v>0.00778901126291029</v>
      </c>
      <c r="AA5" s="263" t="n">
        <f aca="false">AA7/H6</f>
        <v>0</v>
      </c>
      <c r="AB5" s="264" t="n">
        <f aca="false">AB7/H6</f>
        <v>0.00622809340582306</v>
      </c>
      <c r="AC5" s="310" t="n">
        <f aca="false">AC7/H6</f>
        <v>0.511501254030813</v>
      </c>
    </row>
    <row r="6" customFormat="false" ht="57" hidden="false" customHeight="true" outlineLevel="0" collapsed="false">
      <c r="B6" s="98" t="s">
        <v>56</v>
      </c>
      <c r="C6" s="311" t="n">
        <f aca="false">SUM(C2:C5)+SUM(D2:D5)+SUM(E2:E5)</f>
        <v>9573.07</v>
      </c>
      <c r="D6" s="311"/>
      <c r="E6" s="311"/>
      <c r="G6" s="102" t="s">
        <v>57</v>
      </c>
      <c r="H6" s="103" t="n">
        <f aca="false">SUM(J7:AC7)</f>
        <v>3209.65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  <c r="AC6" s="314" t="s">
        <v>118</v>
      </c>
    </row>
    <row r="7" customFormat="false" ht="13.8" hidden="false" customHeight="false" outlineLevel="0" collapsed="false">
      <c r="B7" s="116"/>
      <c r="J7" s="117" t="n">
        <f aca="false">SUM(J9:J39)</f>
        <v>688.63</v>
      </c>
      <c r="K7" s="117"/>
      <c r="L7" s="118" t="n">
        <f aca="false">SUM(L9:L39)</f>
        <v>308.47</v>
      </c>
      <c r="M7" s="118" t="n">
        <f aca="false">SUM(M9:M39)</f>
        <v>31.25</v>
      </c>
      <c r="N7" s="118" t="n">
        <f aca="false">SUM(N9:N39)</f>
        <v>83.61</v>
      </c>
      <c r="O7" s="118" t="n">
        <f aca="false">SUM(O9:O39)</f>
        <v>0</v>
      </c>
      <c r="P7" s="118" t="n">
        <f aca="false">SUM(P9:P39)</f>
        <v>149.8</v>
      </c>
      <c r="Q7" s="118" t="n">
        <f aca="false">SUM(Q9:Q39)</f>
        <v>0</v>
      </c>
      <c r="R7" s="118" t="n">
        <f aca="false">SUM(R9:R39)</f>
        <v>0</v>
      </c>
      <c r="S7" s="118" t="n">
        <f aca="false">SUM(S9:S39)</f>
        <v>254.21</v>
      </c>
      <c r="T7" s="118" t="n">
        <f aca="false">SUM(T9:T39)</f>
        <v>0</v>
      </c>
      <c r="U7" s="118" t="n">
        <f aca="false">SUM(U9:U39)</f>
        <v>6.95</v>
      </c>
      <c r="V7" s="118" t="n">
        <f aca="false">SUM(V9:V39)</f>
        <v>0</v>
      </c>
      <c r="W7" s="118" t="n">
        <f aca="false">SUM(W9:W39)</f>
        <v>0</v>
      </c>
      <c r="X7" s="118" t="n">
        <f aca="false">SUM(X9:X39)</f>
        <v>0</v>
      </c>
      <c r="Y7" s="118" t="n">
        <f aca="false">SUM(Y9:Y39)</f>
        <v>0</v>
      </c>
      <c r="Z7" s="118" t="n">
        <f aca="false">SUM(Z9:Z39)</f>
        <v>25</v>
      </c>
      <c r="AA7" s="118" t="n">
        <f aca="false">SUM(AA9:AA39)</f>
        <v>0</v>
      </c>
      <c r="AB7" s="118" t="n">
        <f aca="false">SUM(AB9:AB39)</f>
        <v>19.99</v>
      </c>
      <c r="AC7" s="117" t="n">
        <f aca="false">SUM(AC9:AC39)</f>
        <v>1641.74</v>
      </c>
    </row>
    <row r="8" customFormat="false" ht="42.5" hidden="false" customHeight="false" outlineLevel="0" collapsed="false">
      <c r="A8" s="126" t="s">
        <v>61</v>
      </c>
      <c r="B8" s="127" t="s">
        <v>62</v>
      </c>
      <c r="C8" s="128" t="s">
        <v>103</v>
      </c>
      <c r="D8" s="129"/>
      <c r="E8" s="128"/>
      <c r="F8" s="130"/>
      <c r="G8" s="131"/>
      <c r="H8" s="132"/>
      <c r="I8" s="133"/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267"/>
      <c r="AB8" s="266"/>
      <c r="AC8" s="318"/>
    </row>
    <row r="9" s="156" customFormat="true" ht="15" hidden="false" customHeight="false" outlineLevel="0" collapsed="false">
      <c r="A9" s="141" t="n">
        <v>1</v>
      </c>
      <c r="B9" s="382" t="n">
        <v>43586</v>
      </c>
      <c r="C9" s="145"/>
      <c r="D9" s="144"/>
      <c r="E9" s="145"/>
      <c r="F9" s="146"/>
      <c r="G9" s="147"/>
      <c r="H9" s="148"/>
      <c r="I9" s="149"/>
      <c r="J9" s="150"/>
      <c r="K9" s="117"/>
      <c r="L9" s="118"/>
      <c r="M9" s="118"/>
      <c r="N9" s="152"/>
      <c r="O9" s="120"/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/>
      <c r="AA9" s="269"/>
      <c r="AB9" s="270"/>
      <c r="AC9" s="318"/>
    </row>
    <row r="10" customFormat="false" ht="15" hidden="false" customHeight="false" outlineLevel="0" collapsed="false">
      <c r="A10" s="157" t="n">
        <v>2</v>
      </c>
      <c r="B10" s="273" t="n">
        <v>43587</v>
      </c>
      <c r="C10" s="159"/>
      <c r="D10" s="242"/>
      <c r="E10" s="159"/>
      <c r="F10" s="146"/>
      <c r="G10" s="160"/>
      <c r="H10" s="161"/>
      <c r="I10" s="149"/>
      <c r="J10" s="150"/>
      <c r="K10" s="135"/>
      <c r="L10" s="118" t="n">
        <f aca="false">30.58-8.19+28.1+3.87</f>
        <v>54.36</v>
      </c>
      <c r="M10" s="118"/>
      <c r="N10" s="152" t="n">
        <f aca="false">8.19</f>
        <v>8.19</v>
      </c>
      <c r="O10" s="120"/>
      <c r="P10" s="121" t="n">
        <f aca="false">79.9+69.9</f>
        <v>149.8</v>
      </c>
      <c r="Q10" s="122"/>
      <c r="R10" s="123"/>
      <c r="S10" s="153"/>
      <c r="T10" s="153"/>
      <c r="U10" s="123"/>
      <c r="V10" s="154"/>
      <c r="W10" s="240"/>
      <c r="X10" s="155"/>
      <c r="Y10" s="155"/>
      <c r="Z10" s="140" t="n">
        <f aca="false">5</f>
        <v>5</v>
      </c>
      <c r="AA10" s="267"/>
      <c r="AB10" s="266"/>
      <c r="AC10" s="318" t="n">
        <v>259.35</v>
      </c>
    </row>
    <row r="11" customFormat="false" ht="15" hidden="false" customHeight="false" outlineLevel="0" collapsed="false">
      <c r="A11" s="167" t="n">
        <v>3</v>
      </c>
      <c r="B11" s="382" t="n">
        <v>43588</v>
      </c>
      <c r="C11" s="169"/>
      <c r="D11" s="242"/>
      <c r="E11" s="169"/>
      <c r="F11" s="146"/>
      <c r="G11" s="170"/>
      <c r="H11" s="171"/>
      <c r="I11" s="149"/>
      <c r="J11" s="150"/>
      <c r="K11" s="117"/>
      <c r="L11" s="202"/>
      <c r="M11" s="202"/>
      <c r="N11" s="203"/>
      <c r="O11" s="204"/>
      <c r="P11" s="205"/>
      <c r="Q11" s="206"/>
      <c r="R11" s="178"/>
      <c r="S11" s="173"/>
      <c r="T11" s="173"/>
      <c r="U11" s="178"/>
      <c r="V11" s="179"/>
      <c r="W11" s="46"/>
      <c r="X11" s="155"/>
      <c r="Y11" s="155"/>
      <c r="Z11" s="140"/>
      <c r="AA11" s="267"/>
      <c r="AB11" s="266"/>
      <c r="AC11" s="318"/>
    </row>
    <row r="12" customFormat="false" ht="15" hidden="false" customHeight="false" outlineLevel="0" collapsed="false">
      <c r="A12" s="141" t="n">
        <v>4</v>
      </c>
      <c r="B12" s="383" t="n">
        <v>43589</v>
      </c>
      <c r="C12" s="145"/>
      <c r="D12" s="242"/>
      <c r="E12" s="145"/>
      <c r="F12" s="146"/>
      <c r="G12" s="147"/>
      <c r="H12" s="148"/>
      <c r="I12" s="149"/>
      <c r="J12" s="150"/>
      <c r="K12" s="117"/>
      <c r="L12" s="244" t="n">
        <f aca="false">17.96+97.78-9.99-9.99-9.99+7.38</f>
        <v>93.15</v>
      </c>
      <c r="M12" s="244"/>
      <c r="N12" s="245" t="n">
        <f aca="false">9.99+9.99+9.99</f>
        <v>29.97</v>
      </c>
      <c r="O12" s="246"/>
      <c r="P12" s="247"/>
      <c r="Q12" s="248"/>
      <c r="R12" s="249"/>
      <c r="S12" s="250" t="n">
        <f aca="false">254.21</f>
        <v>254.21</v>
      </c>
      <c r="T12" s="250"/>
      <c r="U12" s="249"/>
      <c r="V12" s="251"/>
      <c r="W12" s="252"/>
      <c r="X12" s="155"/>
      <c r="Y12" s="155"/>
      <c r="Z12" s="140"/>
      <c r="AA12" s="269"/>
      <c r="AB12" s="270" t="n">
        <f aca="false">19.99</f>
        <v>19.99</v>
      </c>
      <c r="AC12" s="318" t="n">
        <f aca="false">22.39+55.99</f>
        <v>78.38</v>
      </c>
    </row>
    <row r="13" customFormat="false" ht="15" hidden="false" customHeight="false" outlineLevel="0" collapsed="false">
      <c r="A13" s="157" t="n">
        <v>5</v>
      </c>
      <c r="B13" s="382" t="n">
        <v>43590</v>
      </c>
      <c r="C13" s="159"/>
      <c r="D13" s="242"/>
      <c r="E13" s="159"/>
      <c r="F13" s="146"/>
      <c r="G13" s="160"/>
      <c r="H13" s="161"/>
      <c r="I13" s="149"/>
      <c r="J13" s="150"/>
      <c r="K13" s="117"/>
      <c r="L13" s="254"/>
      <c r="M13" s="254" t="n">
        <f aca="false">31.25</f>
        <v>31.25</v>
      </c>
      <c r="N13" s="255"/>
      <c r="O13" s="256"/>
      <c r="P13" s="257"/>
      <c r="Q13" s="258"/>
      <c r="R13" s="259"/>
      <c r="S13" s="176"/>
      <c r="T13" s="176"/>
      <c r="U13" s="259"/>
      <c r="V13" s="260"/>
      <c r="W13" s="261"/>
      <c r="X13" s="155"/>
      <c r="Y13" s="155"/>
      <c r="Z13" s="140"/>
      <c r="AA13" s="267"/>
      <c r="AB13" s="266"/>
      <c r="AC13" s="318"/>
    </row>
    <row r="14" s="363" customFormat="true" ht="15" hidden="false" customHeight="false" outlineLevel="0" collapsed="false">
      <c r="A14" s="341" t="n">
        <v>6</v>
      </c>
      <c r="B14" s="273" t="n">
        <v>43591</v>
      </c>
      <c r="C14" s="343"/>
      <c r="D14" s="344"/>
      <c r="E14" s="343"/>
      <c r="F14" s="345"/>
      <c r="G14" s="346"/>
      <c r="H14" s="347"/>
      <c r="I14" s="348"/>
      <c r="J14" s="349"/>
      <c r="K14" s="350"/>
      <c r="L14" s="351" t="n">
        <f aca="false">3.3</f>
        <v>3.3</v>
      </c>
      <c r="M14" s="351"/>
      <c r="N14" s="352"/>
      <c r="O14" s="353"/>
      <c r="P14" s="354"/>
      <c r="Q14" s="355"/>
      <c r="R14" s="356"/>
      <c r="S14" s="357"/>
      <c r="T14" s="357"/>
      <c r="U14" s="356" t="n">
        <f aca="false">6.95</f>
        <v>6.95</v>
      </c>
      <c r="V14" s="358"/>
      <c r="W14" s="359"/>
      <c r="X14" s="360"/>
      <c r="Y14" s="360"/>
      <c r="Z14" s="361" t="n">
        <v>20</v>
      </c>
      <c r="AA14" s="362"/>
      <c r="AB14" s="317"/>
      <c r="AC14" s="318" t="n">
        <f aca="false">69.9+42.12+49.9</f>
        <v>161.92</v>
      </c>
      <c r="AMJ14" s="336"/>
    </row>
    <row r="15" s="363" customFormat="true" ht="16.5" hidden="false" customHeight="true" outlineLevel="0" collapsed="false">
      <c r="A15" s="341" t="n">
        <v>7</v>
      </c>
      <c r="B15" s="273" t="n">
        <v>43592</v>
      </c>
      <c r="C15" s="365"/>
      <c r="D15" s="344"/>
      <c r="E15" s="343"/>
      <c r="F15" s="345"/>
      <c r="G15" s="346"/>
      <c r="H15" s="347"/>
      <c r="I15" s="366"/>
      <c r="J15" s="367"/>
      <c r="K15" s="368" t="s">
        <v>108</v>
      </c>
      <c r="L15" s="369" t="n">
        <f aca="false">2.2</f>
        <v>2.2</v>
      </c>
      <c r="M15" s="369"/>
      <c r="N15" s="370"/>
      <c r="O15" s="371"/>
      <c r="P15" s="372"/>
      <c r="Q15" s="373"/>
      <c r="R15" s="374"/>
      <c r="S15" s="375"/>
      <c r="T15" s="375"/>
      <c r="U15" s="374"/>
      <c r="V15" s="376"/>
      <c r="W15" s="377"/>
      <c r="X15" s="378"/>
      <c r="Y15" s="378"/>
      <c r="Z15" s="379"/>
      <c r="AA15" s="362"/>
      <c r="AB15" s="317"/>
      <c r="AC15" s="318" t="n">
        <f aca="false">29.99+1000</f>
        <v>1029.99</v>
      </c>
      <c r="AMJ15" s="336"/>
    </row>
    <row r="16" customFormat="false" ht="15" hidden="false" customHeight="false" outlineLevel="0" collapsed="false">
      <c r="A16" s="157" t="n">
        <v>8</v>
      </c>
      <c r="B16" s="273" t="n">
        <v>43593</v>
      </c>
      <c r="C16" s="159"/>
      <c r="D16" s="242"/>
      <c r="E16" s="159"/>
      <c r="F16" s="146"/>
      <c r="G16" s="160"/>
      <c r="H16" s="161"/>
      <c r="I16" s="149"/>
      <c r="J16" s="150"/>
      <c r="K16" s="135"/>
      <c r="L16" s="118" t="n">
        <f aca="false">3.3+8.9+20.06+158.55-25.47-6.99-12.99</f>
        <v>145.36</v>
      </c>
      <c r="M16" s="118"/>
      <c r="N16" s="152" t="n">
        <f aca="false">25.47+6.99+12.99</f>
        <v>45.45</v>
      </c>
      <c r="O16" s="120"/>
      <c r="P16" s="121"/>
      <c r="Q16" s="122"/>
      <c r="R16" s="123"/>
      <c r="S16" s="153"/>
      <c r="T16" s="153"/>
      <c r="U16" s="123"/>
      <c r="V16" s="154"/>
      <c r="W16" s="240"/>
      <c r="X16" s="155"/>
      <c r="Y16" s="155"/>
      <c r="Z16" s="140"/>
      <c r="AA16" s="267"/>
      <c r="AB16" s="266"/>
      <c r="AC16" s="318" t="n">
        <f aca="false">72+26+14.1</f>
        <v>112.1</v>
      </c>
    </row>
    <row r="17" customFormat="false" ht="15" hidden="false" customHeight="false" outlineLevel="0" collapsed="false">
      <c r="A17" s="162" t="n">
        <v>9</v>
      </c>
      <c r="B17" s="273" t="n">
        <v>43594</v>
      </c>
      <c r="C17" s="164"/>
      <c r="D17" s="242"/>
      <c r="E17" s="164"/>
      <c r="F17" s="146"/>
      <c r="G17" s="165"/>
      <c r="H17" s="166"/>
      <c r="I17" s="149"/>
      <c r="J17" s="135" t="n">
        <f aca="false">645.64</f>
        <v>645.64</v>
      </c>
      <c r="K17" s="135" t="s">
        <v>181</v>
      </c>
      <c r="L17" s="118" t="n">
        <f aca="false">2.2+7.9</f>
        <v>10.1</v>
      </c>
      <c r="M17" s="118"/>
      <c r="N17" s="152"/>
      <c r="O17" s="120"/>
      <c r="P17" s="121"/>
      <c r="Q17" s="122"/>
      <c r="R17" s="123"/>
      <c r="S17" s="153"/>
      <c r="T17" s="153"/>
      <c r="U17" s="123"/>
      <c r="V17" s="154"/>
      <c r="W17" s="240"/>
      <c r="X17" s="155"/>
      <c r="Y17" s="155"/>
      <c r="Z17" s="140"/>
      <c r="AA17" s="267"/>
      <c r="AB17" s="266"/>
      <c r="AC17" s="318"/>
    </row>
    <row r="18" customFormat="false" ht="15" hidden="false" customHeight="false" outlineLevel="0" collapsed="false">
      <c r="A18" s="167" t="n">
        <v>10</v>
      </c>
      <c r="B18" s="273" t="n">
        <v>43595</v>
      </c>
      <c r="C18" s="169"/>
      <c r="D18" s="242"/>
      <c r="E18" s="169"/>
      <c r="F18" s="146"/>
      <c r="G18" s="170"/>
      <c r="H18" s="171"/>
      <c r="I18" s="149"/>
      <c r="J18" s="150"/>
      <c r="K18" s="117" t="s">
        <v>92</v>
      </c>
      <c r="L18" s="202"/>
      <c r="M18" s="202"/>
      <c r="N18" s="203"/>
      <c r="O18" s="204"/>
      <c r="P18" s="205"/>
      <c r="Q18" s="206"/>
      <c r="R18" s="178"/>
      <c r="S18" s="173"/>
      <c r="T18" s="173"/>
      <c r="U18" s="178"/>
      <c r="V18" s="179"/>
      <c r="W18" s="46"/>
      <c r="X18" s="155"/>
      <c r="Y18" s="155"/>
      <c r="Z18" s="140"/>
      <c r="AA18" s="267"/>
      <c r="AB18" s="266"/>
      <c r="AC18" s="318"/>
    </row>
    <row r="19" customFormat="false" ht="15" hidden="false" customHeight="false" outlineLevel="0" collapsed="false">
      <c r="A19" s="141" t="n">
        <v>11</v>
      </c>
      <c r="B19" s="383" t="n">
        <v>43596</v>
      </c>
      <c r="C19" s="145"/>
      <c r="D19" s="242"/>
      <c r="E19" s="145"/>
      <c r="F19" s="146"/>
      <c r="G19" s="147"/>
      <c r="H19" s="148"/>
      <c r="I19" s="149"/>
      <c r="J19" s="135" t="s">
        <v>182</v>
      </c>
      <c r="K19" s="135" t="s">
        <v>183</v>
      </c>
      <c r="L19" s="244"/>
      <c r="M19" s="244"/>
      <c r="N19" s="245"/>
      <c r="O19" s="246"/>
      <c r="P19" s="262"/>
      <c r="Q19" s="248"/>
      <c r="R19" s="249"/>
      <c r="S19" s="250"/>
      <c r="T19" s="250"/>
      <c r="U19" s="249"/>
      <c r="V19" s="251"/>
      <c r="W19" s="252"/>
      <c r="X19" s="155"/>
      <c r="Y19" s="155"/>
      <c r="Z19" s="140"/>
      <c r="AA19" s="269"/>
      <c r="AB19" s="270"/>
      <c r="AC19" s="318"/>
    </row>
    <row r="20" customFormat="false" ht="15" hidden="false" customHeight="false" outlineLevel="0" collapsed="false">
      <c r="A20" s="157" t="n">
        <v>12</v>
      </c>
      <c r="B20" s="384" t="n">
        <v>43597</v>
      </c>
      <c r="C20" s="159"/>
      <c r="D20" s="242"/>
      <c r="E20" s="159"/>
      <c r="F20" s="146"/>
      <c r="G20" s="160"/>
      <c r="H20" s="161"/>
      <c r="I20" s="149"/>
      <c r="J20" s="150"/>
      <c r="K20" s="117" t="s">
        <v>184</v>
      </c>
      <c r="L20" s="254"/>
      <c r="M20" s="254"/>
      <c r="N20" s="255"/>
      <c r="O20" s="256"/>
      <c r="P20" s="257"/>
      <c r="Q20" s="258"/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  <c r="AC20" s="318"/>
    </row>
    <row r="21" customFormat="false" ht="15" hidden="false" customHeight="false" outlineLevel="0" collapsed="false">
      <c r="A21" s="167" t="n">
        <v>13</v>
      </c>
      <c r="B21" s="273" t="n">
        <v>43598</v>
      </c>
      <c r="C21" s="169"/>
      <c r="D21" s="242"/>
      <c r="E21" s="169"/>
      <c r="F21" s="146"/>
      <c r="G21" s="170"/>
      <c r="H21" s="171"/>
      <c r="I21" s="149"/>
      <c r="J21" s="150"/>
      <c r="K21" s="135"/>
      <c r="L21" s="118"/>
      <c r="M21" s="118"/>
      <c r="N21" s="152"/>
      <c r="O21" s="120"/>
      <c r="P21" s="121"/>
      <c r="Q21" s="122"/>
      <c r="R21" s="123"/>
      <c r="S21" s="153"/>
      <c r="T21" s="153"/>
      <c r="U21" s="123"/>
      <c r="V21" s="154"/>
      <c r="W21" s="240"/>
      <c r="X21" s="155"/>
      <c r="Y21" s="155"/>
      <c r="Z21" s="140"/>
      <c r="AA21" s="267"/>
      <c r="AB21" s="266"/>
      <c r="AC21" s="318"/>
    </row>
    <row r="22" s="363" customFormat="true" ht="15" hidden="false" customHeight="false" outlineLevel="0" collapsed="false">
      <c r="A22" s="341" t="n">
        <v>14</v>
      </c>
      <c r="B22" s="273" t="n">
        <v>43599</v>
      </c>
      <c r="C22" s="343"/>
      <c r="D22" s="344"/>
      <c r="E22" s="343"/>
      <c r="F22" s="345"/>
      <c r="G22" s="346"/>
      <c r="H22" s="347"/>
      <c r="I22" s="366"/>
      <c r="J22" s="367"/>
      <c r="K22" s="381"/>
      <c r="L22" s="369"/>
      <c r="M22" s="369"/>
      <c r="N22" s="370"/>
      <c r="O22" s="371"/>
      <c r="P22" s="372"/>
      <c r="Q22" s="373"/>
      <c r="R22" s="374"/>
      <c r="S22" s="375"/>
      <c r="T22" s="375"/>
      <c r="U22" s="374"/>
      <c r="V22" s="376"/>
      <c r="W22" s="377"/>
      <c r="X22" s="378"/>
      <c r="Y22" s="378"/>
      <c r="Z22" s="379"/>
      <c r="AA22" s="362"/>
      <c r="AB22" s="317"/>
      <c r="AC22" s="318"/>
      <c r="AMJ22" s="336"/>
    </row>
    <row r="23" customFormat="false" ht="15" hidden="false" customHeight="false" outlineLevel="0" collapsed="false">
      <c r="A23" s="157" t="n">
        <v>15</v>
      </c>
      <c r="B23" s="273" t="n">
        <v>43600</v>
      </c>
      <c r="C23" s="159"/>
      <c r="D23" s="242"/>
      <c r="E23" s="159"/>
      <c r="F23" s="146"/>
      <c r="G23" s="160"/>
      <c r="H23" s="161"/>
      <c r="I23" s="149"/>
      <c r="J23" s="150"/>
      <c r="K23" s="150"/>
      <c r="L23" s="118"/>
      <c r="M23" s="118"/>
      <c r="N23" s="152"/>
      <c r="O23" s="120"/>
      <c r="P23" s="121"/>
      <c r="Q23" s="122"/>
      <c r="R23" s="123"/>
      <c r="S23" s="153"/>
      <c r="T23" s="153"/>
      <c r="U23" s="123"/>
      <c r="V23" s="154"/>
      <c r="W23" s="240"/>
      <c r="X23" s="155"/>
      <c r="Y23" s="155"/>
      <c r="Z23" s="140"/>
      <c r="AA23" s="267"/>
      <c r="AB23" s="266"/>
      <c r="AC23" s="318"/>
    </row>
    <row r="24" customFormat="false" ht="15" hidden="false" customHeight="false" outlineLevel="0" collapsed="false">
      <c r="A24" s="162" t="n">
        <v>16</v>
      </c>
      <c r="B24" s="273" t="n">
        <v>43601</v>
      </c>
      <c r="C24" s="164"/>
      <c r="D24" s="242"/>
      <c r="E24" s="164"/>
      <c r="F24" s="146"/>
      <c r="G24" s="165"/>
      <c r="H24" s="166"/>
      <c r="I24" s="149"/>
      <c r="J24" s="150"/>
      <c r="K24" s="117"/>
      <c r="L24" s="118"/>
      <c r="M24" s="118"/>
      <c r="N24" s="152"/>
      <c r="O24" s="120"/>
      <c r="P24" s="121"/>
      <c r="Q24" s="122"/>
      <c r="R24" s="123"/>
      <c r="S24" s="153"/>
      <c r="T24" s="153"/>
      <c r="U24" s="123"/>
      <c r="V24" s="154"/>
      <c r="W24" s="240"/>
      <c r="X24" s="155"/>
      <c r="Y24" s="155"/>
      <c r="Z24" s="140"/>
      <c r="AA24" s="267"/>
      <c r="AB24" s="266"/>
      <c r="AC24" s="318"/>
    </row>
    <row r="25" customFormat="false" ht="15" hidden="false" customHeight="false" outlineLevel="0" collapsed="false">
      <c r="A25" s="167" t="n">
        <v>17</v>
      </c>
      <c r="B25" s="273" t="n">
        <v>43602</v>
      </c>
      <c r="C25" s="169"/>
      <c r="D25" s="242"/>
      <c r="E25" s="169"/>
      <c r="F25" s="146"/>
      <c r="G25" s="170"/>
      <c r="H25" s="171"/>
      <c r="I25" s="149"/>
      <c r="J25" s="150"/>
      <c r="K25" s="117"/>
      <c r="L25" s="202"/>
      <c r="M25" s="202"/>
      <c r="N25" s="203"/>
      <c r="O25" s="204"/>
      <c r="P25" s="205"/>
      <c r="Q25" s="206"/>
      <c r="R25" s="178"/>
      <c r="S25" s="173"/>
      <c r="T25" s="173"/>
      <c r="U25" s="178"/>
      <c r="V25" s="179"/>
      <c r="W25" s="46"/>
      <c r="X25" s="155"/>
      <c r="Y25" s="155"/>
      <c r="Z25" s="140"/>
      <c r="AA25" s="267"/>
      <c r="AB25" s="266"/>
      <c r="AC25" s="318"/>
    </row>
    <row r="26" customFormat="false" ht="15" hidden="false" customHeight="false" outlineLevel="0" collapsed="false">
      <c r="A26" s="141" t="n">
        <v>18</v>
      </c>
      <c r="B26" s="385" t="n">
        <v>43603</v>
      </c>
      <c r="C26" s="145"/>
      <c r="D26" s="242"/>
      <c r="E26" s="145"/>
      <c r="F26" s="146"/>
      <c r="G26" s="147"/>
      <c r="H26" s="148"/>
      <c r="I26" s="149"/>
      <c r="J26" s="150"/>
      <c r="K26" s="117"/>
      <c r="L26" s="244"/>
      <c r="M26" s="244"/>
      <c r="N26" s="245"/>
      <c r="O26" s="246"/>
      <c r="P26" s="247"/>
      <c r="Q26" s="248"/>
      <c r="R26" s="249"/>
      <c r="S26" s="250"/>
      <c r="T26" s="250"/>
      <c r="U26" s="249"/>
      <c r="V26" s="251"/>
      <c r="W26" s="252"/>
      <c r="X26" s="155"/>
      <c r="Y26" s="155"/>
      <c r="Z26" s="140"/>
      <c r="AA26" s="269"/>
      <c r="AB26" s="270"/>
      <c r="AC26" s="318"/>
    </row>
    <row r="27" customFormat="false" ht="15" hidden="false" customHeight="false" outlineLevel="0" collapsed="false">
      <c r="A27" s="157" t="n">
        <v>19</v>
      </c>
      <c r="B27" s="384" t="n">
        <v>43604</v>
      </c>
      <c r="C27" s="159"/>
      <c r="D27" s="242"/>
      <c r="E27" s="159"/>
      <c r="F27" s="146"/>
      <c r="G27" s="160"/>
      <c r="H27" s="161"/>
      <c r="I27" s="149"/>
      <c r="J27" s="150"/>
      <c r="K27" s="117"/>
      <c r="L27" s="254"/>
      <c r="M27" s="254"/>
      <c r="N27" s="255"/>
      <c r="O27" s="256"/>
      <c r="P27" s="257"/>
      <c r="Q27" s="258"/>
      <c r="R27" s="259"/>
      <c r="S27" s="176"/>
      <c r="T27" s="176"/>
      <c r="U27" s="259"/>
      <c r="V27" s="260"/>
      <c r="W27" s="261"/>
      <c r="X27" s="155"/>
      <c r="Y27" s="155"/>
      <c r="Z27" s="140"/>
      <c r="AA27" s="267"/>
      <c r="AB27" s="266"/>
      <c r="AC27" s="318"/>
    </row>
    <row r="28" customFormat="false" ht="15" hidden="false" customHeight="false" outlineLevel="0" collapsed="false">
      <c r="A28" s="167" t="n">
        <v>20</v>
      </c>
      <c r="B28" s="273" t="n">
        <v>43605</v>
      </c>
      <c r="C28" s="169"/>
      <c r="D28" s="242"/>
      <c r="E28" s="169"/>
      <c r="F28" s="146"/>
      <c r="G28" s="170"/>
      <c r="H28" s="171"/>
      <c r="I28" s="149"/>
      <c r="J28" s="150" t="n">
        <v>13</v>
      </c>
      <c r="K28" s="135" t="s">
        <v>91</v>
      </c>
      <c r="L28" s="118"/>
      <c r="M28" s="118"/>
      <c r="N28" s="152"/>
      <c r="O28" s="120"/>
      <c r="P28" s="121"/>
      <c r="Q28" s="122"/>
      <c r="R28" s="123"/>
      <c r="S28" s="153"/>
      <c r="T28" s="153"/>
      <c r="U28" s="123"/>
      <c r="V28" s="154"/>
      <c r="W28" s="240"/>
      <c r="X28" s="155"/>
      <c r="Y28" s="155"/>
      <c r="Z28" s="140"/>
      <c r="AA28" s="267"/>
      <c r="AB28" s="266"/>
      <c r="AC28" s="318"/>
    </row>
    <row r="29" s="363" customFormat="true" ht="15" hidden="false" customHeight="false" outlineLevel="0" collapsed="false">
      <c r="A29" s="341" t="n">
        <v>21</v>
      </c>
      <c r="B29" s="273" t="n">
        <v>43606</v>
      </c>
      <c r="C29" s="343"/>
      <c r="D29" s="344"/>
      <c r="E29" s="343"/>
      <c r="F29" s="345"/>
      <c r="G29" s="346"/>
      <c r="H29" s="347"/>
      <c r="I29" s="366"/>
      <c r="J29" s="367"/>
      <c r="K29" s="368"/>
      <c r="L29" s="369"/>
      <c r="M29" s="369"/>
      <c r="N29" s="370"/>
      <c r="O29" s="371"/>
      <c r="P29" s="372"/>
      <c r="Q29" s="373"/>
      <c r="R29" s="374"/>
      <c r="S29" s="375"/>
      <c r="T29" s="375"/>
      <c r="U29" s="374"/>
      <c r="V29" s="376"/>
      <c r="W29" s="377"/>
      <c r="X29" s="378"/>
      <c r="Y29" s="378"/>
      <c r="Z29" s="379"/>
      <c r="AA29" s="362"/>
      <c r="AB29" s="317"/>
      <c r="AC29" s="318"/>
      <c r="AMJ29" s="336"/>
    </row>
    <row r="30" customFormat="false" ht="15" hidden="false" customHeight="false" outlineLevel="0" collapsed="false">
      <c r="A30" s="157" t="n">
        <v>22</v>
      </c>
      <c r="B30" s="273" t="n">
        <v>43607</v>
      </c>
      <c r="C30" s="159"/>
      <c r="D30" s="242"/>
      <c r="E30" s="159"/>
      <c r="F30" s="146"/>
      <c r="G30" s="160"/>
      <c r="H30" s="161"/>
      <c r="I30" s="149"/>
      <c r="J30" s="150"/>
      <c r="K30" s="117"/>
      <c r="L30" s="118"/>
      <c r="M30" s="118"/>
      <c r="N30" s="152"/>
      <c r="O30" s="120"/>
      <c r="P30" s="121"/>
      <c r="Q30" s="122"/>
      <c r="R30" s="123"/>
      <c r="S30" s="153"/>
      <c r="T30" s="153"/>
      <c r="U30" s="123"/>
      <c r="V30" s="154"/>
      <c r="W30" s="240"/>
      <c r="X30" s="155"/>
      <c r="Y30" s="155"/>
      <c r="Z30" s="140"/>
      <c r="AA30" s="267"/>
      <c r="AB30" s="266"/>
      <c r="AC30" s="318"/>
    </row>
    <row r="31" customFormat="false" ht="15" hidden="false" customHeight="false" outlineLevel="0" collapsed="false">
      <c r="A31" s="162" t="n">
        <v>23</v>
      </c>
      <c r="B31" s="273" t="n">
        <v>43608</v>
      </c>
      <c r="C31" s="164"/>
      <c r="D31" s="242"/>
      <c r="E31" s="164"/>
      <c r="F31" s="146"/>
      <c r="G31" s="165"/>
      <c r="H31" s="166"/>
      <c r="I31" s="149"/>
      <c r="J31" s="150"/>
      <c r="K31" s="117"/>
      <c r="L31" s="118"/>
      <c r="M31" s="118"/>
      <c r="N31" s="152"/>
      <c r="O31" s="120"/>
      <c r="P31" s="121"/>
      <c r="Q31" s="122"/>
      <c r="R31" s="123"/>
      <c r="S31" s="153"/>
      <c r="T31" s="153"/>
      <c r="U31" s="123"/>
      <c r="V31" s="154"/>
      <c r="W31" s="240"/>
      <c r="X31" s="155"/>
      <c r="Y31" s="155"/>
      <c r="Z31" s="140"/>
      <c r="AA31" s="267"/>
      <c r="AB31" s="266"/>
      <c r="AC31" s="318"/>
    </row>
    <row r="32" customFormat="false" ht="15" hidden="false" customHeight="false" outlineLevel="0" collapsed="false">
      <c r="A32" s="167" t="n">
        <v>24</v>
      </c>
      <c r="B32" s="273" t="n">
        <v>43609</v>
      </c>
      <c r="C32" s="169"/>
      <c r="D32" s="242"/>
      <c r="E32" s="169"/>
      <c r="F32" s="146"/>
      <c r="G32" s="170"/>
      <c r="H32" s="171"/>
      <c r="I32" s="149"/>
      <c r="J32" s="150"/>
      <c r="K32" s="117"/>
      <c r="L32" s="202"/>
      <c r="M32" s="202"/>
      <c r="N32" s="203"/>
      <c r="O32" s="204"/>
      <c r="P32" s="205"/>
      <c r="Q32" s="206"/>
      <c r="R32" s="178"/>
      <c r="S32" s="173"/>
      <c r="T32" s="173"/>
      <c r="U32" s="178"/>
      <c r="V32" s="179"/>
      <c r="W32" s="46"/>
      <c r="X32" s="155"/>
      <c r="Y32" s="155"/>
      <c r="Z32" s="140"/>
      <c r="AA32" s="267"/>
      <c r="AB32" s="266"/>
      <c r="AC32" s="318"/>
    </row>
    <row r="33" customFormat="false" ht="15" hidden="false" customHeight="false" outlineLevel="0" collapsed="false">
      <c r="A33" s="141" t="n">
        <v>25</v>
      </c>
      <c r="B33" s="385" t="n">
        <v>43610</v>
      </c>
      <c r="C33" s="145"/>
      <c r="D33" s="242"/>
      <c r="E33" s="145"/>
      <c r="F33" s="146"/>
      <c r="G33" s="147"/>
      <c r="H33" s="148"/>
      <c r="I33" s="149"/>
      <c r="J33" s="150"/>
      <c r="K33" s="117"/>
      <c r="L33" s="244"/>
      <c r="M33" s="244"/>
      <c r="N33" s="245"/>
      <c r="O33" s="246"/>
      <c r="P33" s="247"/>
      <c r="Q33" s="248"/>
      <c r="R33" s="249"/>
      <c r="S33" s="250"/>
      <c r="T33" s="250"/>
      <c r="U33" s="249"/>
      <c r="V33" s="251"/>
      <c r="W33" s="252"/>
      <c r="X33" s="155"/>
      <c r="Y33" s="155"/>
      <c r="Z33" s="140"/>
      <c r="AA33" s="269"/>
      <c r="AB33" s="270"/>
      <c r="AC33" s="318"/>
    </row>
    <row r="34" customFormat="false" ht="15" hidden="false" customHeight="false" outlineLevel="0" collapsed="false">
      <c r="A34" s="157" t="n">
        <v>26</v>
      </c>
      <c r="B34" s="384" t="n">
        <v>43611</v>
      </c>
      <c r="C34" s="159"/>
      <c r="D34" s="242"/>
      <c r="E34" s="159"/>
      <c r="F34" s="146"/>
      <c r="G34" s="160"/>
      <c r="H34" s="161"/>
      <c r="I34" s="149"/>
      <c r="J34" s="150"/>
      <c r="K34" s="117"/>
      <c r="L34" s="254"/>
      <c r="M34" s="254"/>
      <c r="N34" s="255"/>
      <c r="O34" s="256"/>
      <c r="P34" s="257"/>
      <c r="Q34" s="258"/>
      <c r="R34" s="259"/>
      <c r="S34" s="176"/>
      <c r="T34" s="176"/>
      <c r="U34" s="259"/>
      <c r="V34" s="260"/>
      <c r="W34" s="261"/>
      <c r="X34" s="155"/>
      <c r="Y34" s="155"/>
      <c r="Z34" s="140"/>
      <c r="AA34" s="267"/>
      <c r="AB34" s="266"/>
      <c r="AC34" s="318"/>
    </row>
    <row r="35" customFormat="false" ht="15" hidden="false" customHeight="false" outlineLevel="0" collapsed="false">
      <c r="A35" s="167" t="n">
        <v>27</v>
      </c>
      <c r="B35" s="273" t="n">
        <v>43612</v>
      </c>
      <c r="C35" s="169"/>
      <c r="D35" s="242"/>
      <c r="E35" s="169"/>
      <c r="F35" s="146"/>
      <c r="G35" s="170"/>
      <c r="H35" s="171"/>
      <c r="I35" s="149"/>
      <c r="J35" s="150"/>
      <c r="K35" s="117"/>
      <c r="L35" s="118"/>
      <c r="M35" s="118"/>
      <c r="N35" s="152"/>
      <c r="O35" s="120"/>
      <c r="P35" s="121"/>
      <c r="Q35" s="122"/>
      <c r="R35" s="123"/>
      <c r="S35" s="153"/>
      <c r="T35" s="153"/>
      <c r="U35" s="123"/>
      <c r="V35" s="154"/>
      <c r="W35" s="240"/>
      <c r="X35" s="155"/>
      <c r="Y35" s="155"/>
      <c r="Z35" s="140"/>
      <c r="AA35" s="267"/>
      <c r="AB35" s="266"/>
      <c r="AC35" s="318"/>
    </row>
    <row r="36" s="363" customFormat="true" ht="15" hidden="false" customHeight="false" outlineLevel="0" collapsed="false">
      <c r="A36" s="341" t="n">
        <v>28</v>
      </c>
      <c r="B36" s="273" t="n">
        <v>43613</v>
      </c>
      <c r="C36" s="343"/>
      <c r="D36" s="344"/>
      <c r="E36" s="343"/>
      <c r="F36" s="345"/>
      <c r="G36" s="346"/>
      <c r="H36" s="347"/>
      <c r="I36" s="366"/>
      <c r="J36" s="367" t="n">
        <v>29.99</v>
      </c>
      <c r="K36" s="368" t="s">
        <v>97</v>
      </c>
      <c r="L36" s="369"/>
      <c r="M36" s="369"/>
      <c r="N36" s="370"/>
      <c r="O36" s="371"/>
      <c r="P36" s="372"/>
      <c r="Q36" s="373"/>
      <c r="R36" s="374"/>
      <c r="S36" s="375"/>
      <c r="T36" s="375"/>
      <c r="U36" s="374"/>
      <c r="V36" s="376"/>
      <c r="W36" s="377"/>
      <c r="X36" s="378"/>
      <c r="Y36" s="378"/>
      <c r="Z36" s="379"/>
      <c r="AA36" s="362"/>
      <c r="AB36" s="317"/>
      <c r="AC36" s="318"/>
      <c r="AMJ36" s="336"/>
    </row>
    <row r="37" customFormat="false" ht="15" hidden="false" customHeight="false" outlineLevel="0" collapsed="false">
      <c r="A37" s="157" t="n">
        <v>29</v>
      </c>
      <c r="B37" s="273" t="n">
        <v>43614</v>
      </c>
      <c r="C37" s="159"/>
      <c r="D37" s="242"/>
      <c r="E37" s="159"/>
      <c r="F37" s="146"/>
      <c r="G37" s="160"/>
      <c r="H37" s="161"/>
      <c r="I37" s="149"/>
      <c r="J37" s="150"/>
      <c r="K37" s="117"/>
      <c r="L37" s="118"/>
      <c r="M37" s="118"/>
      <c r="N37" s="152"/>
      <c r="O37" s="120"/>
      <c r="P37" s="121"/>
      <c r="Q37" s="122"/>
      <c r="R37" s="123"/>
      <c r="S37" s="153"/>
      <c r="T37" s="153"/>
      <c r="U37" s="123"/>
      <c r="V37" s="154"/>
      <c r="W37" s="240"/>
      <c r="X37" s="155"/>
      <c r="Y37" s="155"/>
      <c r="Z37" s="209"/>
      <c r="AA37" s="267"/>
      <c r="AB37" s="266"/>
      <c r="AC37" s="318"/>
    </row>
    <row r="38" customFormat="false" ht="15" hidden="false" customHeight="false" outlineLevel="0" collapsed="false">
      <c r="A38" s="162" t="n">
        <v>30</v>
      </c>
      <c r="B38" s="273" t="n">
        <v>43615</v>
      </c>
      <c r="C38" s="164"/>
      <c r="D38" s="242"/>
      <c r="E38" s="164"/>
      <c r="F38" s="146"/>
      <c r="G38" s="165"/>
      <c r="H38" s="166"/>
      <c r="I38" s="149"/>
      <c r="J38" s="150"/>
      <c r="K38" s="117"/>
      <c r="L38" s="118"/>
      <c r="M38" s="118"/>
      <c r="N38" s="152"/>
      <c r="O38" s="120"/>
      <c r="P38" s="121"/>
      <c r="Q38" s="122"/>
      <c r="R38" s="123"/>
      <c r="S38" s="153"/>
      <c r="T38" s="153"/>
      <c r="U38" s="123"/>
      <c r="V38" s="154"/>
      <c r="W38" s="240"/>
      <c r="X38" s="155"/>
      <c r="Y38" s="155"/>
      <c r="Z38" s="209"/>
      <c r="AA38" s="267"/>
      <c r="AB38" s="266"/>
      <c r="AC38" s="318"/>
    </row>
    <row r="39" customFormat="false" ht="15" hidden="false" customHeight="false" outlineLevel="0" collapsed="false">
      <c r="A39" s="162" t="n">
        <v>31</v>
      </c>
      <c r="B39" s="273" t="n">
        <v>43616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mergeCells count="11">
    <mergeCell ref="J5:K5"/>
    <mergeCell ref="L5:M5"/>
    <mergeCell ref="S5:T5"/>
    <mergeCell ref="U5:V5"/>
    <mergeCell ref="X5:Y5"/>
    <mergeCell ref="C6:E6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47" activeCellId="0" sqref="F47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16.43"/>
    <col collapsed="false" customWidth="true" hidden="false" outlineLevel="0" max="3" min="3" style="0" width="12"/>
    <col collapsed="false" customWidth="true" hidden="false" outlineLevel="0" max="4" min="4" style="0" width="10.71"/>
    <col collapsed="false" customWidth="true" hidden="false" outlineLevel="0" max="5" min="5" style="0" width="12.43"/>
    <col collapsed="false" customWidth="true" hidden="false" outlineLevel="0" max="6" min="6" style="0" width="11.28"/>
    <col collapsed="false" customWidth="true" hidden="false" outlineLevel="0" max="7" min="7" style="0" width="15.28"/>
    <col collapsed="false" customWidth="true" hidden="false" outlineLevel="0" max="8" min="8" style="0" width="13.71"/>
    <col collapsed="false" customWidth="true" hidden="false" outlineLevel="0" max="9" min="9" style="0" width="13.14"/>
    <col collapsed="false" customWidth="true" hidden="false" outlineLevel="0" max="10" min="10" style="0" width="10.71"/>
    <col collapsed="false" customWidth="true" hidden="false" outlineLevel="0" max="11" min="11" style="0" width="15.14"/>
    <col collapsed="false" customWidth="true" hidden="false" outlineLevel="0" max="13" min="12" style="0" width="8"/>
    <col collapsed="false" customWidth="true" hidden="false" outlineLevel="0" max="14" min="14" style="0" width="8.85"/>
    <col collapsed="false" customWidth="true" hidden="false" outlineLevel="0" max="15" min="15" style="0" width="10.71"/>
    <col collapsed="false" customWidth="true" hidden="false" outlineLevel="0" max="16" min="16" style="0" width="9.57"/>
    <col collapsed="false" customWidth="true" hidden="false" outlineLevel="0" max="17" min="17" style="0" width="10.57"/>
    <col collapsed="false" customWidth="true" hidden="false" outlineLevel="0" max="18" min="18" style="0" width="7.85"/>
    <col collapsed="false" customWidth="true" hidden="false" outlineLevel="0" max="19" min="19" style="0" width="8"/>
    <col collapsed="false" customWidth="true" hidden="false" outlineLevel="0" max="20" min="20" style="0" width="7.14"/>
    <col collapsed="false" customWidth="true" hidden="false" outlineLevel="0" max="21" min="21" style="0" width="5.7"/>
    <col collapsed="false" customWidth="true" hidden="false" outlineLevel="0" max="22" min="22" style="0" width="8.57"/>
    <col collapsed="false" customWidth="true" hidden="false" outlineLevel="0" max="23" min="23" style="0" width="6.7"/>
    <col collapsed="false" customWidth="true" hidden="false" outlineLevel="0" max="24" min="24" style="0" width="6.14"/>
    <col collapsed="false" customWidth="true" hidden="false" outlineLevel="0" max="25" min="25" style="0" width="7"/>
    <col collapsed="false" customWidth="true" hidden="false" outlineLevel="0" max="1025" min="26" style="0" width="8.53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70" t="n">
        <v>31</v>
      </c>
    </row>
    <row r="2" customFormat="false" ht="15" hidden="false" customHeight="false" outlineLevel="0" collapsed="false">
      <c r="B2" s="71" t="s">
        <v>50</v>
      </c>
      <c r="C2" s="72" t="n">
        <v>4466.76</v>
      </c>
      <c r="D2" s="72" t="n">
        <v>2780</v>
      </c>
      <c r="E2" s="72"/>
    </row>
    <row r="3" customFormat="false" ht="15" hidden="false" customHeight="false" outlineLevel="0" collapsed="false">
      <c r="B3" s="71" t="s">
        <v>51</v>
      </c>
      <c r="C3" s="72"/>
      <c r="D3" s="72"/>
      <c r="E3" s="72"/>
    </row>
    <row r="4" customFormat="false" ht="15" hidden="false" customHeight="false" outlineLevel="0" collapsed="false">
      <c r="B4" s="71" t="s">
        <v>52</v>
      </c>
      <c r="C4" s="72"/>
      <c r="D4" s="72"/>
      <c r="E4" s="72"/>
      <c r="J4" s="73" t="s">
        <v>3</v>
      </c>
      <c r="K4" s="73"/>
      <c r="L4" s="74" t="n">
        <f aca="false">L7+M7</f>
        <v>1481.33</v>
      </c>
      <c r="M4" s="74"/>
      <c r="N4" s="75" t="n">
        <f aca="false">N7</f>
        <v>254.15</v>
      </c>
      <c r="O4" s="76" t="n">
        <f aca="false">O7</f>
        <v>1003.97</v>
      </c>
      <c r="P4" s="77" t="n">
        <f aca="false">P7</f>
        <v>707.38</v>
      </c>
      <c r="Q4" s="78" t="n">
        <f aca="false">Q7</f>
        <v>375.8</v>
      </c>
      <c r="R4" s="79" t="n">
        <f aca="false">R7</f>
        <v>88.47</v>
      </c>
      <c r="S4" s="80" t="n">
        <f aca="false">S7+T7</f>
        <v>1435.6</v>
      </c>
      <c r="T4" s="80"/>
      <c r="U4" s="79" t="n">
        <f aca="false">U7+V7</f>
        <v>609.84</v>
      </c>
      <c r="V4" s="79"/>
      <c r="W4" s="30" t="n">
        <f aca="false">W7</f>
        <v>677.22</v>
      </c>
      <c r="X4" s="81" t="n">
        <f aca="false">X7+Y7</f>
        <v>149.69</v>
      </c>
      <c r="Y4" s="81"/>
      <c r="Z4" s="82" t="n">
        <f aca="false">Z7</f>
        <v>14051.99</v>
      </c>
    </row>
    <row r="5" customFormat="false" ht="39" hidden="false" customHeight="true" outlineLevel="0" collapsed="false">
      <c r="B5" s="83" t="s">
        <v>53</v>
      </c>
      <c r="C5" s="84"/>
      <c r="D5" s="84"/>
      <c r="E5" s="84" t="n">
        <f aca="false">15000+1000+15</f>
        <v>16015</v>
      </c>
      <c r="G5" s="85" t="s">
        <v>54</v>
      </c>
      <c r="H5" s="86" t="n">
        <f aca="false">C6-H6</f>
        <v>1152.86</v>
      </c>
      <c r="J5" s="87" t="s">
        <v>55</v>
      </c>
      <c r="K5" s="87"/>
      <c r="L5" s="88" t="n">
        <f aca="false">L4/H6</f>
        <v>0.0670015242730303</v>
      </c>
      <c r="M5" s="88"/>
      <c r="N5" s="89" t="n">
        <f aca="false">N4/H6</f>
        <v>0.0114953706425919</v>
      </c>
      <c r="O5" s="90" t="n">
        <f aca="false">O4/H6</f>
        <v>0.0454102194139012</v>
      </c>
      <c r="P5" s="91" t="n">
        <f aca="false">P4/H6</f>
        <v>0.0319952598274903</v>
      </c>
      <c r="Q5" s="92" t="n">
        <f aca="false">Q4/H6</f>
        <v>0.0169976796674642</v>
      </c>
      <c r="R5" s="93" t="n">
        <f aca="false">R4/H6</f>
        <v>0.00400155593448792</v>
      </c>
      <c r="S5" s="94" t="n">
        <f aca="false">S4/H6</f>
        <v>0.064933126478477</v>
      </c>
      <c r="T5" s="94"/>
      <c r="U5" s="93" t="n">
        <f aca="false">U4/H6</f>
        <v>0.0275834618637743</v>
      </c>
      <c r="V5" s="93"/>
      <c r="W5" s="95" t="n">
        <f aca="false">W4/H6</f>
        <v>0.0306311033113362</v>
      </c>
      <c r="X5" s="96" t="n">
        <f aca="false">X4/H6</f>
        <v>0.00677057655514295</v>
      </c>
      <c r="Y5" s="96"/>
      <c r="Z5" s="97" t="n">
        <f aca="false">Z4/H6</f>
        <v>0.635580693747767</v>
      </c>
    </row>
    <row r="6" customFormat="false" ht="57" hidden="false" customHeight="true" outlineLevel="0" collapsed="false">
      <c r="B6" s="98" t="s">
        <v>56</v>
      </c>
      <c r="C6" s="99" t="n">
        <f aca="false">SUM(C2:C5)+SUM(D2:D5)+SUM(E2:E5)</f>
        <v>23261.76</v>
      </c>
      <c r="D6" s="100"/>
      <c r="E6" s="101"/>
      <c r="G6" s="102" t="s">
        <v>57</v>
      </c>
      <c r="H6" s="103" t="n">
        <f aca="false">SUM(J7:Z7)</f>
        <v>22108.9</v>
      </c>
      <c r="I6" s="65"/>
      <c r="J6" s="104" t="s">
        <v>58</v>
      </c>
      <c r="K6" s="104"/>
      <c r="L6" s="105" t="s">
        <v>6</v>
      </c>
      <c r="M6" s="105"/>
      <c r="N6" s="106" t="s">
        <v>7</v>
      </c>
      <c r="O6" s="107" t="s">
        <v>8</v>
      </c>
      <c r="P6" s="108" t="s">
        <v>59</v>
      </c>
      <c r="Q6" s="109" t="s">
        <v>10</v>
      </c>
      <c r="R6" s="110" t="s">
        <v>11</v>
      </c>
      <c r="S6" s="111" t="s">
        <v>60</v>
      </c>
      <c r="T6" s="111"/>
      <c r="U6" s="112" t="s">
        <v>13</v>
      </c>
      <c r="V6" s="112"/>
      <c r="W6" s="113" t="s">
        <v>14</v>
      </c>
      <c r="X6" s="114" t="s">
        <v>15</v>
      </c>
      <c r="Y6" s="114"/>
      <c r="Z6" s="115" t="s">
        <v>16</v>
      </c>
    </row>
    <row r="7" customFormat="false" ht="15.75" hidden="false" customHeight="false" outlineLevel="0" collapsed="false">
      <c r="B7" s="116"/>
      <c r="J7" s="117" t="n">
        <f aca="false">SUM(J9:J39)</f>
        <v>1273.46</v>
      </c>
      <c r="K7" s="117"/>
      <c r="L7" s="118" t="n">
        <f aca="false">SUM(L9:L39)</f>
        <v>1173.07</v>
      </c>
      <c r="M7" s="118" t="n">
        <f aca="false">SUM(M9:M39)</f>
        <v>308.26</v>
      </c>
      <c r="N7" s="119" t="n">
        <f aca="false">SUM(N9:N39)</f>
        <v>254.15</v>
      </c>
      <c r="O7" s="120" t="n">
        <f aca="false">SUM(O9:O39)</f>
        <v>1003.97</v>
      </c>
      <c r="P7" s="121" t="n">
        <f aca="false">SUM(P9:P39)</f>
        <v>707.38</v>
      </c>
      <c r="Q7" s="122" t="n">
        <f aca="false">SUM(Q9:Q39)</f>
        <v>375.8</v>
      </c>
      <c r="R7" s="123" t="n">
        <f aca="false">SUM(R9:R39)</f>
        <v>88.47</v>
      </c>
      <c r="S7" s="37" t="n">
        <f aca="false">SUM(S9:S39)</f>
        <v>895.95</v>
      </c>
      <c r="T7" s="37" t="n">
        <f aca="false">SUM(T9:T39)</f>
        <v>539.65</v>
      </c>
      <c r="U7" s="36" t="n">
        <f aca="false">SUM(U9:U39)</f>
        <v>466.46</v>
      </c>
      <c r="V7" s="124" t="n">
        <f aca="false">SUM(V9:V39)</f>
        <v>143.38</v>
      </c>
      <c r="W7" s="125" t="n">
        <f aca="false">SUM(W9:W39)</f>
        <v>677.22</v>
      </c>
      <c r="X7" s="39" t="n">
        <f aca="false">SUM(X9:X39)</f>
        <v>84.76</v>
      </c>
      <c r="Y7" s="39" t="n">
        <f aca="false">SUM(Y9:Y39)</f>
        <v>64.93</v>
      </c>
      <c r="Z7" s="40" t="n">
        <f aca="false">SUM(Z9:Z39)</f>
        <v>14051.99</v>
      </c>
    </row>
    <row r="8" customFormat="false" ht="52.5" hidden="false" customHeight="false" outlineLevel="0" collapsed="false">
      <c r="A8" s="126" t="s">
        <v>61</v>
      </c>
      <c r="B8" s="127" t="s">
        <v>62</v>
      </c>
      <c r="C8" s="128" t="s">
        <v>63</v>
      </c>
      <c r="D8" s="129" t="s">
        <v>64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137"/>
      <c r="X8" s="138" t="s">
        <v>26</v>
      </c>
      <c r="Y8" s="139" t="s">
        <v>32</v>
      </c>
      <c r="Z8" s="140"/>
    </row>
    <row r="9" s="156" customFormat="true" ht="15" hidden="false" customHeight="false" outlineLevel="0" collapsed="false">
      <c r="A9" s="141" t="n">
        <v>1</v>
      </c>
      <c r="B9" s="142" t="n">
        <v>43101</v>
      </c>
      <c r="C9" s="143" t="n">
        <f aca="false">(E9-H9)/E9</f>
        <v>0.86688066595133</v>
      </c>
      <c r="D9" s="144" t="n">
        <f aca="false">E9-H9</f>
        <v>650.48935483871</v>
      </c>
      <c r="E9" s="145" t="n">
        <f aca="false">G9</f>
        <v>750.37935483871</v>
      </c>
      <c r="F9" s="146" t="n">
        <f aca="false">G9-I9</f>
        <v>650.48935483871</v>
      </c>
      <c r="G9" s="147" t="n">
        <f aca="false">$C$6/$G$1</f>
        <v>750.37935483871</v>
      </c>
      <c r="H9" s="148" t="n">
        <f aca="false">I9</f>
        <v>99.89</v>
      </c>
      <c r="I9" s="149" t="n">
        <f aca="false">SUM(J9:Z9)</f>
        <v>99.89</v>
      </c>
      <c r="J9" s="150"/>
      <c r="K9" s="151"/>
      <c r="L9" s="118" t="n">
        <v>21.5</v>
      </c>
      <c r="M9" s="118"/>
      <c r="N9" s="152"/>
      <c r="O9" s="120" t="n">
        <v>78.39</v>
      </c>
      <c r="P9" s="121"/>
      <c r="Q9" s="122"/>
      <c r="R9" s="123"/>
      <c r="S9" s="153"/>
      <c r="T9" s="153"/>
      <c r="U9" s="123"/>
      <c r="V9" s="154"/>
      <c r="W9" s="137"/>
      <c r="X9" s="155"/>
      <c r="Y9" s="155"/>
      <c r="Z9" s="140"/>
    </row>
    <row r="10" customFormat="false" ht="15" hidden="false" customHeight="false" outlineLevel="0" collapsed="false">
      <c r="A10" s="157" t="n">
        <v>2</v>
      </c>
      <c r="B10" s="158" t="n">
        <v>43102</v>
      </c>
      <c r="C10" s="143" t="n">
        <f aca="false">(E10-H10)/E10</f>
        <v>0.76817059414249</v>
      </c>
      <c r="D10" s="144" t="n">
        <f aca="false">E10-H10</f>
        <v>1152.83870967742</v>
      </c>
      <c r="E10" s="159" t="n">
        <f aca="false">E9+G10</f>
        <v>1500.75870967742</v>
      </c>
      <c r="F10" s="146" t="n">
        <f aca="false">G10-I10</f>
        <v>502.34935483871</v>
      </c>
      <c r="G10" s="160" t="n">
        <f aca="false">$C$6/$G$1</f>
        <v>750.37935483871</v>
      </c>
      <c r="H10" s="161" t="n">
        <f aca="false">H9+I10</f>
        <v>347.92</v>
      </c>
      <c r="I10" s="149" t="n">
        <f aca="false">SUM(J10:Z10)</f>
        <v>248.03</v>
      </c>
      <c r="J10" s="150"/>
      <c r="K10" s="135"/>
      <c r="L10" s="151" t="n">
        <f aca="false">45.64+9.31+4.1+47.11+35.41</f>
        <v>141.57</v>
      </c>
      <c r="M10" s="118"/>
      <c r="N10" s="152"/>
      <c r="O10" s="120"/>
      <c r="P10" s="121"/>
      <c r="Q10" s="122"/>
      <c r="R10" s="123"/>
      <c r="S10" s="153"/>
      <c r="T10" s="153"/>
      <c r="U10" s="123" t="n">
        <f aca="false">47.97+58.49</f>
        <v>106.46</v>
      </c>
      <c r="V10" s="154"/>
      <c r="W10" s="137"/>
      <c r="X10" s="155"/>
      <c r="Y10" s="155"/>
      <c r="Z10" s="140"/>
    </row>
    <row r="11" customFormat="false" ht="15" hidden="false" customHeight="false" outlineLevel="0" collapsed="false">
      <c r="A11" s="162" t="n">
        <v>3</v>
      </c>
      <c r="B11" s="163" t="n">
        <v>43103</v>
      </c>
      <c r="C11" s="143" t="n">
        <f aca="false">(E11-H11)/E11</f>
        <v>0.84544706276166</v>
      </c>
      <c r="D11" s="144" t="n">
        <f aca="false">E11-H11</f>
        <v>1903.21806451613</v>
      </c>
      <c r="E11" s="164" t="n">
        <f aca="false">E10+G11</f>
        <v>2251.13806451613</v>
      </c>
      <c r="F11" s="146" t="n">
        <f aca="false">G11-I11</f>
        <v>750.37935483871</v>
      </c>
      <c r="G11" s="165" t="n">
        <f aca="false">$C$6/$G$1</f>
        <v>750.37935483871</v>
      </c>
      <c r="H11" s="166" t="n">
        <f aca="false">H10+I11</f>
        <v>347.92</v>
      </c>
      <c r="I11" s="149" t="n">
        <f aca="false">SUM(J11:Z11)</f>
        <v>0</v>
      </c>
      <c r="J11" s="150"/>
      <c r="K11" s="117"/>
      <c r="L11" s="118"/>
      <c r="M11" s="118"/>
      <c r="N11" s="152"/>
      <c r="O11" s="120"/>
      <c r="P11" s="121"/>
      <c r="Q11" s="122"/>
      <c r="R11" s="123"/>
      <c r="S11" s="153"/>
      <c r="T11" s="153"/>
      <c r="U11" s="123"/>
      <c r="V11" s="154"/>
      <c r="W11" s="137"/>
      <c r="X11" s="155"/>
      <c r="Y11" s="155"/>
      <c r="Z11" s="140"/>
    </row>
    <row r="12" customFormat="false" ht="15" hidden="false" customHeight="false" outlineLevel="0" collapsed="false">
      <c r="A12" s="162" t="n">
        <v>4</v>
      </c>
      <c r="B12" s="163" t="n">
        <v>43104</v>
      </c>
      <c r="C12" s="143" t="n">
        <f aca="false">(E12-H12)/E12</f>
        <v>0.884085297071245</v>
      </c>
      <c r="D12" s="144" t="n">
        <f aca="false">E12-H12</f>
        <v>2653.59741935484</v>
      </c>
      <c r="E12" s="164" t="n">
        <f aca="false">E11+G12</f>
        <v>3001.51741935484</v>
      </c>
      <c r="F12" s="146" t="n">
        <f aca="false">G12-I12</f>
        <v>750.37935483871</v>
      </c>
      <c r="G12" s="165" t="n">
        <f aca="false">$C$6/$G$1</f>
        <v>750.37935483871</v>
      </c>
      <c r="H12" s="166" t="n">
        <f aca="false">H11+I12</f>
        <v>347.92</v>
      </c>
      <c r="I12" s="149" t="n">
        <f aca="false">SUM(J12:Z12)</f>
        <v>0</v>
      </c>
      <c r="J12" s="150"/>
      <c r="K12" s="117"/>
      <c r="L12" s="118"/>
      <c r="M12" s="118"/>
      <c r="N12" s="152"/>
      <c r="O12" s="120"/>
      <c r="P12" s="121"/>
      <c r="Q12" s="122"/>
      <c r="R12" s="123"/>
      <c r="S12" s="153"/>
      <c r="T12" s="153"/>
      <c r="U12" s="123"/>
      <c r="V12" s="154"/>
      <c r="W12" s="137"/>
      <c r="X12" s="155"/>
      <c r="Y12" s="155"/>
      <c r="Z12" s="140"/>
    </row>
    <row r="13" customFormat="false" ht="15" hidden="false" customHeight="false" outlineLevel="0" collapsed="false">
      <c r="A13" s="162" t="n">
        <v>5</v>
      </c>
      <c r="B13" s="163" t="n">
        <v>43105</v>
      </c>
      <c r="C13" s="143" t="n">
        <f aca="false">(E13-H13)/E13</f>
        <v>0.862856034968979</v>
      </c>
      <c r="D13" s="144" t="n">
        <f aca="false">E13-H13</f>
        <v>3237.34677419355</v>
      </c>
      <c r="E13" s="164" t="n">
        <f aca="false">E12+G13</f>
        <v>3751.89677419355</v>
      </c>
      <c r="F13" s="146" t="n">
        <f aca="false">G13-I13</f>
        <v>583.74935483871</v>
      </c>
      <c r="G13" s="165" t="n">
        <f aca="false">$C$6/$G$1</f>
        <v>750.37935483871</v>
      </c>
      <c r="H13" s="166" t="n">
        <f aca="false">H12+I13</f>
        <v>514.55</v>
      </c>
      <c r="I13" s="149" t="n">
        <f aca="false">SUM(J13:Z13)</f>
        <v>166.63</v>
      </c>
      <c r="J13" s="150"/>
      <c r="K13" s="117"/>
      <c r="L13" s="118" t="n">
        <f aca="false">20.04+36.9+21.22</f>
        <v>78.16</v>
      </c>
      <c r="M13" s="118"/>
      <c r="N13" s="152"/>
      <c r="O13" s="120"/>
      <c r="P13" s="121"/>
      <c r="Q13" s="122"/>
      <c r="R13" s="123" t="n">
        <v>88.47</v>
      </c>
      <c r="S13" s="153"/>
      <c r="T13" s="153"/>
      <c r="U13" s="123"/>
      <c r="V13" s="154"/>
      <c r="W13" s="137"/>
      <c r="X13" s="155"/>
      <c r="Y13" s="155"/>
      <c r="Z13" s="140"/>
    </row>
    <row r="14" customFormat="false" ht="15" hidden="false" customHeight="false" outlineLevel="0" collapsed="false">
      <c r="A14" s="167" t="n">
        <v>6</v>
      </c>
      <c r="B14" s="168" t="n">
        <v>43106</v>
      </c>
      <c r="C14" s="143" t="n">
        <f aca="false">(E14-H14)/E14</f>
        <v>0.870567689919708</v>
      </c>
      <c r="D14" s="144" t="n">
        <f aca="false">E14-H14</f>
        <v>3919.53612903226</v>
      </c>
      <c r="E14" s="169" t="n">
        <f aca="false">E13+G14</f>
        <v>4502.27612903226</v>
      </c>
      <c r="F14" s="146" t="n">
        <f aca="false">G14-I14</f>
        <v>682.18935483871</v>
      </c>
      <c r="G14" s="170" t="n">
        <f aca="false">$C$6/$G$1</f>
        <v>750.37935483871</v>
      </c>
      <c r="H14" s="171" t="n">
        <f aca="false">H13+I14</f>
        <v>582.74</v>
      </c>
      <c r="I14" s="149" t="n">
        <f aca="false">SUM(J14:Z14)</f>
        <v>68.19</v>
      </c>
      <c r="J14" s="150"/>
      <c r="K14" s="117"/>
      <c r="L14" s="118" t="n">
        <f aca="false">2.69</f>
        <v>2.69</v>
      </c>
      <c r="M14" s="118" t="n">
        <v>65.5</v>
      </c>
      <c r="N14" s="152"/>
      <c r="O14" s="120"/>
      <c r="P14" s="121"/>
      <c r="Q14" s="122"/>
      <c r="R14" s="123"/>
      <c r="S14" s="153"/>
      <c r="T14" s="153"/>
      <c r="U14" s="123"/>
      <c r="V14" s="154"/>
      <c r="W14" s="137"/>
      <c r="X14" s="155"/>
      <c r="Y14" s="155"/>
      <c r="Z14" s="140"/>
    </row>
    <row r="15" s="156" customFormat="true" ht="15" hidden="false" customHeight="false" outlineLevel="0" collapsed="false">
      <c r="A15" s="141" t="n">
        <v>7</v>
      </c>
      <c r="B15" s="142" t="n">
        <v>43107</v>
      </c>
      <c r="C15" s="143" t="n">
        <f aca="false">(E15-H15)/E15</f>
        <v>0.863305331521408</v>
      </c>
      <c r="D15" s="144" t="n">
        <f aca="false">E15-H15</f>
        <v>4534.64548387097</v>
      </c>
      <c r="E15" s="145" t="n">
        <f aca="false">E14+G15</f>
        <v>5252.65548387097</v>
      </c>
      <c r="F15" s="146" t="n">
        <f aca="false">G15-I15</f>
        <v>615.10935483871</v>
      </c>
      <c r="G15" s="147" t="n">
        <f aca="false">$C$6/$G$1</f>
        <v>750.37935483871</v>
      </c>
      <c r="H15" s="148" t="n">
        <f aca="false">H14+I15</f>
        <v>718.01</v>
      </c>
      <c r="I15" s="149" t="n">
        <f aca="false">SUM(J15:Z15)</f>
        <v>135.27</v>
      </c>
      <c r="J15" s="150"/>
      <c r="K15" s="117"/>
      <c r="L15" s="118" t="n">
        <v>135.27</v>
      </c>
      <c r="M15" s="118"/>
      <c r="N15" s="152"/>
      <c r="O15" s="120"/>
      <c r="P15" s="121"/>
      <c r="Q15" s="122"/>
      <c r="R15" s="123"/>
      <c r="S15" s="153"/>
      <c r="T15" s="153"/>
      <c r="U15" s="123"/>
      <c r="V15" s="154"/>
      <c r="W15" s="137"/>
      <c r="X15" s="155"/>
      <c r="Y15" s="155"/>
      <c r="Z15" s="140"/>
    </row>
    <row r="16" customFormat="false" ht="15" hidden="false" customHeight="false" outlineLevel="0" collapsed="false">
      <c r="A16" s="157" t="n">
        <v>8</v>
      </c>
      <c r="B16" s="158" t="n">
        <v>43108</v>
      </c>
      <c r="C16" s="143" t="n">
        <f aca="false">(E16-H16)/E16</f>
        <v>0.8433309109027</v>
      </c>
      <c r="D16" s="144" t="n">
        <f aca="false">E16-H16</f>
        <v>5062.54483870968</v>
      </c>
      <c r="E16" s="159" t="n">
        <f aca="false">E15+G16</f>
        <v>6003.03483870968</v>
      </c>
      <c r="F16" s="146" t="n">
        <f aca="false">G16-I16</f>
        <v>527.89935483871</v>
      </c>
      <c r="G16" s="160" t="n">
        <f aca="false">$C$6/$G$1</f>
        <v>750.37935483871</v>
      </c>
      <c r="H16" s="161" t="n">
        <f aca="false">H15+I16</f>
        <v>940.49</v>
      </c>
      <c r="I16" s="149" t="n">
        <f aca="false">SUM(J16:Z16)</f>
        <v>222.48</v>
      </c>
      <c r="J16" s="150"/>
      <c r="K16" s="117"/>
      <c r="L16" s="118" t="n">
        <v>2.5</v>
      </c>
      <c r="M16" s="118"/>
      <c r="N16" s="152"/>
      <c r="O16" s="120" t="n">
        <v>70</v>
      </c>
      <c r="P16" s="121"/>
      <c r="Q16" s="122"/>
      <c r="R16" s="123"/>
      <c r="S16" s="153" t="n">
        <v>59.99</v>
      </c>
      <c r="T16" s="153" t="n">
        <v>89.99</v>
      </c>
      <c r="U16" s="123"/>
      <c r="V16" s="154"/>
      <c r="W16" s="137"/>
      <c r="X16" s="155"/>
      <c r="Y16" s="155"/>
      <c r="Z16" s="140"/>
    </row>
    <row r="17" customFormat="false" ht="15" hidden="false" customHeight="false" outlineLevel="0" collapsed="false">
      <c r="A17" s="162" t="n">
        <v>9</v>
      </c>
      <c r="B17" s="163" t="n">
        <v>43109</v>
      </c>
      <c r="C17" s="143" t="n">
        <f aca="false">(E17-H17)/E17</f>
        <v>0.741009517575435</v>
      </c>
      <c r="D17" s="144" t="n">
        <f aca="false">E17-H17</f>
        <v>5004.34419354839</v>
      </c>
      <c r="E17" s="164" t="n">
        <f aca="false">E16+G17</f>
        <v>6753.41419354839</v>
      </c>
      <c r="F17" s="146" t="n">
        <f aca="false">G17-I17</f>
        <v>-58.2006451612903</v>
      </c>
      <c r="G17" s="165" t="n">
        <f aca="false">$C$6/$G$1</f>
        <v>750.37935483871</v>
      </c>
      <c r="H17" s="166" t="n">
        <f aca="false">H16+I17</f>
        <v>1749.07</v>
      </c>
      <c r="I17" s="149" t="n">
        <f aca="false">SUM(J17:Z17)</f>
        <v>808.58</v>
      </c>
      <c r="J17" s="150" t="n">
        <v>75</v>
      </c>
      <c r="K17" s="135" t="s">
        <v>75</v>
      </c>
      <c r="L17" s="118" t="n">
        <v>2.5</v>
      </c>
      <c r="M17" s="118"/>
      <c r="N17" s="152"/>
      <c r="O17" s="120" t="n">
        <v>290.68</v>
      </c>
      <c r="P17" s="121"/>
      <c r="Q17" s="122"/>
      <c r="R17" s="123"/>
      <c r="S17" s="153"/>
      <c r="T17" s="153"/>
      <c r="U17" s="123"/>
      <c r="V17" s="154" t="n">
        <v>70.4</v>
      </c>
      <c r="W17" s="137" t="n">
        <v>370</v>
      </c>
      <c r="X17" s="155"/>
      <c r="Y17" s="155"/>
      <c r="Z17" s="140"/>
    </row>
    <row r="18" customFormat="false" ht="15" hidden="false" customHeight="false" outlineLevel="0" collapsed="false">
      <c r="A18" s="162" t="n">
        <v>10</v>
      </c>
      <c r="B18" s="163" t="n">
        <v>43110</v>
      </c>
      <c r="C18" s="143" t="n">
        <f aca="false">(E18-H18)/E18</f>
        <v>0.733445491656693</v>
      </c>
      <c r="D18" s="144" t="n">
        <f aca="false">E18-H18</f>
        <v>5503.6235483871</v>
      </c>
      <c r="E18" s="164" t="n">
        <f aca="false">E17+G18</f>
        <v>7503.7935483871</v>
      </c>
      <c r="F18" s="146" t="n">
        <f aca="false">G18-I18</f>
        <v>499.27935483871</v>
      </c>
      <c r="G18" s="165" t="n">
        <f aca="false">$C$6/$G$1</f>
        <v>750.37935483871</v>
      </c>
      <c r="H18" s="166" t="n">
        <f aca="false">H17+I18</f>
        <v>2000.17</v>
      </c>
      <c r="I18" s="149" t="n">
        <f aca="false">SUM(J18:Z18)</f>
        <v>251.1</v>
      </c>
      <c r="J18" s="150" t="n">
        <v>3</v>
      </c>
      <c r="K18" s="117"/>
      <c r="L18" s="118" t="n">
        <f aca="false">1.99+1.99+2.89+2.59+2.59+6.99+7.48+106.34</f>
        <v>132.86</v>
      </c>
      <c r="M18" s="118"/>
      <c r="N18" s="152" t="n">
        <f aca="false">35.01+80.23</f>
        <v>115.24</v>
      </c>
      <c r="O18" s="120"/>
      <c r="P18" s="121"/>
      <c r="Q18" s="122"/>
      <c r="R18" s="123"/>
      <c r="S18" s="153"/>
      <c r="T18" s="153"/>
      <c r="U18" s="123"/>
      <c r="V18" s="154"/>
      <c r="W18" s="137"/>
      <c r="X18" s="155"/>
      <c r="Y18" s="155"/>
      <c r="Z18" s="140"/>
    </row>
    <row r="19" customFormat="false" ht="15" hidden="false" customHeight="false" outlineLevel="0" collapsed="false">
      <c r="A19" s="162" t="n">
        <v>11</v>
      </c>
      <c r="B19" s="163" t="n">
        <v>43111</v>
      </c>
      <c r="C19" s="143" t="n">
        <f aca="false">(E19-H19)/E19</f>
        <v>0.583002435210093</v>
      </c>
      <c r="D19" s="144" t="n">
        <f aca="false">E19-H19</f>
        <v>4812.20290322581</v>
      </c>
      <c r="E19" s="164" t="n">
        <f aca="false">E18+G19</f>
        <v>8254.17290322581</v>
      </c>
      <c r="F19" s="146" t="n">
        <f aca="false">G19-I19</f>
        <v>-691.42064516129</v>
      </c>
      <c r="G19" s="165" t="n">
        <f aca="false">$C$6/$G$1</f>
        <v>750.37935483871</v>
      </c>
      <c r="H19" s="166" t="n">
        <f aca="false">H18+I19</f>
        <v>3441.97</v>
      </c>
      <c r="I19" s="149" t="n">
        <f aca="false">SUM(J19:Z19)</f>
        <v>1441.8</v>
      </c>
      <c r="J19" s="150" t="n">
        <v>607.4</v>
      </c>
      <c r="K19" s="135" t="s">
        <v>76</v>
      </c>
      <c r="L19" s="118" t="n">
        <f aca="false">2.5</f>
        <v>2.5</v>
      </c>
      <c r="M19" s="118"/>
      <c r="N19" s="152"/>
      <c r="O19" s="120"/>
      <c r="P19" s="121" t="n">
        <v>607.4</v>
      </c>
      <c r="Q19" s="122"/>
      <c r="R19" s="123"/>
      <c r="S19" s="153" t="n">
        <v>224.5</v>
      </c>
      <c r="T19" s="153"/>
      <c r="U19" s="123"/>
      <c r="V19" s="154"/>
      <c r="W19" s="137"/>
      <c r="X19" s="155"/>
      <c r="Y19" s="155"/>
      <c r="Z19" s="140"/>
    </row>
    <row r="20" customFormat="false" ht="15" hidden="false" customHeight="false" outlineLevel="0" collapsed="false">
      <c r="A20" s="162" t="n">
        <v>12</v>
      </c>
      <c r="B20" s="163" t="n">
        <v>43112</v>
      </c>
      <c r="C20" s="143" t="n">
        <f aca="false">(E20-H20)/E20</f>
        <v>0.606728919049977</v>
      </c>
      <c r="D20" s="144" t="n">
        <f aca="false">E20-H20</f>
        <v>5463.32225806452</v>
      </c>
      <c r="E20" s="164" t="n">
        <f aca="false">E19+G20</f>
        <v>9004.55225806452</v>
      </c>
      <c r="F20" s="146" t="n">
        <f aca="false">G20-I20</f>
        <v>651.11935483871</v>
      </c>
      <c r="G20" s="165" t="n">
        <f aca="false">$C$6/$G$1</f>
        <v>750.37935483871</v>
      </c>
      <c r="H20" s="166" t="n">
        <f aca="false">H19+I20</f>
        <v>3541.23</v>
      </c>
      <c r="I20" s="149" t="n">
        <f aca="false">SUM(J20:Z20)</f>
        <v>99.26</v>
      </c>
      <c r="J20" s="150"/>
      <c r="K20" s="117"/>
      <c r="L20" s="118" t="n">
        <v>54.87</v>
      </c>
      <c r="M20" s="118" t="n">
        <f aca="false">2.2+1.2</f>
        <v>3.4</v>
      </c>
      <c r="N20" s="152"/>
      <c r="O20" s="120"/>
      <c r="P20" s="121"/>
      <c r="Q20" s="122"/>
      <c r="R20" s="123"/>
      <c r="S20" s="153"/>
      <c r="T20" s="153" t="n">
        <v>6</v>
      </c>
      <c r="U20" s="123"/>
      <c r="V20" s="154" t="n">
        <f aca="false">34.99</f>
        <v>34.99</v>
      </c>
      <c r="W20" s="137"/>
      <c r="X20" s="155"/>
      <c r="Y20" s="155"/>
      <c r="Z20" s="140"/>
    </row>
    <row r="21" customFormat="false" ht="15" hidden="false" customHeight="false" outlineLevel="0" collapsed="false">
      <c r="A21" s="167" t="n">
        <v>13</v>
      </c>
      <c r="B21" s="172" t="n">
        <v>43113</v>
      </c>
      <c r="C21" s="143" t="n">
        <f aca="false">(E21-H21)/E21</f>
        <v>-0.832324480507593</v>
      </c>
      <c r="D21" s="144" t="n">
        <f aca="false">E21-H21</f>
        <v>-8119.26838709678</v>
      </c>
      <c r="E21" s="169" t="n">
        <f aca="false">E20+G21</f>
        <v>9754.93161290322</v>
      </c>
      <c r="F21" s="146" t="n">
        <f aca="false">G21-I21</f>
        <v>-13582.5906451613</v>
      </c>
      <c r="G21" s="170" t="n">
        <f aca="false">$C$6/$G$1</f>
        <v>750.37935483871</v>
      </c>
      <c r="H21" s="171" t="n">
        <f aca="false">H20+I21</f>
        <v>17874.2</v>
      </c>
      <c r="I21" s="149" t="n">
        <f aca="false">SUM(J21:Z21)</f>
        <v>14332.97</v>
      </c>
      <c r="J21" s="150"/>
      <c r="K21" s="135" t="s">
        <v>77</v>
      </c>
      <c r="L21" s="118" t="n">
        <f aca="false">18.8+9.5+22.67+34.07</f>
        <v>85.04</v>
      </c>
      <c r="M21" s="118"/>
      <c r="N21" s="152"/>
      <c r="O21" s="120"/>
      <c r="P21" s="121"/>
      <c r="Q21" s="122" t="n">
        <f aca="false">2.5+72.56</f>
        <v>75.06</v>
      </c>
      <c r="R21" s="123"/>
      <c r="S21" s="153"/>
      <c r="T21" s="153"/>
      <c r="U21" s="123"/>
      <c r="V21" s="154"/>
      <c r="W21" s="137" t="n">
        <v>150.59</v>
      </c>
      <c r="X21" s="155"/>
      <c r="Y21" s="155" t="n">
        <v>22.28</v>
      </c>
      <c r="Z21" s="140" t="n">
        <v>14000</v>
      </c>
    </row>
    <row r="22" s="156" customFormat="true" ht="15" hidden="false" customHeight="false" outlineLevel="0" collapsed="false">
      <c r="A22" s="141" t="n">
        <v>14</v>
      </c>
      <c r="B22" s="142" t="n">
        <v>43114</v>
      </c>
      <c r="C22" s="143" t="n">
        <f aca="false">(E22-H22)/E22</f>
        <v>-0.710492916885297</v>
      </c>
      <c r="D22" s="144" t="n">
        <f aca="false">E22-H22</f>
        <v>-7463.94903225807</v>
      </c>
      <c r="E22" s="145" t="n">
        <f aca="false">E21+G22</f>
        <v>10505.3109677419</v>
      </c>
      <c r="F22" s="146" t="n">
        <f aca="false">G22-I22</f>
        <v>655.31935483871</v>
      </c>
      <c r="G22" s="147" t="n">
        <f aca="false">$C$6/$G$1</f>
        <v>750.37935483871</v>
      </c>
      <c r="H22" s="148" t="n">
        <f aca="false">H21+I22</f>
        <v>17969.26</v>
      </c>
      <c r="I22" s="149" t="n">
        <f aca="false">SUM(J22:Z22)</f>
        <v>95.06</v>
      </c>
      <c r="J22" s="150"/>
      <c r="K22" s="117"/>
      <c r="L22" s="118" t="n">
        <f aca="false">31.56</f>
        <v>31.56</v>
      </c>
      <c r="M22" s="118" t="n">
        <f aca="false">63.5</f>
        <v>63.5</v>
      </c>
      <c r="N22" s="152"/>
      <c r="O22" s="120"/>
      <c r="P22" s="121"/>
      <c r="Q22" s="122"/>
      <c r="R22" s="123"/>
      <c r="S22" s="153"/>
      <c r="T22" s="153"/>
      <c r="U22" s="123"/>
      <c r="V22" s="154"/>
      <c r="W22" s="137"/>
      <c r="X22" s="155"/>
      <c r="Y22" s="155"/>
      <c r="Z22" s="140"/>
    </row>
    <row r="23" customFormat="false" ht="15" hidden="false" customHeight="false" outlineLevel="0" collapsed="false">
      <c r="A23" s="157" t="n">
        <v>15</v>
      </c>
      <c r="B23" s="158" t="n">
        <v>43115</v>
      </c>
      <c r="C23" s="143" t="n">
        <f aca="false">(E23-H23)/E23</f>
        <v>-0.612629654849848</v>
      </c>
      <c r="D23" s="144" t="n">
        <f aca="false">E23-H23</f>
        <v>-6895.56967741936</v>
      </c>
      <c r="E23" s="159" t="n">
        <f aca="false">E22+G23</f>
        <v>11255.6903225806</v>
      </c>
      <c r="F23" s="146" t="n">
        <f aca="false">G23-I23</f>
        <v>568.37935483871</v>
      </c>
      <c r="G23" s="160" t="n">
        <f aca="false">$C$6/$G$1</f>
        <v>750.37935483871</v>
      </c>
      <c r="H23" s="161" t="n">
        <f aca="false">H22+I23</f>
        <v>18151.26</v>
      </c>
      <c r="I23" s="149" t="n">
        <f aca="false">SUM(J23:Z23)</f>
        <v>182</v>
      </c>
      <c r="J23" s="150"/>
      <c r="K23" s="117"/>
      <c r="L23" s="118" t="n">
        <f aca="false">6.9+2.5</f>
        <v>9.4</v>
      </c>
      <c r="M23" s="118" t="n">
        <f aca="false">4.8</f>
        <v>4.8</v>
      </c>
      <c r="N23" s="152"/>
      <c r="O23" s="120"/>
      <c r="P23" s="121"/>
      <c r="Q23" s="122" t="n">
        <v>167.8</v>
      </c>
      <c r="R23" s="123"/>
      <c r="S23" s="153"/>
      <c r="T23" s="153"/>
      <c r="U23" s="123"/>
      <c r="V23" s="154"/>
      <c r="W23" s="137"/>
      <c r="X23" s="155"/>
      <c r="Y23" s="155"/>
      <c r="Z23" s="140"/>
    </row>
    <row r="24" customFormat="false" ht="15" hidden="false" customHeight="false" outlineLevel="0" collapsed="false">
      <c r="A24" s="162" t="n">
        <v>16</v>
      </c>
      <c r="B24" s="163" t="n">
        <v>43116</v>
      </c>
      <c r="C24" s="143" t="n">
        <f aca="false">(E24-H24)/E24</f>
        <v>-0.518240397545156</v>
      </c>
      <c r="D24" s="144" t="n">
        <f aca="false">E24-H24</f>
        <v>-6222.03032258065</v>
      </c>
      <c r="E24" s="164" t="n">
        <f aca="false">E23+G24</f>
        <v>12006.0696774194</v>
      </c>
      <c r="F24" s="146" t="n">
        <f aca="false">G24-I24</f>
        <v>673.53935483871</v>
      </c>
      <c r="G24" s="165" t="n">
        <f aca="false">$C$6/$G$1</f>
        <v>750.37935483871</v>
      </c>
      <c r="H24" s="166" t="n">
        <f aca="false">H23+I24</f>
        <v>18228.1</v>
      </c>
      <c r="I24" s="149" t="n">
        <f aca="false">SUM(J24:Z24)</f>
        <v>76.84</v>
      </c>
      <c r="J24" s="150"/>
      <c r="K24" s="117"/>
      <c r="L24" s="118" t="n">
        <f aca="false">10.86+5.8+17.88</f>
        <v>34.54</v>
      </c>
      <c r="M24" s="118"/>
      <c r="N24" s="152" t="n">
        <f aca="false">9.37</f>
        <v>9.37</v>
      </c>
      <c r="O24" s="120"/>
      <c r="P24" s="121"/>
      <c r="Q24" s="122" t="n">
        <f aca="false">29.94</f>
        <v>29.94</v>
      </c>
      <c r="R24" s="123"/>
      <c r="S24" s="153"/>
      <c r="T24" s="153"/>
      <c r="U24" s="123"/>
      <c r="V24" s="154"/>
      <c r="W24" s="137"/>
      <c r="X24" s="155"/>
      <c r="Y24" s="155"/>
      <c r="Z24" s="140" t="n">
        <v>2.99</v>
      </c>
    </row>
    <row r="25" customFormat="false" ht="15" hidden="false" customHeight="false" outlineLevel="0" collapsed="false">
      <c r="A25" s="162" t="n">
        <v>17</v>
      </c>
      <c r="B25" s="163" t="n">
        <v>43117</v>
      </c>
      <c r="C25" s="143" t="n">
        <f aca="false">(E25-H25)/E25</f>
        <v>-0.467714091331717</v>
      </c>
      <c r="D25" s="144" t="n">
        <f aca="false">E25-H25</f>
        <v>-5966.37096774194</v>
      </c>
      <c r="E25" s="164" t="n">
        <f aca="false">E24+G25</f>
        <v>12756.4490322581</v>
      </c>
      <c r="F25" s="146" t="n">
        <f aca="false">G25-I25</f>
        <v>255.65935483871</v>
      </c>
      <c r="G25" s="165" t="n">
        <f aca="false">$C$6/$G$1</f>
        <v>750.37935483871</v>
      </c>
      <c r="H25" s="166" t="n">
        <f aca="false">H24+I25</f>
        <v>18722.82</v>
      </c>
      <c r="I25" s="149" t="n">
        <f aca="false">SUM(J25:Z25)</f>
        <v>494.72</v>
      </c>
      <c r="J25" s="150"/>
      <c r="K25" s="117"/>
      <c r="L25" s="118" t="n">
        <f aca="false">7.12+31.98</f>
        <v>39.1</v>
      </c>
      <c r="M25" s="118"/>
      <c r="N25" s="152"/>
      <c r="O25" s="120" t="n">
        <v>435</v>
      </c>
      <c r="P25" s="121"/>
      <c r="Q25" s="122"/>
      <c r="R25" s="123"/>
      <c r="S25" s="153"/>
      <c r="T25" s="153"/>
      <c r="U25" s="123"/>
      <c r="V25" s="154"/>
      <c r="W25" s="137" t="n">
        <v>20.62</v>
      </c>
      <c r="X25" s="155"/>
      <c r="Y25" s="155"/>
      <c r="Z25" s="140"/>
    </row>
    <row r="26" customFormat="false" ht="15" hidden="false" customHeight="false" outlineLevel="0" collapsed="false">
      <c r="A26" s="162" t="n">
        <v>18</v>
      </c>
      <c r="B26" s="163" t="n">
        <v>43118</v>
      </c>
      <c r="C26" s="143" t="n">
        <f aca="false">(E26-H26)/E26</f>
        <v>-0.39249936853923</v>
      </c>
      <c r="D26" s="144" t="n">
        <f aca="false">E26-H26</f>
        <v>-5301.42161290323</v>
      </c>
      <c r="E26" s="164" t="n">
        <f aca="false">E25+G26</f>
        <v>13506.8283870968</v>
      </c>
      <c r="F26" s="146" t="n">
        <f aca="false">G26-I26</f>
        <v>664.94935483871</v>
      </c>
      <c r="G26" s="165" t="n">
        <f aca="false">$C$6/$G$1</f>
        <v>750.37935483871</v>
      </c>
      <c r="H26" s="166" t="n">
        <f aca="false">H25+I26</f>
        <v>18808.25</v>
      </c>
      <c r="I26" s="149" t="n">
        <f aca="false">SUM(J26:Z26)</f>
        <v>85.43</v>
      </c>
      <c r="J26" s="150"/>
      <c r="K26" s="117"/>
      <c r="L26" s="118" t="n">
        <f aca="false">3.05+3.7+17.52</f>
        <v>24.27</v>
      </c>
      <c r="M26" s="118"/>
      <c r="N26" s="152" t="n">
        <f aca="false">13.18</f>
        <v>13.18</v>
      </c>
      <c r="O26" s="120"/>
      <c r="P26" s="121"/>
      <c r="Q26" s="122"/>
      <c r="R26" s="123"/>
      <c r="S26" s="153"/>
      <c r="T26" s="153"/>
      <c r="U26" s="123"/>
      <c r="V26" s="154"/>
      <c r="W26" s="137"/>
      <c r="X26" s="155" t="n">
        <v>29.98</v>
      </c>
      <c r="Y26" s="155"/>
      <c r="Z26" s="140" t="n">
        <v>18</v>
      </c>
    </row>
    <row r="27" customFormat="false" ht="15" hidden="false" customHeight="false" outlineLevel="0" collapsed="false">
      <c r="A27" s="162" t="n">
        <v>19</v>
      </c>
      <c r="B27" s="163" t="n">
        <v>43119</v>
      </c>
      <c r="C27" s="143" t="n">
        <f aca="false">(E27-H27)/E27</f>
        <v>-0.322810913705584</v>
      </c>
      <c r="D27" s="144" t="n">
        <f aca="false">E27-H27</f>
        <v>-4602.38225806452</v>
      </c>
      <c r="E27" s="164" t="n">
        <f aca="false">E26+G27</f>
        <v>14257.2077419355</v>
      </c>
      <c r="F27" s="146" t="n">
        <f aca="false">G27-I27</f>
        <v>699.03935483871</v>
      </c>
      <c r="G27" s="165" t="n">
        <f aca="false">$C$6/$G$1</f>
        <v>750.37935483871</v>
      </c>
      <c r="H27" s="166" t="n">
        <f aca="false">H26+I27</f>
        <v>18859.59</v>
      </c>
      <c r="I27" s="149" t="n">
        <f aca="false">SUM(J27:Z27)</f>
        <v>51.34</v>
      </c>
      <c r="J27" s="150"/>
      <c r="K27" s="117"/>
      <c r="L27" s="118" t="n">
        <f aca="false">15.2</f>
        <v>15.2</v>
      </c>
      <c r="M27" s="118" t="n">
        <f aca="false">3.49+3.49</f>
        <v>6.98</v>
      </c>
      <c r="N27" s="152"/>
      <c r="O27" s="120"/>
      <c r="P27" s="121"/>
      <c r="Q27" s="122"/>
      <c r="R27" s="123"/>
      <c r="S27" s="173"/>
      <c r="T27" s="153"/>
      <c r="U27" s="123"/>
      <c r="V27" s="154"/>
      <c r="W27" s="137"/>
      <c r="X27" s="155" t="n">
        <v>21.99</v>
      </c>
      <c r="Y27" s="155" t="n">
        <f aca="false">14.15-3.49-3.49</f>
        <v>7.17</v>
      </c>
      <c r="Z27" s="140"/>
    </row>
    <row r="28" customFormat="false" ht="15" hidden="false" customHeight="false" outlineLevel="0" collapsed="false">
      <c r="A28" s="167" t="n">
        <v>20</v>
      </c>
      <c r="B28" s="172" t="n">
        <v>43120</v>
      </c>
      <c r="C28" s="143" t="n">
        <f aca="false">(E28-H28)/E28</f>
        <v>-0.279450179178188</v>
      </c>
      <c r="D28" s="144" t="n">
        <f aca="false">E28-H28</f>
        <v>-4193.87290322581</v>
      </c>
      <c r="E28" s="169" t="n">
        <f aca="false">E27+G28</f>
        <v>15007.5870967742</v>
      </c>
      <c r="F28" s="146" t="n">
        <f aca="false">G28-I28</f>
        <v>408.50935483871</v>
      </c>
      <c r="G28" s="170" t="n">
        <f aca="false">$C$6/$G$1</f>
        <v>750.37935483871</v>
      </c>
      <c r="H28" s="171" t="n">
        <f aca="false">H27+I28</f>
        <v>19201.46</v>
      </c>
      <c r="I28" s="149" t="n">
        <f aca="false">SUM(J28:Z28)</f>
        <v>341.87</v>
      </c>
      <c r="J28" s="150"/>
      <c r="K28" s="117"/>
      <c r="L28" s="118"/>
      <c r="M28" s="118" t="n">
        <f aca="false">83.5</f>
        <v>83.5</v>
      </c>
      <c r="N28" s="152"/>
      <c r="O28" s="120" t="n">
        <v>19.9</v>
      </c>
      <c r="P28" s="121"/>
      <c r="Q28" s="122"/>
      <c r="R28" s="154"/>
      <c r="S28" s="174" t="n">
        <f aca="false">145.24</f>
        <v>145.24</v>
      </c>
      <c r="T28" s="175"/>
      <c r="U28" s="123"/>
      <c r="V28" s="154" t="n">
        <v>31</v>
      </c>
      <c r="W28" s="137" t="n">
        <f aca="false">40+0.25+21.98</f>
        <v>62.23</v>
      </c>
      <c r="X28" s="155"/>
      <c r="Y28" s="155"/>
      <c r="Z28" s="140"/>
    </row>
    <row r="29" s="156" customFormat="true" ht="15" hidden="false" customHeight="false" outlineLevel="0" collapsed="false">
      <c r="A29" s="141" t="n">
        <v>21</v>
      </c>
      <c r="B29" s="142" t="n">
        <v>43121</v>
      </c>
      <c r="C29" s="143" t="n">
        <f aca="false">(E29-H29)/E29</f>
        <v>-0.230199979136002</v>
      </c>
      <c r="D29" s="144" t="n">
        <f aca="false">E29-H29</f>
        <v>-3627.4835483871</v>
      </c>
      <c r="E29" s="145" t="n">
        <f aca="false">E28+G29</f>
        <v>15757.9664516129</v>
      </c>
      <c r="F29" s="146" t="n">
        <f aca="false">G29-I29</f>
        <v>566.38935483871</v>
      </c>
      <c r="G29" s="147" t="n">
        <f aca="false">$C$6/$G$1</f>
        <v>750.37935483871</v>
      </c>
      <c r="H29" s="148" t="n">
        <f aca="false">H28+I29</f>
        <v>19385.45</v>
      </c>
      <c r="I29" s="149" t="n">
        <f aca="false">SUM(J29:Z29)</f>
        <v>183.99</v>
      </c>
      <c r="J29" s="150"/>
      <c r="K29" s="117"/>
      <c r="L29" s="118"/>
      <c r="M29" s="118" t="n">
        <f aca="false">42</f>
        <v>42</v>
      </c>
      <c r="N29" s="152"/>
      <c r="O29" s="120" t="n">
        <f aca="false">90+20</f>
        <v>110</v>
      </c>
      <c r="P29" s="121"/>
      <c r="Q29" s="122"/>
      <c r="R29" s="123"/>
      <c r="S29" s="176"/>
      <c r="T29" s="153" t="n">
        <v>31.99</v>
      </c>
      <c r="U29" s="123"/>
      <c r="V29" s="154"/>
      <c r="W29" s="137"/>
      <c r="X29" s="155"/>
      <c r="Y29" s="155"/>
      <c r="Z29" s="140"/>
    </row>
    <row r="30" customFormat="false" ht="15" hidden="false" customHeight="false" outlineLevel="0" collapsed="false">
      <c r="A30" s="157" t="n">
        <v>22</v>
      </c>
      <c r="B30" s="158" t="n">
        <v>43122</v>
      </c>
      <c r="C30" s="143" t="n">
        <f aca="false">(E30-H30)/E30</f>
        <v>-0.181819197922021</v>
      </c>
      <c r="D30" s="144" t="n">
        <f aca="false">E30-H30</f>
        <v>-3001.5341935484</v>
      </c>
      <c r="E30" s="159" t="n">
        <f aca="false">E29+G30</f>
        <v>16508.3458064516</v>
      </c>
      <c r="F30" s="146" t="n">
        <f aca="false">G30-I30</f>
        <v>625.94935483871</v>
      </c>
      <c r="G30" s="160" t="n">
        <f aca="false">$C$6/$G$1</f>
        <v>750.37935483871</v>
      </c>
      <c r="H30" s="161" t="n">
        <f aca="false">H29+I30</f>
        <v>19509.88</v>
      </c>
      <c r="I30" s="149" t="n">
        <f aca="false">SUM(J30:Z30)</f>
        <v>124.43</v>
      </c>
      <c r="J30" s="150"/>
      <c r="K30" s="117"/>
      <c r="L30" s="118" t="n">
        <f aca="false">87.44+6.99</f>
        <v>94.43</v>
      </c>
      <c r="M30" s="118" t="n">
        <f aca="false">18+8+4</f>
        <v>30</v>
      </c>
      <c r="N30" s="152"/>
      <c r="O30" s="120"/>
      <c r="P30" s="121"/>
      <c r="Q30" s="122"/>
      <c r="R30" s="123"/>
      <c r="S30" s="153"/>
      <c r="T30" s="153"/>
      <c r="U30" s="123"/>
      <c r="V30" s="154"/>
      <c r="W30" s="137"/>
      <c r="X30" s="155"/>
      <c r="Y30" s="155"/>
      <c r="Z30" s="140"/>
    </row>
    <row r="31" customFormat="false" ht="15" hidden="false" customHeight="false" outlineLevel="0" collapsed="false">
      <c r="A31" s="162" t="n">
        <v>23</v>
      </c>
      <c r="B31" s="163" t="n">
        <v>43123</v>
      </c>
      <c r="C31" s="143" t="n">
        <f aca="false">(E31-H31)/E31</f>
        <v>-0.172745368551126</v>
      </c>
      <c r="D31" s="144" t="n">
        <f aca="false">E31-H31</f>
        <v>-2981.36483870968</v>
      </c>
      <c r="E31" s="164" t="n">
        <f aca="false">E30+G31</f>
        <v>17258.7251612903</v>
      </c>
      <c r="F31" s="146" t="n">
        <f aca="false">G31-I31</f>
        <v>20.1693548387097</v>
      </c>
      <c r="G31" s="165" t="n">
        <f aca="false">$C$6/$G$1</f>
        <v>750.37935483871</v>
      </c>
      <c r="H31" s="166" t="n">
        <f aca="false">H30+I31</f>
        <v>20240.09</v>
      </c>
      <c r="I31" s="149" t="n">
        <f aca="false">SUM(J31:Z31)</f>
        <v>730.21</v>
      </c>
      <c r="J31" s="150" t="n">
        <v>13</v>
      </c>
      <c r="K31" s="117" t="s">
        <v>78</v>
      </c>
      <c r="L31" s="118" t="n">
        <f aca="false">6.99+55.6-4.69</f>
        <v>57.9</v>
      </c>
      <c r="M31" s="118"/>
      <c r="N31" s="152" t="n">
        <f aca="false">23.98+4.69</f>
        <v>28.67</v>
      </c>
      <c r="O31" s="120"/>
      <c r="P31" s="121"/>
      <c r="Q31" s="122"/>
      <c r="R31" s="123"/>
      <c r="S31" s="153" t="n">
        <v>235.67</v>
      </c>
      <c r="T31" s="153" t="n">
        <f aca="false">9.99+9.99</f>
        <v>19.98</v>
      </c>
      <c r="U31" s="123" t="n">
        <v>360</v>
      </c>
      <c r="V31" s="154"/>
      <c r="W31" s="137"/>
      <c r="X31" s="155" t="n">
        <v>14.99</v>
      </c>
      <c r="Y31" s="155"/>
      <c r="Z31" s="140"/>
    </row>
    <row r="32" customFormat="false" ht="15" hidden="false" customHeight="false" outlineLevel="0" collapsed="false">
      <c r="A32" s="162" t="n">
        <v>24</v>
      </c>
      <c r="B32" s="163" t="n">
        <v>43124</v>
      </c>
      <c r="C32" s="143" t="n">
        <f aca="false">(E32-H32)/E32</f>
        <v>-0.159417448063546</v>
      </c>
      <c r="D32" s="144" t="n">
        <f aca="false">E32-H32</f>
        <v>-2870.96548387097</v>
      </c>
      <c r="E32" s="164" t="n">
        <f aca="false">E31+G32</f>
        <v>18009.104516129</v>
      </c>
      <c r="F32" s="146" t="n">
        <f aca="false">G32-I32</f>
        <v>110.39935483871</v>
      </c>
      <c r="G32" s="165" t="n">
        <f aca="false">$C$6/$G$1</f>
        <v>750.37935483871</v>
      </c>
      <c r="H32" s="166" t="n">
        <f aca="false">H31+I32</f>
        <v>20880.07</v>
      </c>
      <c r="I32" s="149" t="n">
        <f aca="false">SUM(J32:Z32)</f>
        <v>639.98</v>
      </c>
      <c r="J32" s="150" t="n">
        <v>545.07</v>
      </c>
      <c r="K32" s="117" t="s">
        <v>79</v>
      </c>
      <c r="L32" s="118" t="n">
        <f aca="false">24.94-7.99-9.99+4.3</f>
        <v>11.26</v>
      </c>
      <c r="M32" s="118" t="n">
        <f aca="false">1.2+2.2</f>
        <v>3.4</v>
      </c>
      <c r="N32" s="152" t="n">
        <f aca="false">9.99+7.99</f>
        <v>17.98</v>
      </c>
      <c r="O32" s="120"/>
      <c r="P32" s="121"/>
      <c r="Q32" s="122"/>
      <c r="R32" s="123"/>
      <c r="S32" s="153"/>
      <c r="T32" s="153"/>
      <c r="U32" s="123"/>
      <c r="V32" s="154" t="n">
        <v>6.99</v>
      </c>
      <c r="W32" s="137" t="n">
        <f aca="false">62.27-6.99</f>
        <v>55.28</v>
      </c>
      <c r="X32" s="155"/>
      <c r="Y32" s="155"/>
      <c r="Z32" s="140"/>
    </row>
    <row r="33" customFormat="false" ht="15" hidden="false" customHeight="false" outlineLevel="0" collapsed="false">
      <c r="A33" s="162" t="n">
        <v>25</v>
      </c>
      <c r="B33" s="163" t="n">
        <v>43125</v>
      </c>
      <c r="C33" s="143" t="n">
        <f aca="false">(E33-H33)/E33</f>
        <v>-0.114299313551511</v>
      </c>
      <c r="D33" s="144" t="n">
        <f aca="false">E33-H33</f>
        <v>-2144.19612903226</v>
      </c>
      <c r="E33" s="164" t="n">
        <f aca="false">E32+G33</f>
        <v>18759.4838709677</v>
      </c>
      <c r="F33" s="146" t="n">
        <f aca="false">G33-I33</f>
        <v>726.76935483871</v>
      </c>
      <c r="G33" s="165" t="n">
        <f aca="false">$C$6/$G$1</f>
        <v>750.37935483871</v>
      </c>
      <c r="H33" s="166" t="n">
        <f aca="false">H32+I33</f>
        <v>20903.68</v>
      </c>
      <c r="I33" s="149" t="n">
        <f aca="false">SUM(J33:Z33)</f>
        <v>23.61</v>
      </c>
      <c r="J33" s="150"/>
      <c r="K33" s="117"/>
      <c r="L33" s="118" t="n">
        <f aca="false">23.61</f>
        <v>23.61</v>
      </c>
      <c r="M33" s="118"/>
      <c r="N33" s="152"/>
      <c r="O33" s="120"/>
      <c r="P33" s="121"/>
      <c r="Q33" s="122"/>
      <c r="R33" s="123"/>
      <c r="S33" s="153"/>
      <c r="T33" s="153"/>
      <c r="U33" s="123"/>
      <c r="V33" s="154"/>
      <c r="W33" s="137"/>
      <c r="X33" s="155"/>
      <c r="Y33" s="155"/>
      <c r="Z33" s="140"/>
    </row>
    <row r="34" customFormat="false" ht="15" hidden="false" customHeight="false" outlineLevel="0" collapsed="false">
      <c r="A34" s="162" t="n">
        <v>26</v>
      </c>
      <c r="B34" s="163" t="n">
        <v>43126</v>
      </c>
      <c r="C34" s="143" t="n">
        <f aca="false">(E34-H34)/E34</f>
        <v>-0.074667195629883</v>
      </c>
      <c r="D34" s="144" t="n">
        <f aca="false">E34-H34</f>
        <v>-1456.74677419355</v>
      </c>
      <c r="E34" s="164" t="n">
        <f aca="false">E33+G34</f>
        <v>19509.8632258065</v>
      </c>
      <c r="F34" s="146" t="n">
        <f aca="false">G34-I34</f>
        <v>687.44935483871</v>
      </c>
      <c r="G34" s="165" t="n">
        <f aca="false">$C$6/$G$1</f>
        <v>750.37935483871</v>
      </c>
      <c r="H34" s="166" t="n">
        <f aca="false">H33+I34</f>
        <v>20966.61</v>
      </c>
      <c r="I34" s="149" t="n">
        <f aca="false">SUM(J34:Z34)</f>
        <v>62.93</v>
      </c>
      <c r="J34" s="150"/>
      <c r="K34" s="117"/>
      <c r="L34" s="118" t="n">
        <f aca="false">3.49+3.49+3.49+12.99+3.99</f>
        <v>27.45</v>
      </c>
      <c r="M34" s="118"/>
      <c r="N34" s="152"/>
      <c r="O34" s="120"/>
      <c r="P34" s="121"/>
      <c r="Q34" s="122"/>
      <c r="R34" s="123"/>
      <c r="S34" s="153"/>
      <c r="T34" s="153"/>
      <c r="U34" s="123"/>
      <c r="V34" s="154"/>
      <c r="W34" s="137"/>
      <c r="X34" s="155"/>
      <c r="Y34" s="155" t="n">
        <f aca="false">62.93-27.45</f>
        <v>35.48</v>
      </c>
      <c r="Z34" s="140"/>
    </row>
    <row r="35" customFormat="false" ht="15" hidden="false" customHeight="false" outlineLevel="0" collapsed="false">
      <c r="A35" s="167" t="n">
        <v>27</v>
      </c>
      <c r="B35" s="172" t="n">
        <v>43127</v>
      </c>
      <c r="C35" s="143" t="n">
        <f aca="false">(E35-H35)/E35</f>
        <v>-0.0366741620391387</v>
      </c>
      <c r="D35" s="144" t="n">
        <f aca="false">E35-H35</f>
        <v>-743.027419354839</v>
      </c>
      <c r="E35" s="169" t="n">
        <f aca="false">E34+G35</f>
        <v>20260.2425806452</v>
      </c>
      <c r="F35" s="146" t="n">
        <f aca="false">G35-I35</f>
        <v>713.71935483871</v>
      </c>
      <c r="G35" s="170" t="n">
        <f aca="false">$C$6/$G$1</f>
        <v>750.37935483871</v>
      </c>
      <c r="H35" s="171" t="n">
        <f aca="false">H34+I35</f>
        <v>21003.27</v>
      </c>
      <c r="I35" s="149" t="n">
        <f aca="false">SUM(J35:Z35)</f>
        <v>36.66</v>
      </c>
      <c r="J35" s="150"/>
      <c r="K35" s="117"/>
      <c r="L35" s="118" t="n">
        <f aca="false">1.69</f>
        <v>1.69</v>
      </c>
      <c r="M35" s="118" t="n">
        <f aca="false">5.18</f>
        <v>5.18</v>
      </c>
      <c r="N35" s="152"/>
      <c r="O35" s="120"/>
      <c r="P35" s="121"/>
      <c r="Q35" s="122"/>
      <c r="R35" s="123"/>
      <c r="S35" s="153"/>
      <c r="T35" s="153" t="n">
        <f aca="false">13.68-1.69</f>
        <v>11.99</v>
      </c>
      <c r="U35" s="123"/>
      <c r="V35" s="154"/>
      <c r="W35" s="137"/>
      <c r="X35" s="155" t="n">
        <v>17.8</v>
      </c>
      <c r="Y35" s="155"/>
      <c r="Z35" s="140"/>
    </row>
    <row r="36" s="156" customFormat="true" ht="15" hidden="false" customHeight="false" outlineLevel="0" collapsed="false">
      <c r="A36" s="141" t="n">
        <v>28</v>
      </c>
      <c r="B36" s="142" t="n">
        <v>43128</v>
      </c>
      <c r="C36" s="143" t="n">
        <f aca="false">(E36-H36)/E36</f>
        <v>-0.00361427018911234</v>
      </c>
      <c r="D36" s="144" t="n">
        <f aca="false">E36-H36</f>
        <v>-75.9380645161291</v>
      </c>
      <c r="E36" s="145" t="n">
        <f aca="false">E35+G36</f>
        <v>21010.6219354839</v>
      </c>
      <c r="F36" s="146" t="n">
        <f aca="false">G36-I36</f>
        <v>667.08935483871</v>
      </c>
      <c r="G36" s="147" t="n">
        <f aca="false">$C$6/$G$1</f>
        <v>750.37935483871</v>
      </c>
      <c r="H36" s="148" t="n">
        <f aca="false">H35+I36</f>
        <v>21086.56</v>
      </c>
      <c r="I36" s="149" t="n">
        <f aca="false">SUM(J36:Z36)</f>
        <v>83.29</v>
      </c>
      <c r="J36" s="150"/>
      <c r="K36" s="117"/>
      <c r="L36" s="118" t="n">
        <f aca="false">61.69-13.99-1.99+3.1</f>
        <v>48.81</v>
      </c>
      <c r="M36" s="118"/>
      <c r="N36" s="152" t="n">
        <f aca="false">13.99+1.99</f>
        <v>15.98</v>
      </c>
      <c r="O36" s="120"/>
      <c r="P36" s="121"/>
      <c r="Q36" s="122"/>
      <c r="R36" s="123"/>
      <c r="S36" s="153"/>
      <c r="T36" s="153"/>
      <c r="U36" s="123"/>
      <c r="V36" s="154"/>
      <c r="W36" s="137" t="n">
        <f aca="false">18.5</f>
        <v>18.5</v>
      </c>
      <c r="X36" s="155"/>
      <c r="Y36" s="155"/>
      <c r="Z36" s="140"/>
    </row>
    <row r="37" customFormat="false" ht="15" hidden="false" customHeight="false" outlineLevel="0" collapsed="false">
      <c r="A37" s="157" t="n">
        <v>29</v>
      </c>
      <c r="B37" s="158" t="n">
        <v>43129</v>
      </c>
      <c r="C37" s="143" t="n">
        <f aca="false">(E37-H37)/E37</f>
        <v>0.016551227837239</v>
      </c>
      <c r="D37" s="144" t="n">
        <f aca="false">E37-H37</f>
        <v>360.171290322582</v>
      </c>
      <c r="E37" s="159" t="n">
        <f aca="false">E36+G37</f>
        <v>21761.0012903226</v>
      </c>
      <c r="F37" s="146" t="n">
        <f aca="false">G37-I37</f>
        <v>436.10935483871</v>
      </c>
      <c r="G37" s="160" t="n">
        <f aca="false">$C$6/$G$1</f>
        <v>750.37935483871</v>
      </c>
      <c r="H37" s="161" t="n">
        <f aca="false">H36+I37</f>
        <v>21400.83</v>
      </c>
      <c r="I37" s="149" t="n">
        <f aca="false">SUM(J37:Z37)</f>
        <v>314.27</v>
      </c>
      <c r="J37" s="150" t="n">
        <v>29.99</v>
      </c>
      <c r="K37" s="117" t="s">
        <v>80</v>
      </c>
      <c r="L37" s="118"/>
      <c r="M37" s="118"/>
      <c r="N37" s="152" t="n">
        <f aca="false">53.73</f>
        <v>53.73</v>
      </c>
      <c r="O37" s="120"/>
      <c r="P37" s="121"/>
      <c r="Q37" s="122"/>
      <c r="R37" s="123"/>
      <c r="S37" s="153" t="n">
        <f aca="false">230.55</f>
        <v>230.55</v>
      </c>
      <c r="T37" s="153"/>
      <c r="U37" s="123"/>
      <c r="V37" s="154"/>
      <c r="W37" s="137"/>
      <c r="X37" s="155"/>
      <c r="Y37" s="155"/>
      <c r="Z37" s="140"/>
    </row>
    <row r="38" customFormat="false" ht="15" hidden="false" customHeight="false" outlineLevel="0" collapsed="false">
      <c r="A38" s="162" t="n">
        <v>30</v>
      </c>
      <c r="B38" s="163" t="n">
        <v>43130</v>
      </c>
      <c r="C38" s="143" t="n">
        <f aca="false">(E38-H38)/E38</f>
        <v>0.0422266701516423</v>
      </c>
      <c r="D38" s="144" t="n">
        <f aca="false">E38-H38</f>
        <v>950.580645161292</v>
      </c>
      <c r="E38" s="164" t="n">
        <f aca="false">E37+G38</f>
        <v>22511.3806451613</v>
      </c>
      <c r="F38" s="146" t="n">
        <f aca="false">G38-I38</f>
        <v>590.40935483871</v>
      </c>
      <c r="G38" s="165" t="n">
        <f aca="false">$C$6/$G$1</f>
        <v>750.37935483871</v>
      </c>
      <c r="H38" s="166" t="n">
        <f aca="false">H37+I38</f>
        <v>21560.8</v>
      </c>
      <c r="I38" s="149" t="n">
        <f aca="false">SUM(J38:Z38)</f>
        <v>159.97</v>
      </c>
      <c r="J38" s="150"/>
      <c r="K38" s="117"/>
      <c r="L38" s="118" t="n">
        <f aca="false">4.1+55.89</f>
        <v>59.99</v>
      </c>
      <c r="M38" s="118"/>
      <c r="N38" s="152"/>
      <c r="O38" s="120"/>
      <c r="P38" s="121" t="n">
        <f aca="false">99.98</f>
        <v>99.98</v>
      </c>
      <c r="Q38" s="122"/>
      <c r="R38" s="123"/>
      <c r="S38" s="153"/>
      <c r="T38" s="153"/>
      <c r="U38" s="123"/>
      <c r="V38" s="154"/>
      <c r="W38" s="137"/>
      <c r="X38" s="155"/>
      <c r="Y38" s="155"/>
      <c r="Z38" s="140"/>
    </row>
    <row r="39" customFormat="false" ht="15" hidden="false" customHeight="false" outlineLevel="0" collapsed="false">
      <c r="A39" s="167" t="n">
        <v>31</v>
      </c>
      <c r="B39" s="177" t="n">
        <v>43131</v>
      </c>
      <c r="C39" s="143" t="n">
        <f aca="false">(E39-H39)/E39</f>
        <v>0.0495603084203433</v>
      </c>
      <c r="D39" s="144" t="n">
        <f aca="false">E39-H39</f>
        <v>1152.86</v>
      </c>
      <c r="E39" s="169" t="n">
        <f aca="false">E38+G39</f>
        <v>23261.76</v>
      </c>
      <c r="F39" s="146" t="n">
        <f aca="false">G39-I39</f>
        <v>202.27935483871</v>
      </c>
      <c r="G39" s="170" t="n">
        <f aca="false">$C$6/$G$1</f>
        <v>750.37935483871</v>
      </c>
      <c r="H39" s="171" t="n">
        <f aca="false">H38+I39</f>
        <v>22108.9</v>
      </c>
      <c r="I39" s="149" t="n">
        <f aca="false">SUM(J39:Z39)</f>
        <v>548.1</v>
      </c>
      <c r="J39" s="150"/>
      <c r="K39" s="117"/>
      <c r="L39" s="118" t="n">
        <f aca="false">31.9+2.5</f>
        <v>34.4</v>
      </c>
      <c r="M39" s="118"/>
      <c r="N39" s="152"/>
      <c r="O39" s="120"/>
      <c r="P39" s="121"/>
      <c r="Q39" s="122" t="n">
        <v>103</v>
      </c>
      <c r="R39" s="123"/>
      <c r="S39" s="153"/>
      <c r="T39" s="153" t="n">
        <f aca="false">101.2+17+75+180.5+2.6+2.6+0.8</f>
        <v>379.7</v>
      </c>
      <c r="U39" s="178"/>
      <c r="V39" s="179"/>
      <c r="W39" s="137"/>
      <c r="X39" s="155"/>
      <c r="Y39" s="155"/>
      <c r="Z39" s="140" t="n">
        <f aca="false">30+1</f>
        <v>31</v>
      </c>
    </row>
  </sheetData>
  <mergeCells count="15">
    <mergeCell ref="J4:K4"/>
    <mergeCell ref="L4:M4"/>
    <mergeCell ref="S4:T4"/>
    <mergeCell ref="U4:V4"/>
    <mergeCell ref="X4:Y4"/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12.71"/>
    <col collapsed="false" customWidth="true" hidden="false" outlineLevel="0" max="3" min="3" style="0" width="10.85"/>
    <col collapsed="false" customWidth="true" hidden="false" outlineLevel="0" max="4" min="4" style="0" width="13.43"/>
    <col collapsed="false" customWidth="false" hidden="false" outlineLevel="0" max="5" min="5" style="0" width="11.43"/>
    <col collapsed="false" customWidth="true" hidden="false" outlineLevel="0" max="6" min="6" style="0" width="16.43"/>
    <col collapsed="false" customWidth="true" hidden="false" outlineLevel="0" max="7" min="7" style="0" width="15.43"/>
    <col collapsed="false" customWidth="true" hidden="false" outlineLevel="0" max="8" min="8" style="0" width="13.57"/>
    <col collapsed="false" customWidth="true" hidden="false" outlineLevel="0" max="9" min="9" style="0" width="11"/>
    <col collapsed="false" customWidth="true" hidden="false" outlineLevel="0" max="10" min="10" style="0" width="9"/>
    <col collapsed="false" customWidth="true" hidden="false" outlineLevel="0" max="11" min="11" style="0" width="18.28"/>
    <col collapsed="false" customWidth="true" hidden="false" outlineLevel="0" max="12" min="12" style="0" width="8.7"/>
    <col collapsed="false" customWidth="true" hidden="false" outlineLevel="0" max="13" min="13" style="0" width="7.28"/>
    <col collapsed="false" customWidth="true" hidden="false" outlineLevel="0" max="14" min="14" style="0" width="9.14"/>
    <col collapsed="false" customWidth="true" hidden="false" outlineLevel="0" max="15" min="15" style="0" width="10.57"/>
    <col collapsed="false" customWidth="true" hidden="false" outlineLevel="0" max="16" min="16" style="0" width="9.28"/>
    <col collapsed="false" customWidth="true" hidden="false" outlineLevel="0" max="17" min="17" style="0" width="10"/>
    <col collapsed="false" customWidth="true" hidden="false" outlineLevel="0" max="18" min="18" style="0" width="11.28"/>
    <col collapsed="false" customWidth="true" hidden="false" outlineLevel="0" max="19" min="19" style="0" width="10"/>
    <col collapsed="false" customWidth="true" hidden="false" outlineLevel="0" max="20" min="20" style="0" width="5.7"/>
    <col collapsed="false" customWidth="true" hidden="false" outlineLevel="0" max="21" min="21" style="0" width="5.57"/>
    <col collapsed="false" customWidth="true" hidden="false" outlineLevel="0" max="22" min="22" style="0" width="6.7"/>
    <col collapsed="false" customWidth="true" hidden="false" outlineLevel="0" max="23" min="23" style="0" width="7.43"/>
    <col collapsed="false" customWidth="true" hidden="false" outlineLevel="0" max="24" min="24" style="0" width="7.57"/>
    <col collapsed="false" customWidth="true" hidden="false" outlineLevel="0" max="25" min="25" style="0" width="8"/>
    <col collapsed="false" customWidth="true" hidden="false" outlineLevel="0" max="26" min="26" style="0" width="8.57"/>
    <col collapsed="false" customWidth="true" hidden="false" outlineLevel="0" max="1025" min="27" style="0" width="12.57"/>
  </cols>
  <sheetData>
    <row r="1" customFormat="false" ht="69" hidden="false" customHeight="true" outlineLevel="0" collapsed="false">
      <c r="A1" s="65"/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70" t="n">
        <v>28</v>
      </c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customFormat="false" ht="17.25" hidden="false" customHeight="true" outlineLevel="0" collapsed="false">
      <c r="A2" s="65"/>
      <c r="B2" s="71" t="s">
        <v>50</v>
      </c>
      <c r="C2" s="72" t="n">
        <v>4353.25</v>
      </c>
      <c r="D2" s="72" t="n">
        <v>2780</v>
      </c>
      <c r="E2" s="72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customFormat="false" ht="49.5" hidden="false" customHeight="true" outlineLevel="0" collapsed="false">
      <c r="A3" s="65"/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180" t="s">
        <v>54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customFormat="false" ht="36.75" hidden="false" customHeight="true" outlineLevel="0" collapsed="false">
      <c r="A4" s="65"/>
      <c r="B4" s="71" t="s">
        <v>52</v>
      </c>
      <c r="C4" s="72" t="n">
        <f aca="false">225+125</f>
        <v>350</v>
      </c>
      <c r="D4" s="72"/>
      <c r="E4" s="72"/>
      <c r="F4" s="181" t="n">
        <v>1000</v>
      </c>
      <c r="G4" s="182" t="n">
        <f aca="false">C6-F4</f>
        <v>6833.25</v>
      </c>
      <c r="H4" s="183" t="n">
        <f aca="false">C6-H6</f>
        <v>571.950000000001</v>
      </c>
      <c r="I4" s="184" t="n">
        <f aca="false">C6-H6</f>
        <v>571.950000000001</v>
      </c>
      <c r="J4" s="73" t="s">
        <v>3</v>
      </c>
      <c r="K4" s="73"/>
      <c r="L4" s="74" t="n">
        <f aca="false">L7+M7</f>
        <v>1361.01</v>
      </c>
      <c r="M4" s="74"/>
      <c r="N4" s="75" t="n">
        <f aca="false">N7</f>
        <v>205.73</v>
      </c>
      <c r="O4" s="76" t="n">
        <f aca="false">O7</f>
        <v>1164</v>
      </c>
      <c r="P4" s="77" t="n">
        <f aca="false">P7</f>
        <v>512.97</v>
      </c>
      <c r="Q4" s="78" t="n">
        <f aca="false">Q7</f>
        <v>40.97</v>
      </c>
      <c r="R4" s="79" t="n">
        <f aca="false">R7</f>
        <v>51.29</v>
      </c>
      <c r="S4" s="80" t="n">
        <f aca="false">S7+T7</f>
        <v>1032.08</v>
      </c>
      <c r="T4" s="80"/>
      <c r="U4" s="79" t="n">
        <f aca="false">U7+V7</f>
        <v>353.46</v>
      </c>
      <c r="V4" s="79"/>
      <c r="W4" s="30" t="n">
        <f aca="false">W7</f>
        <v>330.45</v>
      </c>
      <c r="X4" s="81" t="n">
        <f aca="false">X7+Y7</f>
        <v>366.42</v>
      </c>
      <c r="Y4" s="81"/>
      <c r="Z4" s="82" t="n">
        <f aca="false">Z7</f>
        <v>349.6</v>
      </c>
    </row>
    <row r="5" customFormat="false" ht="16.5" hidden="false" customHeight="true" outlineLevel="0" collapsed="false">
      <c r="A5" s="65"/>
      <c r="B5" s="83" t="s">
        <v>53</v>
      </c>
      <c r="C5" s="84" t="n">
        <v>150</v>
      </c>
      <c r="D5" s="84" t="n">
        <v>200</v>
      </c>
      <c r="E5" s="84"/>
      <c r="G5" s="185" t="s">
        <v>54</v>
      </c>
      <c r="H5" s="86" t="n">
        <f aca="false">G4-H6</f>
        <v>-428.049999999999</v>
      </c>
      <c r="I5" s="65"/>
      <c r="J5" s="186" t="n">
        <f aca="false">J7/H6</f>
        <v>0.205654634845</v>
      </c>
      <c r="K5" s="186"/>
      <c r="L5" s="88" t="n">
        <f aca="false">L4/H6</f>
        <v>0.18743337969785</v>
      </c>
      <c r="M5" s="88"/>
      <c r="N5" s="89" t="n">
        <f aca="false">N4/H6</f>
        <v>0.0283323922713564</v>
      </c>
      <c r="O5" s="90" t="n">
        <f aca="false">O4/H6</f>
        <v>0.160301874320025</v>
      </c>
      <c r="P5" s="91" t="n">
        <f aca="false">P4/H6</f>
        <v>0.0706443749741782</v>
      </c>
      <c r="Q5" s="92" t="n">
        <f aca="false">Q4/H6</f>
        <v>0.00564224037018165</v>
      </c>
      <c r="R5" s="93" t="n">
        <f aca="false">R4/H6</f>
        <v>0.00706347348270971</v>
      </c>
      <c r="S5" s="94" t="n">
        <f aca="false">S4/H6</f>
        <v>0.142134328563756</v>
      </c>
      <c r="T5" s="94"/>
      <c r="U5" s="93" t="n">
        <f aca="false">U4/H6</f>
        <v>0.0486772341040861</v>
      </c>
      <c r="V5" s="93"/>
      <c r="W5" s="95" t="n">
        <f aca="false">W4/H6</f>
        <v>0.0455083800421412</v>
      </c>
      <c r="X5" s="96" t="n">
        <f aca="false">X4/H6</f>
        <v>0.0504620384779585</v>
      </c>
      <c r="Y5" s="96"/>
      <c r="Z5" s="97" t="n">
        <f aca="false">Z4/H6</f>
        <v>0.0481456488507568</v>
      </c>
    </row>
    <row r="6" customFormat="false" ht="69" hidden="false" customHeight="true" outlineLevel="0" collapsed="false">
      <c r="A6" s="65"/>
      <c r="B6" s="98" t="s">
        <v>56</v>
      </c>
      <c r="C6" s="187" t="n">
        <f aca="false">SUM(C2:C5)+SUM(D2:D5)+SUM(E2:E5)</f>
        <v>7833.25</v>
      </c>
      <c r="D6" s="188"/>
      <c r="E6" s="189"/>
      <c r="F6" s="10"/>
      <c r="G6" s="102" t="s">
        <v>57</v>
      </c>
      <c r="H6" s="103" t="n">
        <f aca="false">SUM(J7:Z7)</f>
        <v>7261.3</v>
      </c>
      <c r="I6" s="65"/>
      <c r="J6" s="104" t="s">
        <v>58</v>
      </c>
      <c r="K6" s="104"/>
      <c r="L6" s="105" t="s">
        <v>6</v>
      </c>
      <c r="M6" s="105"/>
      <c r="N6" s="106" t="s">
        <v>7</v>
      </c>
      <c r="O6" s="107" t="s">
        <v>8</v>
      </c>
      <c r="P6" s="108" t="s">
        <v>59</v>
      </c>
      <c r="Q6" s="109" t="s">
        <v>10</v>
      </c>
      <c r="R6" s="110" t="s">
        <v>11</v>
      </c>
      <c r="S6" s="111" t="s">
        <v>60</v>
      </c>
      <c r="T6" s="111"/>
      <c r="U6" s="112" t="s">
        <v>13</v>
      </c>
      <c r="V6" s="112"/>
      <c r="W6" s="113" t="s">
        <v>14</v>
      </c>
      <c r="X6" s="114" t="s">
        <v>15</v>
      </c>
      <c r="Y6" s="114"/>
      <c r="Z6" s="115" t="s">
        <v>16</v>
      </c>
    </row>
    <row r="7" customFormat="false" ht="16.5" hidden="false" customHeight="true" outlineLevel="0" collapsed="false">
      <c r="A7" s="65"/>
      <c r="B7" s="116"/>
      <c r="C7" s="65"/>
      <c r="D7" s="65"/>
      <c r="E7" s="65"/>
      <c r="F7" s="65"/>
      <c r="G7" s="65"/>
      <c r="H7" s="65"/>
      <c r="I7" s="65"/>
      <c r="J7" s="117" t="n">
        <f aca="false">SUM(J9:J39)</f>
        <v>1493.32</v>
      </c>
      <c r="K7" s="117"/>
      <c r="L7" s="118" t="n">
        <f aca="false">SUM(L9:L39)</f>
        <v>1196.85</v>
      </c>
      <c r="M7" s="118" t="n">
        <f aca="false">SUM(M9:M39)</f>
        <v>164.16</v>
      </c>
      <c r="N7" s="119" t="n">
        <f aca="false">SUM(N9:N39)</f>
        <v>205.73</v>
      </c>
      <c r="O7" s="120" t="n">
        <f aca="false">SUM(O9:O39)</f>
        <v>1164</v>
      </c>
      <c r="P7" s="121" t="n">
        <f aca="false">SUM(P9:P39)</f>
        <v>512.97</v>
      </c>
      <c r="Q7" s="122" t="n">
        <f aca="false">SUM(Q9:Q39)</f>
        <v>40.97</v>
      </c>
      <c r="R7" s="123" t="n">
        <f aca="false">SUM(R9:R39)</f>
        <v>51.29</v>
      </c>
      <c r="S7" s="37" t="n">
        <f aca="false">SUM(S9:S39)</f>
        <v>609.75</v>
      </c>
      <c r="T7" s="37" t="n">
        <f aca="false">SUM(T9:T39)</f>
        <v>422.33</v>
      </c>
      <c r="U7" s="36" t="n">
        <f aca="false">SUM(U9:U39)</f>
        <v>64.98</v>
      </c>
      <c r="V7" s="124" t="n">
        <f aca="false">SUM(V9:V39)</f>
        <v>288.48</v>
      </c>
      <c r="W7" s="125" t="n">
        <f aca="false">SUM(W9:W39)</f>
        <v>330.45</v>
      </c>
      <c r="X7" s="39" t="n">
        <f aca="false">SUM(X9:X39)</f>
        <v>224.94</v>
      </c>
      <c r="Y7" s="39" t="n">
        <f aca="false">SUM(Y9:Y39)</f>
        <v>141.48</v>
      </c>
      <c r="Z7" s="40" t="n">
        <f aca="false">SUM(Z9:Z39)</f>
        <v>349.6</v>
      </c>
    </row>
    <row r="8" customFormat="false" ht="59.25" hidden="false" customHeight="true" outlineLevel="0" collapsed="false">
      <c r="A8" s="126" t="s">
        <v>61</v>
      </c>
      <c r="B8" s="127" t="s">
        <v>62</v>
      </c>
      <c r="C8" s="128" t="s">
        <v>63</v>
      </c>
      <c r="D8" s="129" t="s">
        <v>64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84</v>
      </c>
      <c r="W8" s="137"/>
      <c r="X8" s="138" t="s">
        <v>26</v>
      </c>
      <c r="Y8" s="139" t="s">
        <v>32</v>
      </c>
      <c r="Z8" s="140"/>
    </row>
    <row r="9" customFormat="false" ht="16.5" hidden="false" customHeight="true" outlineLevel="0" collapsed="false">
      <c r="A9" s="141" t="n">
        <v>1</v>
      </c>
      <c r="B9" s="190" t="n">
        <v>43132</v>
      </c>
      <c r="C9" s="143" t="n">
        <f aca="false">(E9-H9)/E9</f>
        <v>-1.3519467310577</v>
      </c>
      <c r="D9" s="144" t="n">
        <f aca="false">E9-H9</f>
        <v>-329.935357142857</v>
      </c>
      <c r="E9" s="145" t="n">
        <f aca="false">G9</f>
        <v>244.044642857143</v>
      </c>
      <c r="F9" s="146" t="n">
        <f aca="false">G9-I9</f>
        <v>-329.935357142857</v>
      </c>
      <c r="G9" s="147" t="n">
        <f aca="false">$G$4/$G$1</f>
        <v>244.044642857143</v>
      </c>
      <c r="H9" s="148" t="n">
        <f aca="false">I9</f>
        <v>573.98</v>
      </c>
      <c r="I9" s="149" t="n">
        <f aca="false">SUM(J9:Z9)</f>
        <v>573.98</v>
      </c>
      <c r="J9" s="150"/>
      <c r="K9" s="117"/>
      <c r="L9" s="118" t="n">
        <v>44.94</v>
      </c>
      <c r="M9" s="118" t="n">
        <f aca="false">0.89+2.99+1.2</f>
        <v>5.08</v>
      </c>
      <c r="N9" s="152"/>
      <c r="O9" s="120" t="n">
        <f aca="false">20+18</f>
        <v>38</v>
      </c>
      <c r="P9" s="121" t="n">
        <v>458</v>
      </c>
      <c r="Q9" s="122"/>
      <c r="R9" s="123" t="n">
        <f aca="false">14.88</f>
        <v>14.88</v>
      </c>
      <c r="S9" s="153"/>
      <c r="T9" s="153"/>
      <c r="U9" s="123"/>
      <c r="V9" s="154" t="n">
        <v>8.48</v>
      </c>
      <c r="W9" s="137"/>
      <c r="X9" s="155"/>
      <c r="Y9" s="155"/>
      <c r="Z9" s="140" t="n">
        <v>4.6</v>
      </c>
    </row>
    <row r="10" customFormat="false" ht="16.5" hidden="false" customHeight="true" outlineLevel="0" collapsed="false">
      <c r="A10" s="157" t="n">
        <v>2</v>
      </c>
      <c r="B10" s="190" t="n">
        <v>43133</v>
      </c>
      <c r="C10" s="143" t="n">
        <f aca="false">(E10-H10)/E10</f>
        <v>-0.368561080013171</v>
      </c>
      <c r="D10" s="144" t="n">
        <f aca="false">E10-H10</f>
        <v>-179.890714285714</v>
      </c>
      <c r="E10" s="159" t="n">
        <f aca="false">E9+G10</f>
        <v>488.089285714286</v>
      </c>
      <c r="F10" s="146" t="n">
        <f aca="false">G10-I10</f>
        <v>150.044642857143</v>
      </c>
      <c r="G10" s="147" t="n">
        <f aca="false">$G$4/$G$1</f>
        <v>244.044642857143</v>
      </c>
      <c r="H10" s="161" t="n">
        <f aca="false">H9+I10</f>
        <v>667.98</v>
      </c>
      <c r="I10" s="149" t="n">
        <f aca="false">SUM(J10:Z10)</f>
        <v>94</v>
      </c>
      <c r="J10" s="150"/>
      <c r="K10" s="135"/>
      <c r="L10" s="118"/>
      <c r="M10" s="118"/>
      <c r="N10" s="152"/>
      <c r="O10" s="120" t="n">
        <v>46</v>
      </c>
      <c r="P10" s="121"/>
      <c r="Q10" s="122"/>
      <c r="R10" s="123"/>
      <c r="S10" s="153"/>
      <c r="T10" s="153"/>
      <c r="U10" s="123"/>
      <c r="V10" s="154"/>
      <c r="W10" s="137"/>
      <c r="X10" s="155"/>
      <c r="Y10" s="155" t="n">
        <v>48</v>
      </c>
      <c r="Z10" s="140"/>
    </row>
    <row r="11" customFormat="false" ht="16.5" hidden="false" customHeight="true" outlineLevel="0" collapsed="false">
      <c r="A11" s="162" t="n">
        <v>3</v>
      </c>
      <c r="B11" s="191" t="n">
        <v>43134</v>
      </c>
      <c r="C11" s="143" t="n">
        <f aca="false">(E11-H11)/E11</f>
        <v>-0.115984341272455</v>
      </c>
      <c r="D11" s="144" t="n">
        <f aca="false">E11-H11</f>
        <v>-84.9160714285714</v>
      </c>
      <c r="E11" s="164" t="n">
        <f aca="false">E10+G11</f>
        <v>732.133928571429</v>
      </c>
      <c r="F11" s="146" t="n">
        <f aca="false">G11-I11</f>
        <v>94.9746428571429</v>
      </c>
      <c r="G11" s="147" t="n">
        <f aca="false">$G$4/$G$1</f>
        <v>244.044642857143</v>
      </c>
      <c r="H11" s="166" t="n">
        <f aca="false">H10+I11</f>
        <v>817.05</v>
      </c>
      <c r="I11" s="149" t="n">
        <f aca="false">SUM(J11:Z11)</f>
        <v>149.07</v>
      </c>
      <c r="J11" s="150"/>
      <c r="K11" s="117"/>
      <c r="L11" s="118" t="n">
        <f aca="false">3.98+24.76</f>
        <v>28.74</v>
      </c>
      <c r="M11" s="118" t="n">
        <v>11</v>
      </c>
      <c r="N11" s="152" t="n">
        <f aca="false">35.94</f>
        <v>35.94</v>
      </c>
      <c r="O11" s="120"/>
      <c r="P11" s="121"/>
      <c r="Q11" s="122" t="n">
        <f aca="false">12.98</f>
        <v>12.98</v>
      </c>
      <c r="R11" s="123" t="n">
        <f aca="false">13.45+14.98+7.98</f>
        <v>36.41</v>
      </c>
      <c r="S11" s="153"/>
      <c r="T11" s="153"/>
      <c r="U11" s="123"/>
      <c r="V11" s="154"/>
      <c r="W11" s="137"/>
      <c r="X11" s="155"/>
      <c r="Y11" s="155" t="n">
        <v>24</v>
      </c>
      <c r="Z11" s="140"/>
    </row>
    <row r="12" customFormat="false" ht="16.5" hidden="false" customHeight="true" outlineLevel="0" collapsed="false">
      <c r="A12" s="162" t="n">
        <v>4</v>
      </c>
      <c r="B12" s="192" t="n">
        <v>43135</v>
      </c>
      <c r="C12" s="143" t="n">
        <f aca="false">(E12-H12)/E12</f>
        <v>0.0110211100135368</v>
      </c>
      <c r="D12" s="144" t="n">
        <f aca="false">E12-H12</f>
        <v>10.7585714285715</v>
      </c>
      <c r="E12" s="164" t="n">
        <f aca="false">E11+G12</f>
        <v>976.178571428572</v>
      </c>
      <c r="F12" s="146" t="n">
        <f aca="false">G12-I12</f>
        <v>95.6746428571429</v>
      </c>
      <c r="G12" s="147" t="n">
        <f aca="false">$G$4/$G$1</f>
        <v>244.044642857143</v>
      </c>
      <c r="H12" s="166" t="n">
        <f aca="false">H11+I12</f>
        <v>965.42</v>
      </c>
      <c r="I12" s="149" t="n">
        <f aca="false">SUM(J12:Z12)</f>
        <v>148.37</v>
      </c>
      <c r="J12" s="150"/>
      <c r="K12" s="117"/>
      <c r="L12" s="118" t="n">
        <f aca="false">124.37-2.99-9.98</f>
        <v>111.4</v>
      </c>
      <c r="M12" s="118"/>
      <c r="N12" s="152" t="n">
        <f aca="false">2.99+9.98</f>
        <v>12.97</v>
      </c>
      <c r="O12" s="120" t="n">
        <v>24</v>
      </c>
      <c r="P12" s="121"/>
      <c r="Q12" s="122"/>
      <c r="R12" s="123"/>
      <c r="S12" s="153"/>
      <c r="T12" s="153"/>
      <c r="U12" s="123"/>
      <c r="V12" s="154"/>
      <c r="W12" s="137"/>
      <c r="X12" s="155"/>
      <c r="Y12" s="155"/>
      <c r="Z12" s="140"/>
    </row>
    <row r="13" customFormat="false" ht="16.5" hidden="false" customHeight="true" outlineLevel="0" collapsed="false">
      <c r="A13" s="162" t="n">
        <v>5</v>
      </c>
      <c r="B13" s="163" t="n">
        <v>43136</v>
      </c>
      <c r="C13" s="143" t="n">
        <f aca="false">(E13-H13)/E13</f>
        <v>0.0939526579592434</v>
      </c>
      <c r="D13" s="144" t="n">
        <f aca="false">E13-H13</f>
        <v>114.643214285714</v>
      </c>
      <c r="E13" s="164" t="n">
        <f aca="false">E12+G13</f>
        <v>1220.22321428571</v>
      </c>
      <c r="F13" s="146" t="n">
        <f aca="false">G13-I13</f>
        <v>103.884642857143</v>
      </c>
      <c r="G13" s="147" t="n">
        <f aca="false">$G$4/$G$1</f>
        <v>244.044642857143</v>
      </c>
      <c r="H13" s="166" t="n">
        <f aca="false">H12+I13</f>
        <v>1105.58</v>
      </c>
      <c r="I13" s="149" t="n">
        <f aca="false">SUM(J13:Z13)</f>
        <v>140.16</v>
      </c>
      <c r="J13" s="150"/>
      <c r="K13" s="117"/>
      <c r="L13" s="118" t="n">
        <f aca="false">15.96</f>
        <v>15.96</v>
      </c>
      <c r="M13" s="118" t="n">
        <v>1.2</v>
      </c>
      <c r="N13" s="152"/>
      <c r="O13" s="120"/>
      <c r="P13" s="121"/>
      <c r="Q13" s="122"/>
      <c r="R13" s="123"/>
      <c r="S13" s="153"/>
      <c r="T13" s="153"/>
      <c r="U13" s="123"/>
      <c r="V13" s="154"/>
      <c r="W13" s="137"/>
      <c r="X13" s="155"/>
      <c r="Y13" s="155"/>
      <c r="Z13" s="140" t="n">
        <f aca="false">20+103</f>
        <v>123</v>
      </c>
    </row>
    <row r="14" customFormat="false" ht="16.5" hidden="false" customHeight="true" outlineLevel="0" collapsed="false">
      <c r="A14" s="167" t="n">
        <v>6</v>
      </c>
      <c r="B14" s="163" t="n">
        <v>43137</v>
      </c>
      <c r="C14" s="143" t="n">
        <f aca="false">(E14-H14)/E14</f>
        <v>-0.15643459066574</v>
      </c>
      <c r="D14" s="144" t="n">
        <f aca="false">E14-H14</f>
        <v>-229.062142857143</v>
      </c>
      <c r="E14" s="169" t="n">
        <f aca="false">E13+G14</f>
        <v>1464.26785714286</v>
      </c>
      <c r="F14" s="146" t="n">
        <f aca="false">G14-I14</f>
        <v>-343.705357142857</v>
      </c>
      <c r="G14" s="147" t="n">
        <f aca="false">$G$4/$G$1</f>
        <v>244.044642857143</v>
      </c>
      <c r="H14" s="171" t="n">
        <f aca="false">H13+I14</f>
        <v>1693.33</v>
      </c>
      <c r="I14" s="149" t="n">
        <f aca="false">SUM(J14:Z14)</f>
        <v>587.75</v>
      </c>
      <c r="J14" s="150" t="n">
        <v>49</v>
      </c>
      <c r="K14" s="135" t="s">
        <v>85</v>
      </c>
      <c r="L14" s="118" t="n">
        <f aca="false">4.2+32.39-11.98</f>
        <v>24.61</v>
      </c>
      <c r="M14" s="118" t="n">
        <v>2.2</v>
      </c>
      <c r="N14" s="152" t="n">
        <f aca="false">11.98+19.98</f>
        <v>31.96</v>
      </c>
      <c r="O14" s="120" t="n">
        <v>450</v>
      </c>
      <c r="P14" s="121"/>
      <c r="Q14" s="122"/>
      <c r="R14" s="123"/>
      <c r="S14" s="153"/>
      <c r="T14" s="153"/>
      <c r="U14" s="123"/>
      <c r="V14" s="154"/>
      <c r="W14" s="137"/>
      <c r="X14" s="155" t="n">
        <v>29.98</v>
      </c>
      <c r="Y14" s="155"/>
      <c r="Z14" s="140"/>
    </row>
    <row r="15" customFormat="false" ht="23.25" hidden="false" customHeight="true" outlineLevel="0" collapsed="false">
      <c r="A15" s="141" t="n">
        <v>7</v>
      </c>
      <c r="B15" s="163" t="n">
        <v>43138</v>
      </c>
      <c r="C15" s="143" t="n">
        <f aca="false">(E15-H15)/E15</f>
        <v>-0.00738594373102101</v>
      </c>
      <c r="D15" s="144" t="n">
        <f aca="false">E15-H15</f>
        <v>-12.6174999999998</v>
      </c>
      <c r="E15" s="145" t="n">
        <f aca="false">E14+G15</f>
        <v>1708.3125</v>
      </c>
      <c r="F15" s="146" t="n">
        <f aca="false">G15-I15</f>
        <v>216.444642857143</v>
      </c>
      <c r="G15" s="147" t="n">
        <f aca="false">$G$4/$G$1</f>
        <v>244.044642857143</v>
      </c>
      <c r="H15" s="148" t="n">
        <f aca="false">H14+I15</f>
        <v>1720.93</v>
      </c>
      <c r="I15" s="149" t="n">
        <f aca="false">SUM(J15:Z15)</f>
        <v>27.6</v>
      </c>
      <c r="J15" s="150"/>
      <c r="K15" s="117"/>
      <c r="L15" s="118" t="n">
        <f aca="false">3.99+20.21</f>
        <v>24.2</v>
      </c>
      <c r="M15" s="118" t="n">
        <f aca="false">2.2+1.2</f>
        <v>3.4</v>
      </c>
      <c r="N15" s="152"/>
      <c r="O15" s="120"/>
      <c r="P15" s="121"/>
      <c r="Q15" s="122"/>
      <c r="R15" s="123"/>
      <c r="S15" s="153"/>
      <c r="T15" s="153"/>
      <c r="U15" s="123"/>
      <c r="V15" s="154"/>
      <c r="W15" s="137"/>
      <c r="X15" s="155"/>
      <c r="Y15" s="155"/>
      <c r="Z15" s="140"/>
    </row>
    <row r="16" customFormat="false" ht="16.5" hidden="false" customHeight="true" outlineLevel="0" collapsed="false">
      <c r="A16" s="157" t="n">
        <v>8</v>
      </c>
      <c r="B16" s="163" t="n">
        <v>43139</v>
      </c>
      <c r="C16" s="143" t="n">
        <f aca="false">(E16-H16)/E16</f>
        <v>-0.333116745326162</v>
      </c>
      <c r="D16" s="144" t="n">
        <f aca="false">E16-H16</f>
        <v>-650.362857142857</v>
      </c>
      <c r="E16" s="159" t="n">
        <f aca="false">E15+G16</f>
        <v>1952.35714285714</v>
      </c>
      <c r="F16" s="146" t="n">
        <f aca="false">G16-I16</f>
        <v>-637.745357142857</v>
      </c>
      <c r="G16" s="147" t="n">
        <f aca="false">$G$4/$G$1</f>
        <v>244.044642857143</v>
      </c>
      <c r="H16" s="161" t="n">
        <f aca="false">H15+I16</f>
        <v>2602.72</v>
      </c>
      <c r="I16" s="149" t="n">
        <f aca="false">SUM(J16:Z16)</f>
        <v>881.79</v>
      </c>
      <c r="J16" s="150" t="n">
        <v>607.4</v>
      </c>
      <c r="K16" s="135" t="s">
        <v>86</v>
      </c>
      <c r="L16" s="118" t="n">
        <f aca="false">92.39+2-7.99</f>
        <v>86.4</v>
      </c>
      <c r="M16" s="118"/>
      <c r="N16" s="152" t="n">
        <f aca="false">7.99</f>
        <v>7.99</v>
      </c>
      <c r="O16" s="120"/>
      <c r="P16" s="121"/>
      <c r="Q16" s="122"/>
      <c r="R16" s="123"/>
      <c r="S16" s="153"/>
      <c r="T16" s="153"/>
      <c r="U16" s="123"/>
      <c r="V16" s="154" t="n">
        <v>180</v>
      </c>
      <c r="W16" s="137"/>
      <c r="X16" s="155"/>
      <c r="Y16" s="155"/>
      <c r="Z16" s="140"/>
    </row>
    <row r="17" customFormat="false" ht="16.5" hidden="false" customHeight="true" outlineLevel="0" collapsed="false">
      <c r="A17" s="162" t="n">
        <v>9</v>
      </c>
      <c r="B17" s="163" t="n">
        <v>43140</v>
      </c>
      <c r="C17" s="143" t="n">
        <f aca="false">(E17-H17)/E17</f>
        <v>-0.452038520794969</v>
      </c>
      <c r="D17" s="144" t="n">
        <f aca="false">E17-H17</f>
        <v>-992.858214285714</v>
      </c>
      <c r="E17" s="164" t="n">
        <f aca="false">E16+G17</f>
        <v>2196.40178571429</v>
      </c>
      <c r="F17" s="146" t="n">
        <f aca="false">G17-I17</f>
        <v>-342.495357142857</v>
      </c>
      <c r="G17" s="147" t="n">
        <f aca="false">$G$4/$G$1</f>
        <v>244.044642857143</v>
      </c>
      <c r="H17" s="166" t="n">
        <f aca="false">H16+I17</f>
        <v>3189.26</v>
      </c>
      <c r="I17" s="149" t="n">
        <f aca="false">SUM(J17:Z17)</f>
        <v>586.54</v>
      </c>
      <c r="J17" s="150" t="n">
        <v>545.07</v>
      </c>
      <c r="K17" s="135" t="s">
        <v>87</v>
      </c>
      <c r="L17" s="118" t="n">
        <f aca="false">1.49+1.29+4.75</f>
        <v>7.53</v>
      </c>
      <c r="M17" s="118" t="n">
        <v>4</v>
      </c>
      <c r="N17" s="152"/>
      <c r="O17" s="120" t="n">
        <v>18</v>
      </c>
      <c r="P17" s="121"/>
      <c r="Q17" s="122"/>
      <c r="R17" s="123"/>
      <c r="S17" s="153"/>
      <c r="T17" s="153"/>
      <c r="U17" s="123"/>
      <c r="V17" s="154"/>
      <c r="W17" s="137"/>
      <c r="X17" s="155"/>
      <c r="Y17" s="155" t="n">
        <f aca="false">19.47-4.75-1.49-1.29</f>
        <v>11.94</v>
      </c>
      <c r="Z17" s="140"/>
    </row>
    <row r="18" customFormat="false" ht="16.5" hidden="false" customHeight="true" outlineLevel="0" collapsed="false">
      <c r="A18" s="162" t="n">
        <v>10</v>
      </c>
      <c r="B18" s="193" t="n">
        <v>43141</v>
      </c>
      <c r="C18" s="143" t="n">
        <f aca="false">(E18-H18)/E18</f>
        <v>-0.558391102330516</v>
      </c>
      <c r="D18" s="144" t="n">
        <f aca="false">E18-H18</f>
        <v>-1362.72357142857</v>
      </c>
      <c r="E18" s="164" t="n">
        <f aca="false">E17+G18</f>
        <v>2440.44642857143</v>
      </c>
      <c r="F18" s="146" t="n">
        <f aca="false">G18-I18</f>
        <v>-369.865357142857</v>
      </c>
      <c r="G18" s="147" t="n">
        <f aca="false">$G$4/$G$1</f>
        <v>244.044642857143</v>
      </c>
      <c r="H18" s="166" t="n">
        <f aca="false">H17+I18</f>
        <v>3803.17</v>
      </c>
      <c r="I18" s="149" t="n">
        <f aca="false">SUM(J18:Z18)</f>
        <v>613.91</v>
      </c>
      <c r="J18" s="150"/>
      <c r="K18" s="117"/>
      <c r="L18" s="118" t="n">
        <f aca="false">19.84+6.87+52.69+68+63.27</f>
        <v>210.67</v>
      </c>
      <c r="M18" s="118" t="n">
        <f aca="false">129.5-70</f>
        <v>59.5</v>
      </c>
      <c r="N18" s="152"/>
      <c r="O18" s="120" t="n">
        <v>18</v>
      </c>
      <c r="P18" s="121"/>
      <c r="Q18" s="122"/>
      <c r="R18" s="123"/>
      <c r="S18" s="153" t="n">
        <f aca="false">236.4-100</f>
        <v>136.4</v>
      </c>
      <c r="T18" s="153" t="n">
        <f aca="false">10+10+20.36</f>
        <v>40.36</v>
      </c>
      <c r="U18" s="123"/>
      <c r="V18" s="154"/>
      <c r="W18" s="137"/>
      <c r="X18" s="155" t="n">
        <f aca="false">49.99+59.99</f>
        <v>109.98</v>
      </c>
      <c r="Y18" s="155" t="n">
        <v>39</v>
      </c>
      <c r="Z18" s="140"/>
    </row>
    <row r="19" customFormat="false" ht="16.5" hidden="false" customHeight="true" outlineLevel="0" collapsed="false">
      <c r="A19" s="162" t="n">
        <v>11</v>
      </c>
      <c r="B19" s="192" t="n">
        <v>43142</v>
      </c>
      <c r="C19" s="143" t="n">
        <f aca="false">(E19-H19)/E19</f>
        <v>-0.703939360679565</v>
      </c>
      <c r="D19" s="144" t="n">
        <f aca="false">E19-H19</f>
        <v>-1889.71892857143</v>
      </c>
      <c r="E19" s="164" t="n">
        <f aca="false">E18+G19</f>
        <v>2684.49107142857</v>
      </c>
      <c r="F19" s="146" t="n">
        <f aca="false">G19-I19</f>
        <v>-526.995357142857</v>
      </c>
      <c r="G19" s="147" t="n">
        <f aca="false">$G$4/$G$1</f>
        <v>244.044642857143</v>
      </c>
      <c r="H19" s="166" t="n">
        <f aca="false">H18+I19</f>
        <v>4574.21</v>
      </c>
      <c r="I19" s="149" t="n">
        <f aca="false">SUM(J19:Z19)</f>
        <v>771.04</v>
      </c>
      <c r="J19" s="150" t="n">
        <v>76.7</v>
      </c>
      <c r="K19" s="135" t="s">
        <v>88</v>
      </c>
      <c r="L19" s="118" t="n">
        <f aca="false">6.29+31.6+45.16-8.99-18.99+6.29</f>
        <v>61.36</v>
      </c>
      <c r="M19" s="118"/>
      <c r="N19" s="152" t="n">
        <v>18.99</v>
      </c>
      <c r="O19" s="120" t="n">
        <v>500</v>
      </c>
      <c r="P19" s="121"/>
      <c r="Q19" s="122" t="n">
        <v>8.99</v>
      </c>
      <c r="R19" s="123"/>
      <c r="S19" s="153"/>
      <c r="T19" s="153"/>
      <c r="U19" s="123"/>
      <c r="V19" s="154"/>
      <c r="W19" s="137" t="n">
        <v>105</v>
      </c>
      <c r="X19" s="155"/>
      <c r="Y19" s="155"/>
      <c r="Z19" s="140"/>
    </row>
    <row r="20" customFormat="false" ht="15.75" hidden="false" customHeight="true" outlineLevel="0" collapsed="false">
      <c r="A20" s="162" t="n">
        <v>12</v>
      </c>
      <c r="B20" s="163" t="n">
        <v>43143</v>
      </c>
      <c r="C20" s="143" t="n">
        <f aca="false">(E20-H20)/E20</f>
        <v>-0.593731630873548</v>
      </c>
      <c r="D20" s="144" t="n">
        <f aca="false">E20-H20</f>
        <v>-1738.76428571429</v>
      </c>
      <c r="E20" s="164" t="n">
        <f aca="false">E19+G20</f>
        <v>2928.53571428571</v>
      </c>
      <c r="F20" s="146" t="n">
        <f aca="false">G20-I20</f>
        <v>150.954642857143</v>
      </c>
      <c r="G20" s="147" t="n">
        <f aca="false">$G$4/$G$1</f>
        <v>244.044642857143</v>
      </c>
      <c r="H20" s="166" t="n">
        <f aca="false">H19+I20</f>
        <v>4667.3</v>
      </c>
      <c r="I20" s="149" t="n">
        <f aca="false">SUM(J20:Z20)</f>
        <v>93.09</v>
      </c>
      <c r="J20" s="150"/>
      <c r="K20" s="117"/>
      <c r="L20" s="118" t="n">
        <f aca="false">54.51-X20</f>
        <v>13.51</v>
      </c>
      <c r="M20" s="118" t="n">
        <f aca="false">12.1+6.5</f>
        <v>18.6</v>
      </c>
      <c r="N20" s="152"/>
      <c r="O20" s="120"/>
      <c r="P20" s="121" t="n">
        <f aca="false">19.98</f>
        <v>19.98</v>
      </c>
      <c r="Q20" s="122"/>
      <c r="R20" s="123"/>
      <c r="S20" s="153"/>
      <c r="T20" s="153"/>
      <c r="U20" s="123"/>
      <c r="V20" s="154"/>
      <c r="W20" s="137"/>
      <c r="X20" s="155" t="n">
        <f aca="false">3.29+3.79+3.99+4.99+3.29+3.99+3.29+4.49+5.39+4.49</f>
        <v>41</v>
      </c>
      <c r="Y20" s="155"/>
      <c r="Z20" s="140"/>
    </row>
    <row r="21" customFormat="false" ht="16.5" hidden="false" customHeight="true" outlineLevel="0" collapsed="false">
      <c r="A21" s="167" t="n">
        <v>13</v>
      </c>
      <c r="B21" s="163" t="n">
        <v>43144</v>
      </c>
      <c r="C21" s="143" t="n">
        <f aca="false">(E21-H21)/E21</f>
        <v>-0.515123167543319</v>
      </c>
      <c r="D21" s="144" t="n">
        <f aca="false">E21-H21</f>
        <v>-1634.26964285714</v>
      </c>
      <c r="E21" s="169" t="n">
        <f aca="false">E20+G21</f>
        <v>3172.58035714286</v>
      </c>
      <c r="F21" s="146" t="n">
        <f aca="false">G21-I21</f>
        <v>104.494642857143</v>
      </c>
      <c r="G21" s="147" t="n">
        <f aca="false">$G$4/$G$1</f>
        <v>244.044642857143</v>
      </c>
      <c r="H21" s="171" t="n">
        <f aca="false">H20+I21</f>
        <v>4806.85</v>
      </c>
      <c r="I21" s="149" t="n">
        <f aca="false">SUM(J21:Z21)</f>
        <v>139.55</v>
      </c>
      <c r="J21" s="150"/>
      <c r="K21" s="135"/>
      <c r="L21" s="118" t="n">
        <f aca="false">4.57</f>
        <v>4.57</v>
      </c>
      <c r="M21" s="118"/>
      <c r="N21" s="152"/>
      <c r="O21" s="120" t="n">
        <v>70</v>
      </c>
      <c r="P21" s="121"/>
      <c r="Q21" s="122"/>
      <c r="R21" s="123"/>
      <c r="S21" s="153"/>
      <c r="T21" s="153"/>
      <c r="U21" s="123" t="n">
        <f aca="false">64.98</f>
        <v>64.98</v>
      </c>
      <c r="V21" s="154"/>
      <c r="W21" s="137"/>
      <c r="X21" s="155"/>
      <c r="Y21" s="155"/>
      <c r="Z21" s="140"/>
    </row>
    <row r="22" customFormat="false" ht="16.5" hidden="false" customHeight="true" outlineLevel="0" collapsed="false">
      <c r="A22" s="141" t="n">
        <v>14</v>
      </c>
      <c r="B22" s="163" t="n">
        <v>43145</v>
      </c>
      <c r="C22" s="143" t="n">
        <f aca="false">(E22-H22)/E22</f>
        <v>-0.434052610397688</v>
      </c>
      <c r="D22" s="144" t="n">
        <f aca="false">E22-H22</f>
        <v>-1482.995</v>
      </c>
      <c r="E22" s="145" t="n">
        <f aca="false">E21+G22</f>
        <v>3416.625</v>
      </c>
      <c r="F22" s="146" t="n">
        <f aca="false">G22-I22</f>
        <v>151.274642857143</v>
      </c>
      <c r="G22" s="147" t="n">
        <f aca="false">$G$4/$G$1</f>
        <v>244.044642857143</v>
      </c>
      <c r="H22" s="148" t="n">
        <f aca="false">H21+I22</f>
        <v>4899.62</v>
      </c>
      <c r="I22" s="149" t="n">
        <f aca="false">SUM(J22:Z22)</f>
        <v>92.77</v>
      </c>
      <c r="J22" s="150" t="n">
        <v>49</v>
      </c>
      <c r="K22" s="135" t="s">
        <v>89</v>
      </c>
      <c r="L22" s="118" t="n">
        <f aca="false">1.29+1.99+1.47+10.75</f>
        <v>15.5</v>
      </c>
      <c r="M22" s="118"/>
      <c r="N22" s="152" t="n">
        <f aca="false">11.28</f>
        <v>11.28</v>
      </c>
      <c r="O22" s="120"/>
      <c r="P22" s="121"/>
      <c r="Q22" s="122"/>
      <c r="R22" s="123"/>
      <c r="S22" s="153"/>
      <c r="T22" s="153"/>
      <c r="U22" s="123"/>
      <c r="V22" s="154"/>
      <c r="W22" s="137"/>
      <c r="X22" s="155" t="n">
        <f aca="false">16.99</f>
        <v>16.99</v>
      </c>
      <c r="Y22" s="155"/>
      <c r="Z22" s="140"/>
    </row>
    <row r="23" customFormat="false" ht="16.5" hidden="false" customHeight="true" outlineLevel="0" collapsed="false">
      <c r="A23" s="157" t="n">
        <v>15</v>
      </c>
      <c r="B23" s="163" t="n">
        <v>43146</v>
      </c>
      <c r="C23" s="143" t="n">
        <f aca="false">(E23-H23)/E23</f>
        <v>-0.437436456542154</v>
      </c>
      <c r="D23" s="144" t="n">
        <f aca="false">E23-H23</f>
        <v>-1601.31035714286</v>
      </c>
      <c r="E23" s="159" t="n">
        <f aca="false">E22+G23</f>
        <v>3660.66964285714</v>
      </c>
      <c r="F23" s="146" t="n">
        <f aca="false">G23-I23</f>
        <v>-118.315357142857</v>
      </c>
      <c r="G23" s="147" t="n">
        <f aca="false">$G$4/$G$1</f>
        <v>244.044642857143</v>
      </c>
      <c r="H23" s="161" t="n">
        <f aca="false">H22+I23</f>
        <v>5261.98</v>
      </c>
      <c r="I23" s="149" t="n">
        <f aca="false">SUM(J23:Z23)</f>
        <v>362.36</v>
      </c>
      <c r="J23" s="150"/>
      <c r="K23" s="117"/>
      <c r="L23" s="118" t="n">
        <f aca="false">100.36</f>
        <v>100.36</v>
      </c>
      <c r="M23" s="118"/>
      <c r="N23" s="152"/>
      <c r="O23" s="120"/>
      <c r="P23" s="121"/>
      <c r="Q23" s="122"/>
      <c r="R23" s="123"/>
      <c r="S23" s="153"/>
      <c r="T23" s="153"/>
      <c r="U23" s="123"/>
      <c r="V23" s="154" t="n">
        <v>100</v>
      </c>
      <c r="W23" s="137" t="n">
        <v>162</v>
      </c>
      <c r="X23" s="155"/>
      <c r="Y23" s="155"/>
      <c r="Z23" s="140"/>
    </row>
    <row r="24" customFormat="false" ht="16.5" hidden="false" customHeight="true" outlineLevel="0" collapsed="false">
      <c r="A24" s="162" t="n">
        <v>16</v>
      </c>
      <c r="B24" s="163" t="n">
        <v>43147</v>
      </c>
      <c r="C24" s="143" t="n">
        <f aca="false">(E24-H24)/E24</f>
        <v>-0.364307247649362</v>
      </c>
      <c r="D24" s="144" t="n">
        <f aca="false">E24-H24</f>
        <v>-1422.51571428572</v>
      </c>
      <c r="E24" s="164" t="n">
        <f aca="false">E23+G24</f>
        <v>3904.71428571428</v>
      </c>
      <c r="F24" s="146" t="n">
        <f aca="false">G24-I24</f>
        <v>178.794642857143</v>
      </c>
      <c r="G24" s="147" t="n">
        <f aca="false">$G$4/$G$1</f>
        <v>244.044642857143</v>
      </c>
      <c r="H24" s="166" t="n">
        <f aca="false">H23+I24</f>
        <v>5327.23</v>
      </c>
      <c r="I24" s="149" t="n">
        <f aca="false">SUM(J24:Z24)</f>
        <v>65.25</v>
      </c>
      <c r="J24" s="150"/>
      <c r="K24" s="117"/>
      <c r="L24" s="118" t="n">
        <f aca="false">38.79+6.49+1.99</f>
        <v>47.27</v>
      </c>
      <c r="M24" s="118" t="n">
        <f aca="false">10</f>
        <v>10</v>
      </c>
      <c r="N24" s="152" t="n">
        <f aca="false">3.99+3.99</f>
        <v>7.98</v>
      </c>
      <c r="O24" s="120"/>
      <c r="P24" s="121"/>
      <c r="Q24" s="122"/>
      <c r="R24" s="123"/>
      <c r="S24" s="153"/>
      <c r="T24" s="153"/>
      <c r="U24" s="123"/>
      <c r="V24" s="154"/>
      <c r="W24" s="137"/>
      <c r="X24" s="155"/>
      <c r="Y24" s="155"/>
      <c r="Z24" s="140"/>
    </row>
    <row r="25" customFormat="false" ht="16.5" hidden="false" customHeight="true" outlineLevel="0" collapsed="false">
      <c r="A25" s="162" t="n">
        <v>17</v>
      </c>
      <c r="B25" s="193" t="n">
        <v>43148</v>
      </c>
      <c r="C25" s="143" t="n">
        <f aca="false">(E25-H25)/E25</f>
        <v>-0.292085197595667</v>
      </c>
      <c r="D25" s="144" t="n">
        <f aca="false">E25-H25</f>
        <v>-1211.79107142857</v>
      </c>
      <c r="E25" s="164" t="n">
        <f aca="false">E24+G25</f>
        <v>4148.75892857143</v>
      </c>
      <c r="F25" s="146" t="n">
        <f aca="false">G25-I25</f>
        <v>210.724642857143</v>
      </c>
      <c r="G25" s="147" t="n">
        <f aca="false">$G$4/$G$1</f>
        <v>244.044642857143</v>
      </c>
      <c r="H25" s="166" t="n">
        <f aca="false">H24+I25</f>
        <v>5360.55</v>
      </c>
      <c r="I25" s="149" t="n">
        <f aca="false">SUM(J25:Z25)</f>
        <v>33.32</v>
      </c>
      <c r="J25" s="150"/>
      <c r="K25" s="117"/>
      <c r="L25" s="118" t="n">
        <f aca="false">3.49+1.29</f>
        <v>4.78</v>
      </c>
      <c r="M25" s="118"/>
      <c r="N25" s="152"/>
      <c r="O25" s="120"/>
      <c r="P25" s="121"/>
      <c r="Q25" s="122"/>
      <c r="R25" s="123"/>
      <c r="S25" s="153"/>
      <c r="T25" s="153"/>
      <c r="U25" s="123"/>
      <c r="V25" s="154"/>
      <c r="W25" s="137" t="n">
        <f aca="false">10</f>
        <v>10</v>
      </c>
      <c r="X25" s="155"/>
      <c r="Y25" s="155" t="n">
        <v>18.54</v>
      </c>
      <c r="Z25" s="140"/>
    </row>
    <row r="26" customFormat="false" ht="16.5" hidden="false" customHeight="true" outlineLevel="0" collapsed="false">
      <c r="A26" s="162" t="n">
        <v>18</v>
      </c>
      <c r="B26" s="192" t="n">
        <v>43149</v>
      </c>
      <c r="C26" s="143" t="n">
        <f aca="false">(E26-H26)/E26</f>
        <v>-0.254164888189694</v>
      </c>
      <c r="D26" s="144" t="n">
        <f aca="false">E26-H26</f>
        <v>-1116.49642857143</v>
      </c>
      <c r="E26" s="164" t="n">
        <f aca="false">E25+G26</f>
        <v>4392.80357142857</v>
      </c>
      <c r="F26" s="146" t="n">
        <f aca="false">G26-I26</f>
        <v>95.2946428571429</v>
      </c>
      <c r="G26" s="147" t="n">
        <f aca="false">$G$4/$G$1</f>
        <v>244.044642857143</v>
      </c>
      <c r="H26" s="166" t="n">
        <f aca="false">H25+I26</f>
        <v>5509.3</v>
      </c>
      <c r="I26" s="149" t="n">
        <f aca="false">SUM(J26:Z26)</f>
        <v>148.75</v>
      </c>
      <c r="J26" s="150" t="n">
        <v>48.16</v>
      </c>
      <c r="K26" s="117" t="s">
        <v>90</v>
      </c>
      <c r="L26" s="118" t="n">
        <f aca="false">44.34-14.98+16.1+36.15</f>
        <v>81.61</v>
      </c>
      <c r="M26" s="118"/>
      <c r="N26" s="152"/>
      <c r="O26" s="120"/>
      <c r="P26" s="121"/>
      <c r="Q26" s="122"/>
      <c r="R26" s="123"/>
      <c r="S26" s="153"/>
      <c r="T26" s="153" t="n">
        <f aca="false">14.98</f>
        <v>14.98</v>
      </c>
      <c r="U26" s="123"/>
      <c r="V26" s="154"/>
      <c r="W26" s="137"/>
      <c r="X26" s="155"/>
      <c r="Y26" s="155"/>
      <c r="Z26" s="140" t="n">
        <v>4</v>
      </c>
    </row>
    <row r="27" customFormat="false" ht="16.5" hidden="false" customHeight="true" outlineLevel="0" collapsed="false">
      <c r="A27" s="162" t="n">
        <v>19</v>
      </c>
      <c r="B27" s="163" t="n">
        <v>43150</v>
      </c>
      <c r="C27" s="143" t="n">
        <f aca="false">(E27-H27)/E27</f>
        <v>-0.196357901668891</v>
      </c>
      <c r="D27" s="144" t="n">
        <f aca="false">E27-H27</f>
        <v>-910.481785714286</v>
      </c>
      <c r="E27" s="164" t="n">
        <f aca="false">E26+G27</f>
        <v>4636.84821428571</v>
      </c>
      <c r="F27" s="146" t="n">
        <f aca="false">G27-I27</f>
        <v>206.014642857143</v>
      </c>
      <c r="G27" s="147" t="n">
        <f aca="false">$G$4/$G$1</f>
        <v>244.044642857143</v>
      </c>
      <c r="H27" s="166" t="n">
        <f aca="false">H26+I27</f>
        <v>5547.33</v>
      </c>
      <c r="I27" s="149" t="n">
        <f aca="false">SUM(J27:Z27)</f>
        <v>38.03</v>
      </c>
      <c r="J27" s="150"/>
      <c r="K27" s="117"/>
      <c r="L27" s="118" t="n">
        <f aca="false">31.04+6.99</f>
        <v>38.03</v>
      </c>
      <c r="M27" s="118"/>
      <c r="N27" s="152"/>
      <c r="O27" s="120"/>
      <c r="P27" s="121"/>
      <c r="Q27" s="122"/>
      <c r="R27" s="123"/>
      <c r="S27" s="173"/>
      <c r="T27" s="153"/>
      <c r="U27" s="123"/>
      <c r="V27" s="154"/>
      <c r="W27" s="137"/>
      <c r="X27" s="155"/>
      <c r="Y27" s="155"/>
      <c r="Z27" s="140"/>
    </row>
    <row r="28" customFormat="false" ht="16.5" hidden="false" customHeight="true" outlineLevel="0" collapsed="false">
      <c r="A28" s="167" t="n">
        <v>20</v>
      </c>
      <c r="B28" s="163" t="n">
        <v>43151</v>
      </c>
      <c r="C28" s="143" t="n">
        <f aca="false">(E28-H28)/E28</f>
        <v>-0.209620897815827</v>
      </c>
      <c r="D28" s="144" t="n">
        <f aca="false">E28-H28</f>
        <v>-1023.13714285714</v>
      </c>
      <c r="E28" s="169" t="n">
        <f aca="false">E27+G28</f>
        <v>4880.89285714286</v>
      </c>
      <c r="F28" s="146" t="n">
        <f aca="false">G28-I28</f>
        <v>-112.655357142857</v>
      </c>
      <c r="G28" s="147" t="n">
        <f aca="false">$G$4/$G$1</f>
        <v>244.044642857143</v>
      </c>
      <c r="H28" s="171" t="n">
        <f aca="false">H27+I28</f>
        <v>5904.03</v>
      </c>
      <c r="I28" s="149" t="n">
        <f aca="false">SUM(J28:Z28)</f>
        <v>356.7</v>
      </c>
      <c r="J28" s="150" t="n">
        <v>13</v>
      </c>
      <c r="K28" s="135" t="s">
        <v>91</v>
      </c>
      <c r="L28" s="118" t="n">
        <f aca="false">8.13+29.28-9.99+3.88+3.78+11.5</f>
        <v>46.58</v>
      </c>
      <c r="M28" s="118" t="n">
        <f aca="false">1.7</f>
        <v>1.7</v>
      </c>
      <c r="N28" s="152" t="n">
        <f aca="false">6.99+7.99</f>
        <v>14.98</v>
      </c>
      <c r="O28" s="120"/>
      <c r="P28" s="121"/>
      <c r="Q28" s="122"/>
      <c r="R28" s="154"/>
      <c r="S28" s="174"/>
      <c r="T28" s="175"/>
      <c r="U28" s="123"/>
      <c r="V28" s="154"/>
      <c r="W28" s="137" t="n">
        <f aca="false">9.99+19.99+3.99+6.99+12.49</f>
        <v>53.45</v>
      </c>
      <c r="X28" s="155" t="n">
        <f aca="false">26.99</f>
        <v>26.99</v>
      </c>
      <c r="Y28" s="155"/>
      <c r="Z28" s="140" t="n">
        <v>200</v>
      </c>
    </row>
    <row r="29" customFormat="false" ht="17.25" hidden="false" customHeight="true" outlineLevel="0" collapsed="false">
      <c r="A29" s="141" t="n">
        <v>21</v>
      </c>
      <c r="B29" s="163" t="n">
        <v>43152</v>
      </c>
      <c r="C29" s="143" t="n">
        <f aca="false">(E29-H29)/E29</f>
        <v>-0.152351614044074</v>
      </c>
      <c r="D29" s="144" t="n">
        <f aca="false">E29-H29</f>
        <v>-780.7925</v>
      </c>
      <c r="E29" s="145" t="n">
        <f aca="false">E28+G29</f>
        <v>5124.9375</v>
      </c>
      <c r="F29" s="146" t="n">
        <f aca="false">G29-I29</f>
        <v>242.344642857143</v>
      </c>
      <c r="G29" s="147" t="n">
        <f aca="false">$G$4/$G$1</f>
        <v>244.044642857143</v>
      </c>
      <c r="H29" s="148" t="n">
        <f aca="false">H28+I29</f>
        <v>5905.73</v>
      </c>
      <c r="I29" s="149" t="n">
        <f aca="false">SUM(J29:Z29)</f>
        <v>1.7</v>
      </c>
      <c r="J29" s="150"/>
      <c r="K29" s="117"/>
      <c r="L29" s="118"/>
      <c r="M29" s="118" t="n">
        <f aca="false">1.7</f>
        <v>1.7</v>
      </c>
      <c r="N29" s="152"/>
      <c r="O29" s="120"/>
      <c r="P29" s="121"/>
      <c r="Q29" s="122"/>
      <c r="R29" s="123"/>
      <c r="S29" s="176"/>
      <c r="T29" s="153"/>
      <c r="U29" s="123"/>
      <c r="V29" s="154"/>
      <c r="W29" s="137"/>
      <c r="X29" s="155"/>
      <c r="Y29" s="155"/>
      <c r="Z29" s="140"/>
    </row>
    <row r="30" customFormat="false" ht="16.5" hidden="false" customHeight="true" outlineLevel="0" collapsed="false">
      <c r="A30" s="157" t="n">
        <v>22</v>
      </c>
      <c r="B30" s="163" t="n">
        <v>43153</v>
      </c>
      <c r="C30" s="143" t="n">
        <f aca="false">(E30-H30)/E30</f>
        <v>-0.119474760778679</v>
      </c>
      <c r="D30" s="144" t="n">
        <f aca="false">E30-H30</f>
        <v>-641.457857142856</v>
      </c>
      <c r="E30" s="159" t="n">
        <f aca="false">E29+G30</f>
        <v>5368.98214285714</v>
      </c>
      <c r="F30" s="146" t="n">
        <f aca="false">G30-I30</f>
        <v>139.334642857143</v>
      </c>
      <c r="G30" s="147" t="n">
        <f aca="false">$G$4/$G$1</f>
        <v>244.044642857143</v>
      </c>
      <c r="H30" s="161" t="n">
        <f aca="false">H29+I30</f>
        <v>6010.44</v>
      </c>
      <c r="I30" s="149" t="n">
        <f aca="false">SUM(J30:Z30)</f>
        <v>104.71</v>
      </c>
      <c r="J30" s="150"/>
      <c r="K30" s="117"/>
      <c r="L30" s="118" t="n">
        <f aca="false">29.25+51.57-26.99</f>
        <v>53.83</v>
      </c>
      <c r="M30" s="118" t="n">
        <f aca="false">1.2</f>
        <v>1.2</v>
      </c>
      <c r="N30" s="152" t="n">
        <f aca="false">31.68</f>
        <v>31.68</v>
      </c>
      <c r="O30" s="120"/>
      <c r="P30" s="121"/>
      <c r="Q30" s="122"/>
      <c r="R30" s="123"/>
      <c r="S30" s="153"/>
      <c r="T30" s="153"/>
      <c r="U30" s="123"/>
      <c r="V30" s="154"/>
      <c r="W30" s="137"/>
      <c r="X30" s="155"/>
      <c r="Y30" s="155"/>
      <c r="Z30" s="140" t="n">
        <v>18</v>
      </c>
    </row>
    <row r="31" customFormat="false" ht="16.5" hidden="false" customHeight="true" outlineLevel="0" collapsed="false">
      <c r="A31" s="162" t="n">
        <v>23</v>
      </c>
      <c r="B31" s="163" t="n">
        <v>43154</v>
      </c>
      <c r="C31" s="143" t="n">
        <f aca="false">(E31-H31)/E31</f>
        <v>-0.128072293564555</v>
      </c>
      <c r="D31" s="144" t="n">
        <f aca="false">E31-H31</f>
        <v>-718.873214285713</v>
      </c>
      <c r="E31" s="164" t="n">
        <f aca="false">E30+G31</f>
        <v>5613.02678571429</v>
      </c>
      <c r="F31" s="146" t="n">
        <f aca="false">G31-I31</f>
        <v>-77.4153571428572</v>
      </c>
      <c r="G31" s="147" t="n">
        <f aca="false">$G$4/$G$1</f>
        <v>244.044642857143</v>
      </c>
      <c r="H31" s="166" t="n">
        <f aca="false">H30+I31</f>
        <v>6331.9</v>
      </c>
      <c r="I31" s="149" t="n">
        <f aca="false">SUM(J31:Z31)</f>
        <v>321.46</v>
      </c>
      <c r="J31" s="150"/>
      <c r="K31" s="117"/>
      <c r="L31" s="118" t="n">
        <f aca="false">10.47+80.76+6.99</f>
        <v>98.22</v>
      </c>
      <c r="M31" s="118"/>
      <c r="N31" s="152"/>
      <c r="O31" s="120"/>
      <c r="P31" s="121"/>
      <c r="Q31" s="122"/>
      <c r="R31" s="123"/>
      <c r="S31" s="153" t="n">
        <v>223.24</v>
      </c>
      <c r="T31" s="153"/>
      <c r="U31" s="123"/>
      <c r="V31" s="154"/>
      <c r="W31" s="137"/>
      <c r="X31" s="155"/>
      <c r="Y31" s="155"/>
      <c r="Z31" s="140"/>
    </row>
    <row r="32" customFormat="false" ht="16.5" hidden="false" customHeight="true" outlineLevel="0" collapsed="false">
      <c r="A32" s="162" t="n">
        <v>24</v>
      </c>
      <c r="B32" s="193" t="n">
        <v>43155</v>
      </c>
      <c r="C32" s="143" t="n">
        <f aca="false">(E32-H32)/E32</f>
        <v>-0.0857303137843143</v>
      </c>
      <c r="D32" s="144" t="n">
        <f aca="false">E32-H32</f>
        <v>-502.128571428571</v>
      </c>
      <c r="E32" s="164" t="n">
        <f aca="false">E31+G32</f>
        <v>5857.07142857143</v>
      </c>
      <c r="F32" s="146" t="n">
        <f aca="false">G32-I32</f>
        <v>216.744642857143</v>
      </c>
      <c r="G32" s="147" t="n">
        <f aca="false">$G$4/$G$1</f>
        <v>244.044642857143</v>
      </c>
      <c r="H32" s="166" t="n">
        <f aca="false">H31+I32</f>
        <v>6359.2</v>
      </c>
      <c r="I32" s="149" t="n">
        <f aca="false">SUM(J32:Z32)</f>
        <v>27.3</v>
      </c>
      <c r="J32" s="150"/>
      <c r="K32" s="117"/>
      <c r="L32" s="118" t="n">
        <f aca="false">17.3</f>
        <v>17.3</v>
      </c>
      <c r="M32" s="118"/>
      <c r="N32" s="152"/>
      <c r="O32" s="120"/>
      <c r="P32" s="121"/>
      <c r="Q32" s="122"/>
      <c r="R32" s="123"/>
      <c r="S32" s="153"/>
      <c r="T32" s="153" t="n">
        <v>10</v>
      </c>
      <c r="U32" s="123"/>
      <c r="V32" s="154"/>
      <c r="W32" s="137"/>
      <c r="X32" s="155"/>
      <c r="Y32" s="155"/>
      <c r="Z32" s="140"/>
    </row>
    <row r="33" customFormat="false" ht="16.5" hidden="false" customHeight="true" outlineLevel="0" collapsed="false">
      <c r="A33" s="162" t="n">
        <v>25</v>
      </c>
      <c r="B33" s="192" t="n">
        <v>43156</v>
      </c>
      <c r="C33" s="143" t="n">
        <f aca="false">(E33-H33)/E33</f>
        <v>-0.0806285149818898</v>
      </c>
      <c r="D33" s="144" t="n">
        <f aca="false">E33-H33</f>
        <v>-491.923928571427</v>
      </c>
      <c r="E33" s="164" t="n">
        <f aca="false">E32+G33</f>
        <v>6101.11607142857</v>
      </c>
      <c r="F33" s="146" t="n">
        <f aca="false">G33-I33</f>
        <v>10.2046428571429</v>
      </c>
      <c r="G33" s="147" t="n">
        <f aca="false">$G$4/$G$1</f>
        <v>244.044642857143</v>
      </c>
      <c r="H33" s="166" t="n">
        <f aca="false">H32+I33</f>
        <v>6593.04</v>
      </c>
      <c r="I33" s="149" t="n">
        <f aca="false">SUM(J33:Z33)</f>
        <v>233.84</v>
      </c>
      <c r="J33" s="150" t="n">
        <v>75</v>
      </c>
      <c r="K33" s="117" t="s">
        <v>92</v>
      </c>
      <c r="L33" s="118" t="n">
        <f aca="false">16.95</f>
        <v>16.95</v>
      </c>
      <c r="M33" s="118" t="n">
        <f aca="false">2.89+6.99</f>
        <v>9.88</v>
      </c>
      <c r="N33" s="152" t="n">
        <f aca="false">31.96</f>
        <v>31.96</v>
      </c>
      <c r="O33" s="120"/>
      <c r="P33" s="121"/>
      <c r="Q33" s="122"/>
      <c r="R33" s="123"/>
      <c r="S33" s="153" t="n">
        <v>50.06</v>
      </c>
      <c r="T33" s="153" t="n">
        <f aca="false">29.99+20</f>
        <v>49.99</v>
      </c>
      <c r="U33" s="123"/>
      <c r="V33" s="154"/>
      <c r="W33" s="137"/>
      <c r="X33" s="155"/>
      <c r="Y33" s="155"/>
      <c r="Z33" s="140"/>
    </row>
    <row r="34" customFormat="false" ht="16.5" hidden="false" customHeight="true" outlineLevel="0" collapsed="false">
      <c r="A34" s="162" t="n">
        <v>26</v>
      </c>
      <c r="B34" s="163" t="n">
        <v>43157</v>
      </c>
      <c r="C34" s="143" t="n">
        <f aca="false">(E34-H34)/E34</f>
        <v>-0.056211229592856</v>
      </c>
      <c r="D34" s="144" t="n">
        <f aca="false">E34-H34</f>
        <v>-356.669285714284</v>
      </c>
      <c r="E34" s="164" t="n">
        <f aca="false">E33+G34</f>
        <v>6345.16071428572</v>
      </c>
      <c r="F34" s="146" t="n">
        <f aca="false">G34-I34</f>
        <v>135.254642857143</v>
      </c>
      <c r="G34" s="147" t="n">
        <f aca="false">$G$4/$G$1</f>
        <v>244.044642857143</v>
      </c>
      <c r="H34" s="166" t="n">
        <f aca="false">H33+I34</f>
        <v>6701.83</v>
      </c>
      <c r="I34" s="149" t="n">
        <f aca="false">SUM(J34:Z34)</f>
        <v>108.79</v>
      </c>
      <c r="J34" s="150"/>
      <c r="K34" s="117"/>
      <c r="L34" s="118" t="n">
        <f aca="false">1.49+7.28</f>
        <v>8.77</v>
      </c>
      <c r="M34" s="118"/>
      <c r="N34" s="152"/>
      <c r="O34" s="120"/>
      <c r="P34" s="121"/>
      <c r="Q34" s="122"/>
      <c r="R34" s="123"/>
      <c r="S34" s="153" t="n">
        <f aca="false">100.02</f>
        <v>100.02</v>
      </c>
      <c r="T34" s="153"/>
      <c r="U34" s="123"/>
      <c r="V34" s="154"/>
      <c r="W34" s="137"/>
      <c r="X34" s="155"/>
      <c r="Y34" s="155"/>
      <c r="Z34" s="140"/>
    </row>
    <row r="35" customFormat="false" ht="15.75" hidden="false" customHeight="true" outlineLevel="0" collapsed="false">
      <c r="A35" s="167" t="n">
        <v>27</v>
      </c>
      <c r="B35" s="163" t="n">
        <v>43158</v>
      </c>
      <c r="C35" s="143" t="n">
        <f aca="false">(E35-H35)/E35</f>
        <v>-0.0567328869864264</v>
      </c>
      <c r="D35" s="144" t="n">
        <f aca="false">E35-H35</f>
        <v>-373.824642857141</v>
      </c>
      <c r="E35" s="169" t="n">
        <f aca="false">E34+G35</f>
        <v>6589.20535714286</v>
      </c>
      <c r="F35" s="146" t="n">
        <f aca="false">G35-I35</f>
        <v>-17.1553571428571</v>
      </c>
      <c r="G35" s="147" t="n">
        <f aca="false">$G$4/$G$1</f>
        <v>244.044642857143</v>
      </c>
      <c r="H35" s="171" t="n">
        <f aca="false">H34+I35</f>
        <v>6963.03</v>
      </c>
      <c r="I35" s="149" t="n">
        <f aca="false">SUM(J35:Z35)</f>
        <v>261.2</v>
      </c>
      <c r="J35" s="150"/>
      <c r="K35" s="117"/>
      <c r="L35" s="118"/>
      <c r="M35" s="118" t="n">
        <f aca="false">1.2</f>
        <v>1.2</v>
      </c>
      <c r="N35" s="152"/>
      <c r="O35" s="120"/>
      <c r="P35" s="121"/>
      <c r="Q35" s="122"/>
      <c r="R35" s="123"/>
      <c r="S35" s="153"/>
      <c r="T35" s="153" t="n">
        <v>260</v>
      </c>
      <c r="U35" s="123"/>
      <c r="V35" s="154"/>
      <c r="W35" s="137"/>
      <c r="X35" s="155"/>
      <c r="Y35" s="155"/>
      <c r="Z35" s="140"/>
    </row>
    <row r="36" customFormat="false" ht="27" hidden="false" customHeight="true" outlineLevel="0" collapsed="false">
      <c r="A36" s="194" t="n">
        <v>28</v>
      </c>
      <c r="B36" s="163" t="n">
        <v>43159</v>
      </c>
      <c r="C36" s="195" t="n">
        <f aca="false">(E36-H36)/E36</f>
        <v>-0.0626422273442355</v>
      </c>
      <c r="D36" s="196" t="n">
        <f aca="false">E36-H36</f>
        <v>-428.049999999997</v>
      </c>
      <c r="E36" s="197" t="n">
        <f aca="false">E35+G36</f>
        <v>6833.25</v>
      </c>
      <c r="F36" s="198" t="n">
        <f aca="false">G36-I36</f>
        <v>-54.2253571428571</v>
      </c>
      <c r="G36" s="147" t="n">
        <f aca="false">$G$4/$G$1</f>
        <v>244.044642857143</v>
      </c>
      <c r="H36" s="199" t="n">
        <f aca="false">H35+I36</f>
        <v>7261.3</v>
      </c>
      <c r="I36" s="200" t="n">
        <f aca="false">SUM(J36:Z36)</f>
        <v>298.27</v>
      </c>
      <c r="J36" s="201" t="n">
        <v>29.99</v>
      </c>
      <c r="K36" s="117" t="s">
        <v>80</v>
      </c>
      <c r="L36" s="118" t="n">
        <f aca="false">33.76</f>
        <v>33.76</v>
      </c>
      <c r="M36" s="202" t="n">
        <f aca="false">8.5+16+9</f>
        <v>33.5</v>
      </c>
      <c r="N36" s="203"/>
      <c r="O36" s="204"/>
      <c r="P36" s="205" t="n">
        <v>34.99</v>
      </c>
      <c r="Q36" s="206" t="n">
        <v>19</v>
      </c>
      <c r="R36" s="178"/>
      <c r="S36" s="173" t="n">
        <v>100.03</v>
      </c>
      <c r="T36" s="173" t="n">
        <f aca="false">14+33</f>
        <v>47</v>
      </c>
      <c r="U36" s="178"/>
      <c r="V36" s="179"/>
      <c r="W36" s="207"/>
      <c r="X36" s="208"/>
      <c r="Y36" s="208"/>
      <c r="Z36" s="209"/>
    </row>
    <row r="37" customFormat="false" ht="39.75" hidden="false" customHeight="true" outlineLevel="0" collapsed="false">
      <c r="A37" s="210"/>
      <c r="B37" s="211"/>
      <c r="C37" s="212"/>
      <c r="D37" s="213"/>
      <c r="E37" s="213"/>
      <c r="F37" s="213"/>
      <c r="G37" s="213"/>
      <c r="H37" s="213"/>
      <c r="I37" s="213"/>
      <c r="J37" s="214"/>
      <c r="K37" s="213"/>
      <c r="L37" s="214"/>
      <c r="M37" s="214"/>
      <c r="N37" s="214"/>
      <c r="O37" s="214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5"/>
    </row>
    <row r="38" customFormat="false" ht="52.5" hidden="false" customHeight="true" outlineLevel="0" collapsed="false">
      <c r="A38" s="210"/>
      <c r="B38" s="211"/>
      <c r="C38" s="212"/>
      <c r="D38" s="213"/>
      <c r="E38" s="213"/>
      <c r="F38" s="213"/>
      <c r="G38" s="213"/>
      <c r="H38" s="213"/>
      <c r="I38" s="213"/>
      <c r="J38" s="214"/>
      <c r="K38" s="213"/>
      <c r="L38" s="214"/>
      <c r="M38" s="214"/>
      <c r="N38" s="214"/>
      <c r="O38" s="214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5"/>
    </row>
    <row r="39" customFormat="false" ht="15.75" hidden="false" customHeight="true" outlineLevel="0" collapsed="false">
      <c r="A39" s="210"/>
      <c r="B39" s="211"/>
      <c r="C39" s="212"/>
      <c r="D39" s="213"/>
      <c r="E39" s="213"/>
      <c r="F39" s="213"/>
      <c r="G39" s="213"/>
      <c r="H39" s="213"/>
      <c r="I39" s="213"/>
      <c r="J39" s="214"/>
      <c r="K39" s="213"/>
      <c r="L39" s="214"/>
      <c r="M39" s="214"/>
      <c r="N39" s="214"/>
      <c r="O39" s="214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5"/>
    </row>
    <row r="1048576" customFormat="false" ht="15" hidden="false" customHeight="true" outlineLevel="0" collapsed="false"/>
  </sheetData>
  <mergeCells count="15">
    <mergeCell ref="J4:K4"/>
    <mergeCell ref="L4:M4"/>
    <mergeCell ref="S4:T4"/>
    <mergeCell ref="U4:V4"/>
    <mergeCell ref="X4:Y4"/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2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4.85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12"/>
    <col collapsed="false" customWidth="true" hidden="false" outlineLevel="0" max="11" min="11" style="65" width="21.71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31</v>
      </c>
    </row>
    <row r="2" customFormat="false" ht="13.8" hidden="false" customHeight="false" outlineLevel="0" collapsed="false">
      <c r="B2" s="71" t="s">
        <v>50</v>
      </c>
      <c r="C2" s="72" t="n">
        <v>4466.76</v>
      </c>
      <c r="D2" s="72" t="n">
        <v>2807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93</v>
      </c>
      <c r="H3" s="31" t="s">
        <v>83</v>
      </c>
      <c r="I3" s="41" t="s">
        <v>94</v>
      </c>
    </row>
    <row r="4" customFormat="false" ht="19.5" hidden="false" customHeight="false" outlineLevel="0" collapsed="false">
      <c r="B4" s="71" t="s">
        <v>52</v>
      </c>
      <c r="C4" s="72" t="n">
        <f aca="false">78+78</f>
        <v>156</v>
      </c>
      <c r="D4" s="72"/>
      <c r="E4" s="72" t="n">
        <v>225</v>
      </c>
      <c r="F4" s="181" t="n">
        <v>1000</v>
      </c>
      <c r="G4" s="182" t="n">
        <f aca="false">C6-F4</f>
        <v>11854.76</v>
      </c>
      <c r="H4" s="183" t="n">
        <f aca="false">G4-H6</f>
        <v>-143.269999999999</v>
      </c>
      <c r="I4" s="217" t="n">
        <f aca="false">C6-H6</f>
        <v>856.730000000001</v>
      </c>
    </row>
    <row r="5" customFormat="false" ht="18" hidden="false" customHeight="false" outlineLevel="0" collapsed="false">
      <c r="B5" s="83" t="s">
        <v>53</v>
      </c>
      <c r="C5" s="84"/>
      <c r="D5" s="84"/>
      <c r="E5" s="84" t="n">
        <v>5200</v>
      </c>
      <c r="J5" s="218" t="n">
        <f aca="false">J7/H6</f>
        <v>0.120578961712881</v>
      </c>
      <c r="K5" s="218"/>
      <c r="L5" s="219" t="n">
        <f aca="false">(L7+M7)/H6</f>
        <v>0.0951289503360135</v>
      </c>
      <c r="M5" s="219"/>
      <c r="N5" s="220" t="n">
        <f aca="false">N7/H6</f>
        <v>0.0155100462325899</v>
      </c>
      <c r="O5" s="221" t="n">
        <f aca="false">O7/H6</f>
        <v>0.0878202504911223</v>
      </c>
      <c r="P5" s="222" t="n">
        <f aca="false">P7/H6</f>
        <v>0.479532889982772</v>
      </c>
      <c r="Q5" s="223" t="e">
        <f aca="false">Q7/K6</f>
        <v>#DIV/0!</v>
      </c>
      <c r="R5" s="224" t="n">
        <f aca="false">R7/H6</f>
        <v>0.0132788466106519</v>
      </c>
      <c r="S5" s="225" t="n">
        <f aca="false">(S7+T7)/H6</f>
        <v>0.0823743564568517</v>
      </c>
      <c r="T5" s="225"/>
      <c r="U5" s="226" t="n">
        <f aca="false">(U7+V7)/H6</f>
        <v>0.0173720185730491</v>
      </c>
      <c r="V5" s="226"/>
      <c r="W5" s="227" t="n">
        <f aca="false">W7/H6</f>
        <v>0.0198532592433925</v>
      </c>
      <c r="X5" s="228" t="n">
        <f aca="false">(X7+Y7)/H6</f>
        <v>0.0140873126671629</v>
      </c>
      <c r="Y5" s="228"/>
      <c r="Z5" s="229" t="n">
        <f aca="false">Z7/H6</f>
        <v>0.0211676416878438</v>
      </c>
    </row>
    <row r="6" customFormat="false" ht="57" hidden="false" customHeight="true" outlineLevel="0" collapsed="false">
      <c r="B6" s="98" t="s">
        <v>56</v>
      </c>
      <c r="C6" s="230" t="n">
        <f aca="false">SUM(C2:C5)+SUM(D2:D5)+SUM(E2:E5)</f>
        <v>12854.76</v>
      </c>
      <c r="D6" s="100"/>
      <c r="E6" s="101"/>
      <c r="G6" s="102" t="s">
        <v>57</v>
      </c>
      <c r="H6" s="103" t="n">
        <f aca="false">SUM(J7:Z7)</f>
        <v>11998.03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</row>
    <row r="7" customFormat="false" ht="15.75" hidden="false" customHeight="false" outlineLevel="0" collapsed="false">
      <c r="B7" s="116"/>
      <c r="J7" s="117" t="n">
        <f aca="false">SUM(J9:J39)</f>
        <v>1446.71</v>
      </c>
      <c r="K7" s="117"/>
      <c r="L7" s="118" t="n">
        <f aca="false">SUM(L9:L39)</f>
        <v>1100.98</v>
      </c>
      <c r="M7" s="118" t="n">
        <f aca="false">SUM(M9:M39)</f>
        <v>40.38</v>
      </c>
      <c r="N7" s="119" t="n">
        <f aca="false">SUM(N9:N39)</f>
        <v>186.09</v>
      </c>
      <c r="O7" s="120" t="n">
        <f aca="false">SUM(O9:O39)</f>
        <v>1053.67</v>
      </c>
      <c r="P7" s="121" t="n">
        <f aca="false">SUM(P9:P39)</f>
        <v>5753.45</v>
      </c>
      <c r="Q7" s="122" t="n">
        <f aca="false">SUM(Q9:Q39)</f>
        <v>399.48</v>
      </c>
      <c r="R7" s="123" t="n">
        <f aca="false">SUM(R9:R39)</f>
        <v>159.32</v>
      </c>
      <c r="S7" s="37" t="n">
        <f aca="false">SUM(S9:S39)</f>
        <v>618.78</v>
      </c>
      <c r="T7" s="37" t="n">
        <f aca="false">SUM(T9:T39)</f>
        <v>369.55</v>
      </c>
      <c r="U7" s="36" t="n">
        <f aca="false">SUM(U9:U39)</f>
        <v>88.1</v>
      </c>
      <c r="V7" s="124" t="n">
        <f aca="false">SUM(V9:V39)</f>
        <v>120.33</v>
      </c>
      <c r="W7" s="38" t="n">
        <f aca="false">SUM(W9:W39)</f>
        <v>238.2</v>
      </c>
      <c r="X7" s="39" t="n">
        <f aca="false">SUM(X9:X39)</f>
        <v>169.02</v>
      </c>
      <c r="Y7" s="39" t="n">
        <f aca="false">SUM(Y9:Y39)</f>
        <v>0</v>
      </c>
      <c r="Z7" s="40" t="n">
        <f aca="false">SUM(Z9:Z39)</f>
        <v>253.97</v>
      </c>
    </row>
    <row r="8" customFormat="false" ht="69.75" hidden="false" customHeight="false" outlineLevel="0" collapsed="false">
      <c r="A8" s="126" t="s">
        <v>61</v>
      </c>
      <c r="B8" s="127" t="s">
        <v>62</v>
      </c>
      <c r="C8" s="128" t="s">
        <v>63</v>
      </c>
      <c r="D8" s="129" t="s">
        <v>95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</row>
    <row r="9" s="156" customFormat="true" ht="15" hidden="false" customHeight="false" outlineLevel="0" collapsed="false">
      <c r="A9" s="141" t="n">
        <v>1</v>
      </c>
      <c r="B9" s="241" t="n">
        <v>43160</v>
      </c>
      <c r="C9" s="145" t="n">
        <f aca="false">H9/E9</f>
        <v>0.135987758620153</v>
      </c>
      <c r="D9" s="144" t="n">
        <f aca="false">F9</f>
        <v>358.279677419355</v>
      </c>
      <c r="E9" s="145" t="n">
        <f aca="false">G9</f>
        <v>414.669677419355</v>
      </c>
      <c r="F9" s="146" t="n">
        <f aca="false">G9-I9</f>
        <v>358.279677419355</v>
      </c>
      <c r="G9" s="147" t="n">
        <f aca="false">$C$6/$G$1</f>
        <v>414.669677419355</v>
      </c>
      <c r="H9" s="148" t="n">
        <f aca="false">I9</f>
        <v>56.39</v>
      </c>
      <c r="I9" s="149" t="n">
        <f aca="false">SUM(J9:AA9)</f>
        <v>56.39</v>
      </c>
      <c r="J9" s="150"/>
      <c r="K9" s="117"/>
      <c r="L9" s="118" t="n">
        <f aca="false">11+36+6.99</f>
        <v>53.99</v>
      </c>
      <c r="M9" s="118" t="n">
        <f aca="false">1.2+1.2</f>
        <v>2.4</v>
      </c>
      <c r="N9" s="152"/>
      <c r="O9" s="120"/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/>
    </row>
    <row r="10" customFormat="false" ht="15" hidden="false" customHeight="false" outlineLevel="0" collapsed="false">
      <c r="A10" s="157" t="n">
        <v>2</v>
      </c>
      <c r="B10" s="241" t="n">
        <v>43161</v>
      </c>
      <c r="C10" s="159" t="n">
        <f aca="false">H10/E10</f>
        <v>0.803109120668142</v>
      </c>
      <c r="D10" s="242" t="n">
        <f aca="false">D9+F10</f>
        <v>163.28935483871</v>
      </c>
      <c r="E10" s="159" t="n">
        <f aca="false">E9+G10</f>
        <v>829.33935483871</v>
      </c>
      <c r="F10" s="146" t="n">
        <f aca="false">G10-I10</f>
        <v>-194.990322580645</v>
      </c>
      <c r="G10" s="160" t="n">
        <f aca="false">$C$6/$G$1</f>
        <v>414.669677419355</v>
      </c>
      <c r="H10" s="161" t="n">
        <f aca="false">H9+I10</f>
        <v>666.05</v>
      </c>
      <c r="I10" s="149" t="n">
        <f aca="false">SUM(J10:AA10)</f>
        <v>609.66</v>
      </c>
      <c r="J10" s="150"/>
      <c r="K10" s="135"/>
      <c r="L10" s="118" t="n">
        <f aca="false">2.59+52.4-9.16-14.99-14.99</f>
        <v>15.85</v>
      </c>
      <c r="M10" s="118"/>
      <c r="N10" s="152"/>
      <c r="O10" s="120" t="n">
        <f aca="false">161.7</f>
        <v>161.7</v>
      </c>
      <c r="P10" s="121" t="n">
        <f aca="false">384</f>
        <v>384</v>
      </c>
      <c r="Q10" s="122"/>
      <c r="R10" s="123"/>
      <c r="S10" s="153"/>
      <c r="T10" s="153"/>
      <c r="U10" s="123"/>
      <c r="V10" s="154"/>
      <c r="W10" s="240"/>
      <c r="X10" s="155" t="n">
        <f aca="false">8.97+14.99+14.99+9.16</f>
        <v>48.11</v>
      </c>
      <c r="Y10" s="155"/>
      <c r="Z10" s="140"/>
    </row>
    <row r="11" customFormat="false" ht="15" hidden="false" customHeight="false" outlineLevel="0" collapsed="false">
      <c r="A11" s="167" t="n">
        <v>3</v>
      </c>
      <c r="B11" s="243" t="n">
        <v>43162</v>
      </c>
      <c r="C11" s="169" t="n">
        <f aca="false">H11/E11</f>
        <v>0.760999297795784</v>
      </c>
      <c r="D11" s="242" t="n">
        <f aca="false">D10+F11</f>
        <v>297.319032258064</v>
      </c>
      <c r="E11" s="169" t="n">
        <f aca="false">E10+G11</f>
        <v>1244.00903225806</v>
      </c>
      <c r="F11" s="146" t="n">
        <f aca="false">G11-I11</f>
        <v>134.029677419355</v>
      </c>
      <c r="G11" s="170" t="n">
        <f aca="false">$C$6/$G$1</f>
        <v>414.669677419355</v>
      </c>
      <c r="H11" s="171" t="n">
        <f aca="false">H10+I11</f>
        <v>946.69</v>
      </c>
      <c r="I11" s="149" t="n">
        <f aca="false">SUM(J11:AA11)</f>
        <v>280.64</v>
      </c>
      <c r="J11" s="150"/>
      <c r="K11" s="117"/>
      <c r="L11" s="202" t="n">
        <f aca="false">2.1+6.78+3.99+9.09+2.88+32.94-7.99-8.99+96.06</f>
        <v>136.86</v>
      </c>
      <c r="M11" s="202" t="n">
        <f aca="false">6.49</f>
        <v>6.49</v>
      </c>
      <c r="N11" s="203" t="n">
        <f aca="false">7.99+8.99</f>
        <v>16.98</v>
      </c>
      <c r="O11" s="204"/>
      <c r="P11" s="205"/>
      <c r="Q11" s="206"/>
      <c r="R11" s="178"/>
      <c r="S11" s="173"/>
      <c r="T11" s="173"/>
      <c r="U11" s="178"/>
      <c r="V11" s="179"/>
      <c r="W11" s="46" t="n">
        <f aca="false">56.98+58.34+4.99</f>
        <v>120.31</v>
      </c>
      <c r="X11" s="155"/>
      <c r="Y11" s="155"/>
      <c r="Z11" s="140"/>
    </row>
    <row r="12" s="156" customFormat="true" ht="15" hidden="false" customHeight="false" outlineLevel="0" collapsed="false">
      <c r="A12" s="141" t="n">
        <v>4</v>
      </c>
      <c r="B12" s="142" t="n">
        <v>43163</v>
      </c>
      <c r="C12" s="145" t="n">
        <f aca="false">H12/E12</f>
        <v>1.02151790465166</v>
      </c>
      <c r="D12" s="242" t="n">
        <f aca="false">D11+F12</f>
        <v>-35.6912903225807</v>
      </c>
      <c r="E12" s="145" t="n">
        <f aca="false">E11+G12</f>
        <v>1658.67870967742</v>
      </c>
      <c r="F12" s="146" t="n">
        <f aca="false">G12-I12</f>
        <v>-333.010322580645</v>
      </c>
      <c r="G12" s="147" t="n">
        <f aca="false">$C$6/$G$1</f>
        <v>414.669677419355</v>
      </c>
      <c r="H12" s="148" t="n">
        <f aca="false">H11+I12</f>
        <v>1694.37</v>
      </c>
      <c r="I12" s="149" t="n">
        <f aca="false">SUM(J12:AA12)</f>
        <v>747.68</v>
      </c>
      <c r="J12" s="150"/>
      <c r="K12" s="117"/>
      <c r="L12" s="244" t="n">
        <f aca="false">4.5</f>
        <v>4.5</v>
      </c>
      <c r="M12" s="244"/>
      <c r="N12" s="245" t="n">
        <f aca="false">31.74</f>
        <v>31.74</v>
      </c>
      <c r="O12" s="246" t="n">
        <f aca="false">319.99+251.48</f>
        <v>571.47</v>
      </c>
      <c r="P12" s="247"/>
      <c r="Q12" s="248"/>
      <c r="R12" s="249"/>
      <c r="S12" s="250" t="n">
        <f aca="false">100</f>
        <v>100</v>
      </c>
      <c r="T12" s="250"/>
      <c r="U12" s="249"/>
      <c r="V12" s="251"/>
      <c r="W12" s="252"/>
      <c r="X12" s="155"/>
      <c r="Y12" s="155"/>
      <c r="Z12" s="140" t="n">
        <f aca="false">39.97</f>
        <v>39.97</v>
      </c>
    </row>
    <row r="13" customFormat="false" ht="15" hidden="false" customHeight="false" outlineLevel="0" collapsed="false">
      <c r="A13" s="157" t="n">
        <v>5</v>
      </c>
      <c r="B13" s="253" t="n">
        <v>43164</v>
      </c>
      <c r="C13" s="159" t="n">
        <f aca="false">H13/E13</f>
        <v>3.38409600801571</v>
      </c>
      <c r="D13" s="242" t="n">
        <f aca="false">D12+F13</f>
        <v>-4943.06161290322</v>
      </c>
      <c r="E13" s="159" t="n">
        <f aca="false">E12+G13</f>
        <v>2073.34838709677</v>
      </c>
      <c r="F13" s="146" t="n">
        <f aca="false">G13-I13</f>
        <v>-4907.37032258064</v>
      </c>
      <c r="G13" s="160" t="n">
        <f aca="false">$C$6/$G$1</f>
        <v>414.669677419355</v>
      </c>
      <c r="H13" s="161" t="n">
        <f aca="false">H12+I13</f>
        <v>7016.41</v>
      </c>
      <c r="I13" s="149" t="n">
        <f aca="false">SUM(J13:AA13)</f>
        <v>5322.04</v>
      </c>
      <c r="J13" s="150"/>
      <c r="K13" s="117"/>
      <c r="L13" s="254" t="n">
        <f aca="false">3.54+20.94</f>
        <v>24.48</v>
      </c>
      <c r="M13" s="254"/>
      <c r="N13" s="255" t="n">
        <f aca="false">2.79</f>
        <v>2.79</v>
      </c>
      <c r="O13" s="256" t="n">
        <f aca="false">8.5+23.5</f>
        <v>32</v>
      </c>
      <c r="P13" s="257" t="n">
        <v>5199</v>
      </c>
      <c r="Q13" s="258"/>
      <c r="R13" s="259" t="n">
        <f aca="false">53.78</f>
        <v>53.78</v>
      </c>
      <c r="S13" s="176"/>
      <c r="T13" s="176"/>
      <c r="U13" s="259"/>
      <c r="V13" s="260" t="n">
        <f aca="false">12.78-2.79</f>
        <v>9.99</v>
      </c>
      <c r="W13" s="261"/>
      <c r="X13" s="155"/>
      <c r="Y13" s="155"/>
      <c r="Z13" s="140"/>
    </row>
    <row r="14" customFormat="false" ht="15" hidden="false" customHeight="false" outlineLevel="0" collapsed="false">
      <c r="A14" s="167" t="n">
        <v>6</v>
      </c>
      <c r="B14" s="241" t="n">
        <v>43165</v>
      </c>
      <c r="C14" s="169" t="n">
        <f aca="false">H14/E14</f>
        <v>2.86223404144976</v>
      </c>
      <c r="D14" s="242" t="n">
        <f aca="false">D13+F14</f>
        <v>-4633.27193548387</v>
      </c>
      <c r="E14" s="169" t="n">
        <f aca="false">E13+G14</f>
        <v>2488.01806451613</v>
      </c>
      <c r="F14" s="146" t="n">
        <f aca="false">G14-I14</f>
        <v>309.789677419355</v>
      </c>
      <c r="G14" s="170" t="n">
        <f aca="false">$C$6/$G$1</f>
        <v>414.669677419355</v>
      </c>
      <c r="H14" s="171" t="n">
        <f aca="false">H13+I14</f>
        <v>7121.29</v>
      </c>
      <c r="I14" s="149" t="n">
        <f aca="false">SUM(J14:AA14)</f>
        <v>104.88</v>
      </c>
      <c r="J14" s="150"/>
      <c r="K14" s="135"/>
      <c r="L14" s="118" t="n">
        <f aca="false">4.49</f>
        <v>4.49</v>
      </c>
      <c r="M14" s="118" t="n">
        <f aca="false">3+6</f>
        <v>9</v>
      </c>
      <c r="N14" s="152"/>
      <c r="O14" s="120"/>
      <c r="P14" s="121"/>
      <c r="Q14" s="122"/>
      <c r="R14" s="123"/>
      <c r="S14" s="153"/>
      <c r="T14" s="153"/>
      <c r="U14" s="123"/>
      <c r="V14" s="154"/>
      <c r="W14" s="240" t="n">
        <f aca="false">56.21+35.18</f>
        <v>91.39</v>
      </c>
      <c r="X14" s="155"/>
      <c r="Y14" s="155"/>
      <c r="Z14" s="140"/>
    </row>
    <row r="15" s="156" customFormat="true" ht="15" hidden="false" customHeight="false" outlineLevel="0" collapsed="false">
      <c r="A15" s="141" t="n">
        <v>7</v>
      </c>
      <c r="B15" s="241" t="n">
        <v>43166</v>
      </c>
      <c r="C15" s="145" t="n">
        <f aca="false">H15/E15</f>
        <v>2.46514631822876</v>
      </c>
      <c r="D15" s="242" t="n">
        <f aca="false">D14+F15</f>
        <v>-4252.86225806451</v>
      </c>
      <c r="E15" s="145" t="n">
        <f aca="false">E14+G15</f>
        <v>2902.68774193548</v>
      </c>
      <c r="F15" s="146" t="n">
        <f aca="false">G15-I15</f>
        <v>380.409677419355</v>
      </c>
      <c r="G15" s="147" t="n">
        <f aca="false">$C$6/$G$1</f>
        <v>414.669677419355</v>
      </c>
      <c r="H15" s="148" t="n">
        <f aca="false">H14+I15</f>
        <v>7155.55</v>
      </c>
      <c r="I15" s="149" t="n">
        <f aca="false">SUM(J15:AA15)</f>
        <v>34.26</v>
      </c>
      <c r="J15" s="150"/>
      <c r="K15" s="117"/>
      <c r="L15" s="118" t="n">
        <f aca="false">34.26</f>
        <v>34.26</v>
      </c>
      <c r="M15" s="118"/>
      <c r="N15" s="152"/>
      <c r="O15" s="120"/>
      <c r="P15" s="121"/>
      <c r="Q15" s="122"/>
      <c r="R15" s="123"/>
      <c r="S15" s="153"/>
      <c r="T15" s="153"/>
      <c r="U15" s="123"/>
      <c r="V15" s="154"/>
      <c r="W15" s="240"/>
      <c r="X15" s="155"/>
      <c r="Y15" s="155"/>
      <c r="Z15" s="140"/>
    </row>
    <row r="16" customFormat="false" ht="15" hidden="false" customHeight="false" outlineLevel="0" collapsed="false">
      <c r="A16" s="157" t="n">
        <v>8</v>
      </c>
      <c r="B16" s="241" t="n">
        <v>43167</v>
      </c>
      <c r="C16" s="159" t="n">
        <f aca="false">H16/E16</f>
        <v>2.39206060634349</v>
      </c>
      <c r="D16" s="242" t="n">
        <f aca="false">D15+F16</f>
        <v>-4617.96258064516</v>
      </c>
      <c r="E16" s="159" t="n">
        <f aca="false">E15+G16</f>
        <v>3317.35741935484</v>
      </c>
      <c r="F16" s="146" t="n">
        <f aca="false">G16-I16</f>
        <v>-365.100322580645</v>
      </c>
      <c r="G16" s="160" t="n">
        <f aca="false">$C$6/$G$1</f>
        <v>414.669677419355</v>
      </c>
      <c r="H16" s="161" t="n">
        <f aca="false">H15+I16</f>
        <v>7935.32</v>
      </c>
      <c r="I16" s="149" t="n">
        <f aca="false">SUM(J16:AA16)</f>
        <v>779.77</v>
      </c>
      <c r="J16" s="150" t="n">
        <v>607.4</v>
      </c>
      <c r="K16" s="135" t="s">
        <v>86</v>
      </c>
      <c r="L16" s="118" t="n">
        <f aca="false">44.1+28.37</f>
        <v>72.47</v>
      </c>
      <c r="M16" s="118"/>
      <c r="N16" s="152"/>
      <c r="O16" s="120"/>
      <c r="P16" s="121" t="n">
        <f aca="false">99.9</f>
        <v>99.9</v>
      </c>
      <c r="Q16" s="122"/>
      <c r="R16" s="123"/>
      <c r="S16" s="153"/>
      <c r="T16" s="153"/>
      <c r="U16" s="123"/>
      <c r="V16" s="154"/>
      <c r="W16" s="240"/>
      <c r="X16" s="155"/>
      <c r="Y16" s="155"/>
      <c r="Z16" s="140"/>
    </row>
    <row r="17" customFormat="false" ht="15" hidden="false" customHeight="false" outlineLevel="0" collapsed="false">
      <c r="A17" s="162" t="n">
        <v>9</v>
      </c>
      <c r="B17" s="241" t="n">
        <v>43168</v>
      </c>
      <c r="C17" s="164" t="n">
        <f aca="false">H17/E17</f>
        <v>2.2723280887564</v>
      </c>
      <c r="D17" s="242" t="n">
        <f aca="false">D16+F17</f>
        <v>-4748.3629032258</v>
      </c>
      <c r="E17" s="164" t="n">
        <f aca="false">E16+G17</f>
        <v>3732.02709677419</v>
      </c>
      <c r="F17" s="146" t="n">
        <f aca="false">G17-I17</f>
        <v>-130.400322580645</v>
      </c>
      <c r="G17" s="165" t="n">
        <f aca="false">$C$6/$G$1</f>
        <v>414.669677419355</v>
      </c>
      <c r="H17" s="166" t="n">
        <f aca="false">H16+I17</f>
        <v>8480.39</v>
      </c>
      <c r="I17" s="149" t="n">
        <f aca="false">SUM(J17:AA17)</f>
        <v>545.07</v>
      </c>
      <c r="J17" s="150" t="n">
        <v>545.07</v>
      </c>
      <c r="K17" s="135" t="s">
        <v>87</v>
      </c>
      <c r="L17" s="118"/>
      <c r="M17" s="118"/>
      <c r="N17" s="152"/>
      <c r="O17" s="120"/>
      <c r="P17" s="121"/>
      <c r="Q17" s="122"/>
      <c r="R17" s="123"/>
      <c r="S17" s="153"/>
      <c r="T17" s="153"/>
      <c r="U17" s="123"/>
      <c r="V17" s="154"/>
      <c r="W17" s="240"/>
      <c r="X17" s="155"/>
      <c r="Y17" s="155"/>
      <c r="Z17" s="140"/>
    </row>
    <row r="18" customFormat="false" ht="15" hidden="false" customHeight="false" outlineLevel="0" collapsed="false">
      <c r="A18" s="167" t="n">
        <v>10</v>
      </c>
      <c r="B18" s="243" t="n">
        <v>43169</v>
      </c>
      <c r="C18" s="169" t="n">
        <f aca="false">H18/E18</f>
        <v>2.06162651033547</v>
      </c>
      <c r="D18" s="242" t="n">
        <f aca="false">D17+F18</f>
        <v>-4402.24322580645</v>
      </c>
      <c r="E18" s="169" t="n">
        <f aca="false">E17+G18</f>
        <v>4146.69677419355</v>
      </c>
      <c r="F18" s="146" t="n">
        <f aca="false">G18-I18</f>
        <v>346.119677419355</v>
      </c>
      <c r="G18" s="170" t="n">
        <f aca="false">$C$6/$G$1</f>
        <v>414.669677419355</v>
      </c>
      <c r="H18" s="171" t="n">
        <f aca="false">H17+I18</f>
        <v>8548.94</v>
      </c>
      <c r="I18" s="149" t="n">
        <f aca="false">SUM(J18:AA18)</f>
        <v>68.55</v>
      </c>
      <c r="J18" s="150"/>
      <c r="K18" s="117"/>
      <c r="L18" s="202" t="n">
        <f aca="false">61.56+6.99</f>
        <v>68.55</v>
      </c>
      <c r="M18" s="202"/>
      <c r="N18" s="203"/>
      <c r="O18" s="204"/>
      <c r="P18" s="205"/>
      <c r="Q18" s="206"/>
      <c r="R18" s="178"/>
      <c r="S18" s="173"/>
      <c r="T18" s="173"/>
      <c r="U18" s="178"/>
      <c r="V18" s="179"/>
      <c r="W18" s="46"/>
      <c r="X18" s="155"/>
      <c r="Y18" s="155"/>
      <c r="Z18" s="140"/>
    </row>
    <row r="19" s="156" customFormat="true" ht="15" hidden="false" customHeight="false" outlineLevel="0" collapsed="false">
      <c r="A19" s="141" t="n">
        <v>11</v>
      </c>
      <c r="B19" s="142" t="n">
        <v>43170</v>
      </c>
      <c r="C19" s="145" t="n">
        <f aca="false">H19/E19</f>
        <v>1.87420591848679</v>
      </c>
      <c r="D19" s="242" t="n">
        <f aca="false">D18+F19</f>
        <v>-3987.5735483871</v>
      </c>
      <c r="E19" s="145" t="n">
        <f aca="false">E18+G19</f>
        <v>4561.3664516129</v>
      </c>
      <c r="F19" s="146" t="n">
        <f aca="false">G19-I19</f>
        <v>414.669677419355</v>
      </c>
      <c r="G19" s="147" t="n">
        <f aca="false">$C$6/$G$1</f>
        <v>414.669677419355</v>
      </c>
      <c r="H19" s="148" t="n">
        <f aca="false">H18+I19</f>
        <v>8548.94</v>
      </c>
      <c r="I19" s="149" t="n">
        <f aca="false">SUM(J19:AA19)</f>
        <v>0</v>
      </c>
      <c r="J19" s="135"/>
      <c r="K19" s="135"/>
      <c r="L19" s="244"/>
      <c r="M19" s="244"/>
      <c r="N19" s="245"/>
      <c r="O19" s="246"/>
      <c r="P19" s="262"/>
      <c r="Q19" s="248"/>
      <c r="R19" s="249"/>
      <c r="S19" s="250"/>
      <c r="T19" s="250"/>
      <c r="U19" s="249"/>
      <c r="V19" s="251"/>
      <c r="W19" s="252"/>
      <c r="X19" s="155"/>
      <c r="Y19" s="155"/>
      <c r="Z19" s="140"/>
    </row>
    <row r="20" customFormat="false" ht="15" hidden="false" customHeight="false" outlineLevel="0" collapsed="false">
      <c r="A20" s="157" t="n">
        <v>12</v>
      </c>
      <c r="B20" s="253" t="n">
        <v>43171</v>
      </c>
      <c r="C20" s="159" t="n">
        <f aca="false">H20/E20</f>
        <v>1.74515212004477</v>
      </c>
      <c r="D20" s="242" t="n">
        <f aca="false">D19+F20</f>
        <v>-3707.90387096774</v>
      </c>
      <c r="E20" s="159" t="n">
        <f aca="false">E19+G20</f>
        <v>4976.03612903226</v>
      </c>
      <c r="F20" s="146" t="n">
        <f aca="false">G20-I20</f>
        <v>279.669677419355</v>
      </c>
      <c r="G20" s="160" t="n">
        <f aca="false">$C$6/$G$1</f>
        <v>414.669677419355</v>
      </c>
      <c r="H20" s="161" t="n">
        <f aca="false">H19+I20</f>
        <v>8683.94</v>
      </c>
      <c r="I20" s="149" t="n">
        <f aca="false">SUM(J20:AA20)</f>
        <v>135</v>
      </c>
      <c r="J20" s="150"/>
      <c r="K20" s="117"/>
      <c r="L20" s="254"/>
      <c r="M20" s="254"/>
      <c r="N20" s="255"/>
      <c r="O20" s="256"/>
      <c r="P20" s="257"/>
      <c r="Q20" s="258"/>
      <c r="R20" s="259" t="n">
        <v>80</v>
      </c>
      <c r="S20" s="176"/>
      <c r="T20" s="176"/>
      <c r="U20" s="259"/>
      <c r="V20" s="260"/>
      <c r="W20" s="261"/>
      <c r="X20" s="155"/>
      <c r="Y20" s="155"/>
      <c r="Z20" s="140" t="n">
        <v>55</v>
      </c>
    </row>
    <row r="21" customFormat="false" ht="15" hidden="false" customHeight="false" outlineLevel="0" collapsed="false">
      <c r="A21" s="167" t="n">
        <v>13</v>
      </c>
      <c r="B21" s="241" t="n">
        <v>43172</v>
      </c>
      <c r="C21" s="169" t="n">
        <f aca="false">H21/E21</f>
        <v>1.65053525817554</v>
      </c>
      <c r="D21" s="242" t="n">
        <f aca="false">D20+F21</f>
        <v>-3506.84419354839</v>
      </c>
      <c r="E21" s="169" t="n">
        <f aca="false">E20+G21</f>
        <v>5390.70580645161</v>
      </c>
      <c r="F21" s="146" t="n">
        <f aca="false">G21-I21</f>
        <v>201.059677419355</v>
      </c>
      <c r="G21" s="170" t="n">
        <f aca="false">$C$6/$G$1</f>
        <v>414.669677419355</v>
      </c>
      <c r="H21" s="171" t="n">
        <f aca="false">H20+I21</f>
        <v>8897.55</v>
      </c>
      <c r="I21" s="149" t="n">
        <f aca="false">SUM(J21:AA21)</f>
        <v>213.61</v>
      </c>
      <c r="J21" s="150" t="n">
        <v>80</v>
      </c>
      <c r="K21" s="135" t="s">
        <v>92</v>
      </c>
      <c r="L21" s="118" t="n">
        <f aca="false">6.99+56.62</f>
        <v>63.61</v>
      </c>
      <c r="M21" s="118"/>
      <c r="N21" s="152"/>
      <c r="O21" s="120" t="n">
        <v>70</v>
      </c>
      <c r="P21" s="121"/>
      <c r="Q21" s="122"/>
      <c r="R21" s="123"/>
      <c r="S21" s="153"/>
      <c r="T21" s="153"/>
      <c r="U21" s="123"/>
      <c r="V21" s="154"/>
      <c r="W21" s="240"/>
      <c r="X21" s="155"/>
      <c r="Y21" s="155"/>
      <c r="Z21" s="140"/>
    </row>
    <row r="22" s="156" customFormat="true" ht="15" hidden="false" customHeight="false" outlineLevel="0" collapsed="false">
      <c r="A22" s="141" t="n">
        <v>14</v>
      </c>
      <c r="B22" s="241" t="n">
        <v>43173</v>
      </c>
      <c r="C22" s="145" t="n">
        <f aca="false">H22/E22</f>
        <v>1.5470368841692</v>
      </c>
      <c r="D22" s="242" t="n">
        <f aca="false">D21+F22</f>
        <v>-3175.75451612903</v>
      </c>
      <c r="E22" s="145" t="n">
        <f aca="false">E21+G22</f>
        <v>5805.37548387097</v>
      </c>
      <c r="F22" s="146" t="n">
        <f aca="false">G22-I22</f>
        <v>331.089677419355</v>
      </c>
      <c r="G22" s="147" t="n">
        <f aca="false">$C$6/$G$1</f>
        <v>414.669677419355</v>
      </c>
      <c r="H22" s="148" t="n">
        <f aca="false">H21+I22</f>
        <v>8981.13</v>
      </c>
      <c r="I22" s="149" t="n">
        <f aca="false">SUM(J22:AA22)</f>
        <v>83.58</v>
      </c>
      <c r="J22" s="150" t="n">
        <v>49</v>
      </c>
      <c r="K22" s="135" t="s">
        <v>89</v>
      </c>
      <c r="L22" s="118"/>
      <c r="M22" s="118"/>
      <c r="N22" s="152"/>
      <c r="O22" s="120"/>
      <c r="P22" s="121"/>
      <c r="Q22" s="122"/>
      <c r="R22" s="123"/>
      <c r="S22" s="153"/>
      <c r="T22" s="153" t="n">
        <f aca="false">34.58</f>
        <v>34.58</v>
      </c>
      <c r="U22" s="123"/>
      <c r="V22" s="154"/>
      <c r="W22" s="240"/>
      <c r="X22" s="155"/>
      <c r="Y22" s="155"/>
      <c r="Z22" s="140"/>
    </row>
    <row r="23" customFormat="false" ht="15" hidden="false" customHeight="false" outlineLevel="0" collapsed="false">
      <c r="A23" s="157" t="n">
        <v>15</v>
      </c>
      <c r="B23" s="241" t="n">
        <v>43174</v>
      </c>
      <c r="C23" s="159" t="n">
        <f aca="false">H23/E23</f>
        <v>1.44652486705314</v>
      </c>
      <c r="D23" s="242" t="n">
        <f aca="false">D22+F23</f>
        <v>-2777.40483870968</v>
      </c>
      <c r="E23" s="159" t="n">
        <f aca="false">E22+G23</f>
        <v>6220.04516129032</v>
      </c>
      <c r="F23" s="146" t="n">
        <f aca="false">G23-I23</f>
        <v>398.349677419355</v>
      </c>
      <c r="G23" s="160" t="n">
        <f aca="false">$C$6/$G$1</f>
        <v>414.669677419355</v>
      </c>
      <c r="H23" s="161" t="n">
        <f aca="false">H22+I23</f>
        <v>8997.45</v>
      </c>
      <c r="I23" s="149" t="n">
        <f aca="false">SUM(J23:AA23)</f>
        <v>16.32</v>
      </c>
      <c r="J23" s="150"/>
      <c r="K23" s="117"/>
      <c r="L23" s="118" t="n">
        <f aca="false">9.33+6.99</f>
        <v>16.32</v>
      </c>
      <c r="M23" s="118"/>
      <c r="N23" s="152"/>
      <c r="O23" s="120"/>
      <c r="P23" s="121"/>
      <c r="Q23" s="122"/>
      <c r="R23" s="123"/>
      <c r="S23" s="153"/>
      <c r="T23" s="153"/>
      <c r="U23" s="123"/>
      <c r="V23" s="154"/>
      <c r="W23" s="240"/>
      <c r="X23" s="155"/>
      <c r="Y23" s="155"/>
      <c r="Z23" s="140"/>
    </row>
    <row r="24" customFormat="false" ht="15" hidden="false" customHeight="false" outlineLevel="0" collapsed="false">
      <c r="A24" s="162" t="n">
        <v>16</v>
      </c>
      <c r="B24" s="241" t="n">
        <v>43175</v>
      </c>
      <c r="C24" s="164" t="n">
        <f aca="false">H24/E24</f>
        <v>1.36168776196522</v>
      </c>
      <c r="D24" s="242" t="n">
        <f aca="false">D23+F24</f>
        <v>-2399.69516129032</v>
      </c>
      <c r="E24" s="164" t="n">
        <f aca="false">E23+G24</f>
        <v>6634.71483870968</v>
      </c>
      <c r="F24" s="146" t="n">
        <f aca="false">G24-I24</f>
        <v>377.709677419355</v>
      </c>
      <c r="G24" s="165" t="n">
        <f aca="false">$C$6/$G$1</f>
        <v>414.669677419355</v>
      </c>
      <c r="H24" s="166" t="n">
        <f aca="false">H23+I24</f>
        <v>9034.41</v>
      </c>
      <c r="I24" s="149" t="n">
        <f aca="false">SUM(J24:AA24)</f>
        <v>36.96</v>
      </c>
      <c r="J24" s="150"/>
      <c r="K24" s="117"/>
      <c r="L24" s="118"/>
      <c r="M24" s="118" t="n">
        <f aca="false">4.49</f>
        <v>4.49</v>
      </c>
      <c r="N24" s="152"/>
      <c r="O24" s="120"/>
      <c r="P24" s="121"/>
      <c r="Q24" s="122"/>
      <c r="R24" s="123"/>
      <c r="S24" s="153"/>
      <c r="T24" s="153"/>
      <c r="U24" s="123"/>
      <c r="V24" s="154"/>
      <c r="W24" s="240" t="n">
        <f aca="false">20</f>
        <v>20</v>
      </c>
      <c r="X24" s="155" t="n">
        <f aca="false">16.96-4.49</f>
        <v>12.47</v>
      </c>
      <c r="Y24" s="155"/>
      <c r="Z24" s="140"/>
    </row>
    <row r="25" customFormat="false" ht="15" hidden="false" customHeight="false" outlineLevel="0" collapsed="false">
      <c r="A25" s="167" t="n">
        <v>17</v>
      </c>
      <c r="B25" s="243" t="n">
        <v>43176</v>
      </c>
      <c r="C25" s="169" t="n">
        <f aca="false">H25/E25</f>
        <v>1.28709960128297</v>
      </c>
      <c r="D25" s="242" t="n">
        <f aca="false">D24+F25</f>
        <v>-2023.87548387097</v>
      </c>
      <c r="E25" s="169" t="n">
        <f aca="false">E24+G25</f>
        <v>7049.38451612903</v>
      </c>
      <c r="F25" s="146" t="n">
        <f aca="false">G25-I25</f>
        <v>375.819677419355</v>
      </c>
      <c r="G25" s="170" t="n">
        <f aca="false">$C$6/$G$1</f>
        <v>414.669677419355</v>
      </c>
      <c r="H25" s="171" t="n">
        <f aca="false">H24+I25</f>
        <v>9073.26</v>
      </c>
      <c r="I25" s="149" t="n">
        <f aca="false">SUM(J25:AA25)</f>
        <v>38.85</v>
      </c>
      <c r="J25" s="150"/>
      <c r="K25" s="117"/>
      <c r="L25" s="202" t="n">
        <f aca="false">38.85</f>
        <v>38.85</v>
      </c>
      <c r="M25" s="202"/>
      <c r="N25" s="203"/>
      <c r="O25" s="204"/>
      <c r="P25" s="205"/>
      <c r="Q25" s="206"/>
      <c r="R25" s="178"/>
      <c r="S25" s="173"/>
      <c r="T25" s="173"/>
      <c r="U25" s="178"/>
      <c r="V25" s="179"/>
      <c r="W25" s="46"/>
      <c r="X25" s="155"/>
      <c r="Y25" s="155"/>
      <c r="Z25" s="140"/>
    </row>
    <row r="26" s="156" customFormat="true" ht="15" hidden="false" customHeight="false" outlineLevel="0" collapsed="false">
      <c r="A26" s="141" t="n">
        <v>18</v>
      </c>
      <c r="B26" s="142" t="n">
        <v>43177</v>
      </c>
      <c r="C26" s="145" t="n">
        <f aca="false">H26/E26</f>
        <v>1.22723385474849</v>
      </c>
      <c r="D26" s="242" t="n">
        <f aca="false">D25+F26</f>
        <v>-1696.08580645161</v>
      </c>
      <c r="E26" s="145" t="n">
        <f aca="false">E25+G26</f>
        <v>7464.05419354839</v>
      </c>
      <c r="F26" s="146" t="n">
        <f aca="false">G26-I26</f>
        <v>327.789677419355</v>
      </c>
      <c r="G26" s="147" t="n">
        <f aca="false">$C$6/$G$1</f>
        <v>414.669677419355</v>
      </c>
      <c r="H26" s="148" t="n">
        <f aca="false">H25+I26</f>
        <v>9160.14</v>
      </c>
      <c r="I26" s="149" t="n">
        <f aca="false">SUM(J26:AA26)</f>
        <v>86.88</v>
      </c>
      <c r="J26" s="150" t="n">
        <v>73.25</v>
      </c>
      <c r="K26" s="117" t="s">
        <v>88</v>
      </c>
      <c r="L26" s="244"/>
      <c r="M26" s="244"/>
      <c r="N26" s="245"/>
      <c r="O26" s="246"/>
      <c r="P26" s="247"/>
      <c r="Q26" s="248"/>
      <c r="R26" s="249"/>
      <c r="S26" s="250"/>
      <c r="T26" s="250"/>
      <c r="U26" s="249" t="n">
        <f aca="false">13.63</f>
        <v>13.63</v>
      </c>
      <c r="V26" s="251"/>
      <c r="W26" s="252"/>
      <c r="X26" s="155"/>
      <c r="Y26" s="155"/>
      <c r="Z26" s="140"/>
    </row>
    <row r="27" customFormat="false" ht="15" hidden="false" customHeight="false" outlineLevel="0" collapsed="false">
      <c r="A27" s="157" t="n">
        <v>19</v>
      </c>
      <c r="B27" s="253" t="n">
        <v>43178</v>
      </c>
      <c r="C27" s="159" t="n">
        <f aca="false">H27/E27</f>
        <v>1.18738772334344</v>
      </c>
      <c r="D27" s="242" t="n">
        <f aca="false">D26+F27</f>
        <v>-1476.37612903226</v>
      </c>
      <c r="E27" s="159" t="n">
        <f aca="false">E26+G27</f>
        <v>7878.72387096774</v>
      </c>
      <c r="F27" s="146" t="n">
        <f aca="false">G27-I27</f>
        <v>219.709677419355</v>
      </c>
      <c r="G27" s="160" t="n">
        <f aca="false">$C$6/$G$1</f>
        <v>414.669677419355</v>
      </c>
      <c r="H27" s="161" t="n">
        <f aca="false">H26+I27</f>
        <v>9355.1</v>
      </c>
      <c r="I27" s="149" t="n">
        <f aca="false">SUM(J27:AA27)</f>
        <v>194.96</v>
      </c>
      <c r="J27" s="150" t="n">
        <v>49</v>
      </c>
      <c r="K27" s="117" t="s">
        <v>96</v>
      </c>
      <c r="L27" s="254" t="n">
        <f aca="false">77.36</f>
        <v>77.36</v>
      </c>
      <c r="M27" s="254"/>
      <c r="N27" s="255"/>
      <c r="O27" s="256" t="n">
        <v>68.6</v>
      </c>
      <c r="P27" s="257"/>
      <c r="Q27" s="258"/>
      <c r="R27" s="259"/>
      <c r="S27" s="176"/>
      <c r="T27" s="176"/>
      <c r="U27" s="259"/>
      <c r="V27" s="260"/>
      <c r="W27" s="261"/>
      <c r="X27" s="155"/>
      <c r="Y27" s="155"/>
      <c r="Z27" s="140"/>
    </row>
    <row r="28" customFormat="false" ht="15" hidden="false" customHeight="false" outlineLevel="0" collapsed="false">
      <c r="A28" s="167" t="n">
        <v>20</v>
      </c>
      <c r="B28" s="241" t="n">
        <v>43179</v>
      </c>
      <c r="C28" s="169" t="n">
        <f aca="false">H28/E28</f>
        <v>1.15972188512271</v>
      </c>
      <c r="D28" s="242" t="n">
        <f aca="false">D27+F28</f>
        <v>-1324.6364516129</v>
      </c>
      <c r="E28" s="169" t="n">
        <f aca="false">E27+G28</f>
        <v>8293.3935483871</v>
      </c>
      <c r="F28" s="146" t="n">
        <f aca="false">G28-I28</f>
        <v>151.739677419355</v>
      </c>
      <c r="G28" s="170" t="n">
        <f aca="false">$C$6/$G$1</f>
        <v>414.669677419355</v>
      </c>
      <c r="H28" s="171" t="n">
        <f aca="false">H27+I28</f>
        <v>9618.03</v>
      </c>
      <c r="I28" s="149" t="n">
        <f aca="false">SUM(J28:AA28)</f>
        <v>262.93</v>
      </c>
      <c r="J28" s="150" t="n">
        <v>13</v>
      </c>
      <c r="K28" s="135" t="s">
        <v>91</v>
      </c>
      <c r="L28" s="118"/>
      <c r="M28" s="118"/>
      <c r="N28" s="152"/>
      <c r="O28" s="120" t="n">
        <v>149.9</v>
      </c>
      <c r="P28" s="121"/>
      <c r="Q28" s="122"/>
      <c r="R28" s="123"/>
      <c r="S28" s="153" t="n">
        <f aca="false">100.03</f>
        <v>100.03</v>
      </c>
      <c r="T28" s="153"/>
      <c r="U28" s="123"/>
      <c r="V28" s="154"/>
      <c r="W28" s="240"/>
      <c r="X28" s="155"/>
      <c r="Y28" s="155"/>
      <c r="Z28" s="140"/>
    </row>
    <row r="29" s="156" customFormat="true" ht="15" hidden="false" customHeight="false" outlineLevel="0" collapsed="false">
      <c r="A29" s="141" t="n">
        <v>21</v>
      </c>
      <c r="B29" s="241" t="n">
        <v>43180</v>
      </c>
      <c r="C29" s="145" t="n">
        <f aca="false">H29/E29</f>
        <v>1.12771804078059</v>
      </c>
      <c r="D29" s="242" t="n">
        <f aca="false">D28+F29</f>
        <v>-1112.17677419355</v>
      </c>
      <c r="E29" s="145" t="n">
        <f aca="false">E28+G29</f>
        <v>8708.06322580645</v>
      </c>
      <c r="F29" s="146" t="n">
        <f aca="false">G29-I29</f>
        <v>212.459677419355</v>
      </c>
      <c r="G29" s="147" t="n">
        <f aca="false">$C$6/$G$1</f>
        <v>414.669677419355</v>
      </c>
      <c r="H29" s="148" t="n">
        <f aca="false">H28+I29</f>
        <v>9820.24</v>
      </c>
      <c r="I29" s="149" t="n">
        <f aca="false">SUM(J29:AA29)</f>
        <v>202.21</v>
      </c>
      <c r="J29" s="150"/>
      <c r="K29" s="117"/>
      <c r="L29" s="118" t="n">
        <f aca="false">68.66+14.55</f>
        <v>83.21</v>
      </c>
      <c r="M29" s="118"/>
      <c r="N29" s="152"/>
      <c r="O29" s="120"/>
      <c r="P29" s="121"/>
      <c r="Q29" s="122"/>
      <c r="R29" s="123"/>
      <c r="S29" s="153"/>
      <c r="T29" s="153"/>
      <c r="U29" s="123"/>
      <c r="V29" s="154"/>
      <c r="W29" s="240"/>
      <c r="X29" s="155"/>
      <c r="Y29" s="155"/>
      <c r="Z29" s="140" t="n">
        <v>119</v>
      </c>
    </row>
    <row r="30" customFormat="false" ht="15" hidden="false" customHeight="false" outlineLevel="0" collapsed="false">
      <c r="A30" s="157" t="n">
        <v>22</v>
      </c>
      <c r="B30" s="241" t="n">
        <v>43181</v>
      </c>
      <c r="C30" s="159" t="n">
        <f aca="false">H30/E30</f>
        <v>1.1363206738558</v>
      </c>
      <c r="D30" s="242" t="n">
        <f aca="false">D29+F30</f>
        <v>-1243.61709677419</v>
      </c>
      <c r="E30" s="159" t="n">
        <f aca="false">E29+G30</f>
        <v>9122.73290322581</v>
      </c>
      <c r="F30" s="146" t="n">
        <f aca="false">G30-I30</f>
        <v>-131.440322580645</v>
      </c>
      <c r="G30" s="160" t="n">
        <f aca="false">$C$6/$G$1</f>
        <v>414.669677419355</v>
      </c>
      <c r="H30" s="161" t="n">
        <f aca="false">H29+I30</f>
        <v>10366.35</v>
      </c>
      <c r="I30" s="149" t="n">
        <f aca="false">SUM(J30:AA30)</f>
        <v>546.11</v>
      </c>
      <c r="J30" s="150"/>
      <c r="K30" s="117"/>
      <c r="L30" s="118"/>
      <c r="M30" s="118"/>
      <c r="N30" s="152"/>
      <c r="O30" s="120"/>
      <c r="P30" s="121"/>
      <c r="Q30" s="122"/>
      <c r="R30" s="123"/>
      <c r="S30" s="153" t="n">
        <v>198.16</v>
      </c>
      <c r="T30" s="153" t="n">
        <v>307.98</v>
      </c>
      <c r="U30" s="123"/>
      <c r="V30" s="154" t="n">
        <f aca="false">33.47</f>
        <v>33.47</v>
      </c>
      <c r="W30" s="240" t="n">
        <f aca="false">6.5</f>
        <v>6.5</v>
      </c>
      <c r="X30" s="155"/>
      <c r="Y30" s="155"/>
      <c r="Z30" s="140"/>
    </row>
    <row r="31" customFormat="false" ht="15" hidden="false" customHeight="false" outlineLevel="0" collapsed="false">
      <c r="A31" s="162" t="n">
        <v>23</v>
      </c>
      <c r="B31" s="241" t="n">
        <v>43182</v>
      </c>
      <c r="C31" s="164" t="n">
        <f aca="false">H31/E31</f>
        <v>1.08691542716641</v>
      </c>
      <c r="D31" s="242" t="n">
        <f aca="false">D30+F31</f>
        <v>-828.947419354837</v>
      </c>
      <c r="E31" s="164" t="n">
        <f aca="false">E30+G31</f>
        <v>9537.40258064516</v>
      </c>
      <c r="F31" s="146" t="n">
        <f aca="false">G31-I31</f>
        <v>414.669677419355</v>
      </c>
      <c r="G31" s="165" t="n">
        <f aca="false">$C$6/$G$1</f>
        <v>414.669677419355</v>
      </c>
      <c r="H31" s="166" t="n">
        <f aca="false">H30+I31</f>
        <v>10366.35</v>
      </c>
      <c r="I31" s="149" t="n">
        <f aca="false">SUM(J31:AA31)</f>
        <v>0</v>
      </c>
      <c r="J31" s="150"/>
      <c r="K31" s="117"/>
      <c r="L31" s="118"/>
      <c r="M31" s="118"/>
      <c r="N31" s="152"/>
      <c r="O31" s="120"/>
      <c r="P31" s="121"/>
      <c r="Q31" s="122"/>
      <c r="R31" s="123"/>
      <c r="S31" s="153"/>
      <c r="T31" s="153"/>
      <c r="U31" s="123"/>
      <c r="V31" s="154"/>
      <c r="W31" s="240"/>
      <c r="X31" s="155"/>
      <c r="Y31" s="155"/>
      <c r="Z31" s="140"/>
    </row>
    <row r="32" customFormat="false" ht="15" hidden="false" customHeight="false" outlineLevel="0" collapsed="false">
      <c r="A32" s="167" t="n">
        <v>24</v>
      </c>
      <c r="B32" s="243" t="n">
        <v>43183</v>
      </c>
      <c r="C32" s="169" t="n">
        <f aca="false">H32/E32</f>
        <v>1.04162728436781</v>
      </c>
      <c r="D32" s="242" t="n">
        <f aca="false">D31+F32</f>
        <v>-414.277741935483</v>
      </c>
      <c r="E32" s="169" t="n">
        <f aca="false">E31+G32</f>
        <v>9952.07225806452</v>
      </c>
      <c r="F32" s="146" t="n">
        <f aca="false">G32-I32</f>
        <v>414.669677419355</v>
      </c>
      <c r="G32" s="170" t="n">
        <f aca="false">$C$6/$G$1</f>
        <v>414.669677419355</v>
      </c>
      <c r="H32" s="171" t="n">
        <f aca="false">H31+I32</f>
        <v>10366.35</v>
      </c>
      <c r="I32" s="149" t="n">
        <f aca="false">SUM(J32:AA32)</f>
        <v>0</v>
      </c>
      <c r="J32" s="150"/>
      <c r="K32" s="117"/>
      <c r="L32" s="202"/>
      <c r="M32" s="202"/>
      <c r="N32" s="203"/>
      <c r="O32" s="204"/>
      <c r="P32" s="205"/>
      <c r="Q32" s="206"/>
      <c r="R32" s="178"/>
      <c r="S32" s="173"/>
      <c r="T32" s="173"/>
      <c r="U32" s="178"/>
      <c r="V32" s="179"/>
      <c r="W32" s="46"/>
      <c r="X32" s="155"/>
      <c r="Y32" s="155"/>
      <c r="Z32" s="140"/>
    </row>
    <row r="33" s="156" customFormat="true" ht="15" hidden="false" customHeight="false" outlineLevel="0" collapsed="false">
      <c r="A33" s="141" t="n">
        <v>25</v>
      </c>
      <c r="B33" s="142" t="n">
        <v>43184</v>
      </c>
      <c r="C33" s="145" t="n">
        <f aca="false">H33/E33</f>
        <v>1.00149594391494</v>
      </c>
      <c r="D33" s="242" t="n">
        <f aca="false">D32+F33</f>
        <v>-15.5080645161277</v>
      </c>
      <c r="E33" s="145" t="n">
        <f aca="false">E32+G33</f>
        <v>10366.7419354839</v>
      </c>
      <c r="F33" s="146" t="n">
        <f aca="false">G33-I33</f>
        <v>398.769677419355</v>
      </c>
      <c r="G33" s="147" t="n">
        <f aca="false">$C$6/$G$1</f>
        <v>414.669677419355</v>
      </c>
      <c r="H33" s="148" t="n">
        <f aca="false">H32+I33</f>
        <v>10382.25</v>
      </c>
      <c r="I33" s="149" t="n">
        <f aca="false">SUM(J33:AA33)</f>
        <v>15.9</v>
      </c>
      <c r="J33" s="150"/>
      <c r="K33" s="117"/>
      <c r="L33" s="244"/>
      <c r="M33" s="244"/>
      <c r="N33" s="245"/>
      <c r="O33" s="246"/>
      <c r="P33" s="247"/>
      <c r="Q33" s="248"/>
      <c r="R33" s="249"/>
      <c r="S33" s="250"/>
      <c r="T33" s="250"/>
      <c r="U33" s="249"/>
      <c r="V33" s="251" t="n">
        <f aca="false">15.9</f>
        <v>15.9</v>
      </c>
      <c r="W33" s="252"/>
      <c r="X33" s="155"/>
      <c r="Y33" s="155"/>
      <c r="Z33" s="140"/>
    </row>
    <row r="34" customFormat="false" ht="15" hidden="false" customHeight="false" outlineLevel="0" collapsed="false">
      <c r="A34" s="157" t="n">
        <v>26</v>
      </c>
      <c r="B34" s="253" t="n">
        <v>43185</v>
      </c>
      <c r="C34" s="159" t="n">
        <f aca="false">H34/E34</f>
        <v>0.980716661197276</v>
      </c>
      <c r="D34" s="242" t="n">
        <f aca="false">D33+F34</f>
        <v>207.901612903227</v>
      </c>
      <c r="E34" s="159" t="n">
        <f aca="false">E33+G34</f>
        <v>10781.4116129032</v>
      </c>
      <c r="F34" s="146" t="n">
        <f aca="false">G34-I34</f>
        <v>223.409677419355</v>
      </c>
      <c r="G34" s="160" t="n">
        <f aca="false">$C$6/$G$1</f>
        <v>414.669677419355</v>
      </c>
      <c r="H34" s="161" t="n">
        <f aca="false">H33+I34</f>
        <v>10573.51</v>
      </c>
      <c r="I34" s="149" t="n">
        <f aca="false">SUM(J34:AA34)</f>
        <v>191.26</v>
      </c>
      <c r="J34" s="150"/>
      <c r="K34" s="117"/>
      <c r="L34" s="254" t="n">
        <f aca="false">49.38+5.94</f>
        <v>55.32</v>
      </c>
      <c r="M34" s="254" t="n">
        <f aca="false">18</f>
        <v>18</v>
      </c>
      <c r="N34" s="255" t="n">
        <f aca="false">56.97</f>
        <v>56.97</v>
      </c>
      <c r="O34" s="256"/>
      <c r="P34" s="257"/>
      <c r="Q34" s="258"/>
      <c r="R34" s="259"/>
      <c r="S34" s="176"/>
      <c r="T34" s="176"/>
      <c r="U34" s="259"/>
      <c r="V34" s="260" t="n">
        <f aca="false">60.97</f>
        <v>60.97</v>
      </c>
      <c r="W34" s="261"/>
      <c r="X34" s="155"/>
      <c r="Y34" s="155"/>
      <c r="Z34" s="140"/>
    </row>
    <row r="35" customFormat="false" ht="15" hidden="false" customHeight="false" outlineLevel="0" collapsed="false">
      <c r="A35" s="167" t="n">
        <v>27</v>
      </c>
      <c r="B35" s="241" t="n">
        <v>43186</v>
      </c>
      <c r="C35" s="169" t="n">
        <f aca="false">H35/E35</f>
        <v>0.97908721058278</v>
      </c>
      <c r="D35" s="242" t="n">
        <f aca="false">D34+F35</f>
        <v>234.141290322582</v>
      </c>
      <c r="E35" s="169" t="n">
        <f aca="false">E34+G35</f>
        <v>11196.0812903226</v>
      </c>
      <c r="F35" s="146" t="n">
        <f aca="false">G35-I35</f>
        <v>26.2396774193548</v>
      </c>
      <c r="G35" s="170" t="n">
        <f aca="false">$C$6/$G$1</f>
        <v>414.669677419355</v>
      </c>
      <c r="H35" s="171" t="n">
        <f aca="false">H34+I35</f>
        <v>10961.94</v>
      </c>
      <c r="I35" s="149" t="n">
        <f aca="false">SUM(J35:AA35)</f>
        <v>388.43</v>
      </c>
      <c r="J35" s="150"/>
      <c r="K35" s="117"/>
      <c r="L35" s="118"/>
      <c r="M35" s="118"/>
      <c r="N35" s="152"/>
      <c r="O35" s="120"/>
      <c r="P35" s="121"/>
      <c r="Q35" s="122" t="n">
        <f aca="false">104.75+62.42</f>
        <v>167.17</v>
      </c>
      <c r="R35" s="123" t="n">
        <f aca="false">0.67</f>
        <v>0.67</v>
      </c>
      <c r="S35" s="153" t="n">
        <f aca="false">220.59</f>
        <v>220.59</v>
      </c>
      <c r="T35" s="153"/>
      <c r="U35" s="123"/>
      <c r="V35" s="154"/>
      <c r="W35" s="240"/>
      <c r="X35" s="155"/>
      <c r="Y35" s="155"/>
      <c r="Z35" s="140"/>
    </row>
    <row r="36" s="156" customFormat="true" ht="15" hidden="false" customHeight="false" outlineLevel="0" collapsed="false">
      <c r="A36" s="141" t="n">
        <v>28</v>
      </c>
      <c r="B36" s="241" t="n">
        <v>43187</v>
      </c>
      <c r="C36" s="145" t="n">
        <f aca="false">H36/E36</f>
        <v>0.954555827680063</v>
      </c>
      <c r="D36" s="242" t="n">
        <f aca="false">D35+F36</f>
        <v>527.640967741937</v>
      </c>
      <c r="E36" s="145" t="n">
        <f aca="false">E35+G36</f>
        <v>11610.7509677419</v>
      </c>
      <c r="F36" s="146" t="n">
        <f aca="false">G36-I36</f>
        <v>293.499677419355</v>
      </c>
      <c r="G36" s="147" t="n">
        <f aca="false">$C$6/$G$1</f>
        <v>414.669677419355</v>
      </c>
      <c r="H36" s="148" t="n">
        <f aca="false">H35+I36</f>
        <v>11083.11</v>
      </c>
      <c r="I36" s="149" t="n">
        <f aca="false">SUM(J36:AA36)</f>
        <v>121.17</v>
      </c>
      <c r="J36" s="201" t="n">
        <v>29.99</v>
      </c>
      <c r="K36" s="117" t="s">
        <v>97</v>
      </c>
      <c r="L36" s="118" t="n">
        <f aca="false">76.2</f>
        <v>76.2</v>
      </c>
      <c r="M36" s="118"/>
      <c r="N36" s="152"/>
      <c r="O36" s="120"/>
      <c r="P36" s="121" t="n">
        <f aca="false">4.99</f>
        <v>4.99</v>
      </c>
      <c r="Q36" s="122" t="n">
        <f aca="false">9.99</f>
        <v>9.99</v>
      </c>
      <c r="R36" s="123"/>
      <c r="S36" s="153"/>
      <c r="T36" s="153"/>
      <c r="U36" s="123"/>
      <c r="V36" s="154"/>
      <c r="W36" s="240"/>
      <c r="X36" s="155"/>
      <c r="Y36" s="155"/>
      <c r="Z36" s="209"/>
    </row>
    <row r="37" customFormat="false" ht="15" hidden="false" customHeight="false" outlineLevel="0" collapsed="false">
      <c r="A37" s="157" t="n">
        <v>29</v>
      </c>
      <c r="B37" s="241" t="n">
        <v>43188</v>
      </c>
      <c r="C37" s="159" t="n">
        <f aca="false">H37/E37</f>
        <v>0.921640109484198</v>
      </c>
      <c r="D37" s="242" t="n">
        <f aca="false">D36+F37</f>
        <v>942.310645161292</v>
      </c>
      <c r="E37" s="159" t="n">
        <f aca="false">E36+G37</f>
        <v>12025.4206451613</v>
      </c>
      <c r="F37" s="146" t="n">
        <f aca="false">G37-I37</f>
        <v>414.669677419355</v>
      </c>
      <c r="G37" s="160" t="n">
        <f aca="false">$C$6/$G$1</f>
        <v>414.669677419355</v>
      </c>
      <c r="H37" s="161" t="n">
        <f aca="false">H36+I37</f>
        <v>11083.11</v>
      </c>
      <c r="I37" s="149" t="n">
        <f aca="false">SUM(J37:AA37)</f>
        <v>0</v>
      </c>
      <c r="J37" s="150"/>
      <c r="K37" s="117"/>
      <c r="L37" s="118"/>
      <c r="M37" s="118"/>
      <c r="N37" s="152"/>
      <c r="O37" s="120"/>
      <c r="P37" s="121"/>
      <c r="Q37" s="122"/>
      <c r="R37" s="123"/>
      <c r="S37" s="153"/>
      <c r="T37" s="153"/>
      <c r="U37" s="123"/>
      <c r="V37" s="154"/>
      <c r="W37" s="240"/>
      <c r="X37" s="155"/>
      <c r="Y37" s="155"/>
      <c r="Z37" s="209"/>
    </row>
    <row r="38" customFormat="false" ht="15" hidden="false" customHeight="false" outlineLevel="0" collapsed="false">
      <c r="A38" s="162" t="n">
        <v>30</v>
      </c>
      <c r="B38" s="241" t="n">
        <v>43189</v>
      </c>
      <c r="C38" s="164" t="n">
        <f aca="false">H38/E38</f>
        <v>0.94770051456944</v>
      </c>
      <c r="D38" s="242" t="n">
        <f aca="false">D37+F38</f>
        <v>650.610322580647</v>
      </c>
      <c r="E38" s="164" t="n">
        <f aca="false">E37+G38</f>
        <v>12440.0903225807</v>
      </c>
      <c r="F38" s="146" t="n">
        <f aca="false">G38-I38</f>
        <v>-291.700322580645</v>
      </c>
      <c r="G38" s="165" t="n">
        <f aca="false">$C$6/$G$1</f>
        <v>414.669677419355</v>
      </c>
      <c r="H38" s="166" t="n">
        <f aca="false">H37+I38</f>
        <v>11789.48</v>
      </c>
      <c r="I38" s="149" t="n">
        <f aca="false">SUM(J38:AA38)</f>
        <v>706.37</v>
      </c>
      <c r="J38" s="150"/>
      <c r="K38" s="117"/>
      <c r="L38" s="118" t="n">
        <f aca="false">1.99+6.99+60.74-32.99+61.22+3.99+13.54+35.85-8.99+91.84+20.83</f>
        <v>255.01</v>
      </c>
      <c r="M38" s="118"/>
      <c r="N38" s="152" t="n">
        <f aca="false">22.99+11.19+6.99+3.99+8.99+17.47</f>
        <v>71.62</v>
      </c>
      <c r="O38" s="120"/>
      <c r="P38" s="121" t="n">
        <f aca="false">9.99+7.59+14.99+32.99</f>
        <v>65.56</v>
      </c>
      <c r="Q38" s="122" t="n">
        <f aca="false">37.94+37.94+146.44</f>
        <v>222.32</v>
      </c>
      <c r="R38" s="123" t="n">
        <f aca="false">24.87</f>
        <v>24.87</v>
      </c>
      <c r="S38" s="153"/>
      <c r="T38" s="153" t="n">
        <f aca="false">26.99</f>
        <v>26.99</v>
      </c>
      <c r="U38" s="123"/>
      <c r="V38" s="154"/>
      <c r="W38" s="240"/>
      <c r="X38" s="155"/>
      <c r="Y38" s="155"/>
      <c r="Z38" s="209" t="n">
        <f aca="false">20+20</f>
        <v>40</v>
      </c>
    </row>
    <row r="39" customFormat="false" ht="15" hidden="false" customHeight="false" outlineLevel="0" collapsed="false">
      <c r="A39" s="167" t="n">
        <v>31</v>
      </c>
      <c r="B39" s="241" t="n">
        <v>43190</v>
      </c>
      <c r="C39" s="169" t="n">
        <f aca="false">H39/E39</f>
        <v>0.93335309255093</v>
      </c>
      <c r="D39" s="242" t="n">
        <f aca="false">D38+F39</f>
        <v>856.730000000002</v>
      </c>
      <c r="E39" s="169" t="n">
        <f aca="false">E38+G39</f>
        <v>12854.76</v>
      </c>
      <c r="F39" s="146" t="n">
        <f aca="false">G39-I39</f>
        <v>206.119677419355</v>
      </c>
      <c r="G39" s="170" t="n">
        <f aca="false">$C$6/$G$1</f>
        <v>414.669677419355</v>
      </c>
      <c r="H39" s="171" t="n">
        <f aca="false">H38+I39</f>
        <v>11998.03</v>
      </c>
      <c r="I39" s="149" t="n">
        <f aca="false">SUM(J39:AA39)</f>
        <v>208.55</v>
      </c>
      <c r="J39" s="150"/>
      <c r="K39" s="117"/>
      <c r="L39" s="118" t="n">
        <f aca="false">6.99+2.12+1.97+2.67+5.9</f>
        <v>19.65</v>
      </c>
      <c r="M39" s="118"/>
      <c r="N39" s="152" t="n">
        <f aca="false">5.99</f>
        <v>5.99</v>
      </c>
      <c r="O39" s="120"/>
      <c r="P39" s="121"/>
      <c r="Q39" s="122"/>
      <c r="R39" s="123"/>
      <c r="S39" s="153"/>
      <c r="T39" s="153"/>
      <c r="U39" s="178" t="n">
        <f aca="false">24.99+17.5+31.98</f>
        <v>74.47</v>
      </c>
      <c r="V39" s="179"/>
      <c r="W39" s="240"/>
      <c r="X39" s="155" t="n">
        <f aca="false">48.45+59.99</f>
        <v>108.44</v>
      </c>
      <c r="Y39" s="155"/>
      <c r="Z39" s="209"/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2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4.57"/>
    <col collapsed="false" customWidth="true" hidden="false" outlineLevel="0" max="10" min="10" style="65" width="16.43"/>
    <col collapsed="false" customWidth="true" hidden="false" outlineLevel="0" max="11" min="11" style="65" width="21.71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2.57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26" min="24" style="65" width="9.14"/>
    <col collapsed="false" customWidth="true" hidden="false" outlineLevel="0" max="27" min="27" style="65" width="10.57"/>
    <col collapsed="false" customWidth="true" hidden="false" outlineLevel="0" max="1025" min="28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30</v>
      </c>
    </row>
    <row r="2" customFormat="false" ht="13.8" hidden="false" customHeight="false" outlineLevel="0" collapsed="false">
      <c r="B2" s="71" t="s">
        <v>50</v>
      </c>
      <c r="C2" s="72" t="n">
        <v>4466.76</v>
      </c>
      <c r="D2" s="72" t="n">
        <v>2807</v>
      </c>
      <c r="E2" s="72"/>
    </row>
    <row r="3" customFormat="false" ht="60" hidden="false" customHeight="false" outlineLevel="0" collapsed="false">
      <c r="B3" s="71" t="s">
        <v>51</v>
      </c>
      <c r="C3" s="72" t="n">
        <v>200</v>
      </c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 t="n">
        <f aca="false">260+10</f>
        <v>270</v>
      </c>
      <c r="D4" s="72"/>
      <c r="E4" s="72"/>
      <c r="F4" s="181" t="n">
        <v>1000</v>
      </c>
      <c r="G4" s="182" t="n">
        <f aca="false">C6-F4</f>
        <v>10149.76</v>
      </c>
      <c r="H4" s="183" t="n">
        <f aca="false">G4-H6</f>
        <v>167.08</v>
      </c>
      <c r="I4" s="217" t="n">
        <f aca="false">C6-H6</f>
        <v>1167.08</v>
      </c>
    </row>
    <row r="5" customFormat="false" ht="18" hidden="false" customHeight="false" outlineLevel="0" collapsed="false">
      <c r="B5" s="83" t="s">
        <v>53</v>
      </c>
      <c r="C5" s="84" t="n">
        <v>6</v>
      </c>
      <c r="D5" s="84"/>
      <c r="E5" s="84" t="n">
        <f aca="false">400+2000+1000</f>
        <v>3400</v>
      </c>
      <c r="J5" s="218" t="n">
        <f aca="false">J7/H6</f>
        <v>0.135652950910978</v>
      </c>
      <c r="K5" s="218"/>
      <c r="L5" s="219" t="n">
        <f aca="false">(L7+M7)/H6</f>
        <v>0.129965099552425</v>
      </c>
      <c r="M5" s="219"/>
      <c r="N5" s="220" t="n">
        <f aca="false">N7/H6</f>
        <v>0.0222064615914764</v>
      </c>
      <c r="O5" s="221" t="n">
        <f aca="false">O7/H6</f>
        <v>0.252682646343467</v>
      </c>
      <c r="P5" s="222" t="n">
        <f aca="false">P7/H6</f>
        <v>0.0148136572543646</v>
      </c>
      <c r="Q5" s="223" t="n">
        <f aca="false">Q7/H6</f>
        <v>0.0699110860009537</v>
      </c>
      <c r="R5" s="224" t="n">
        <f aca="false">R7/H6</f>
        <v>0.00227193499140511</v>
      </c>
      <c r="S5" s="225" t="n">
        <f aca="false">(S7+T7)/H6</f>
        <v>0.228291400706023</v>
      </c>
      <c r="T5" s="225"/>
      <c r="U5" s="226" t="n">
        <f aca="false">(U7+V7)/H6</f>
        <v>0.0105392539879071</v>
      </c>
      <c r="V5" s="226"/>
      <c r="W5" s="227" t="n">
        <f aca="false">W7/H6</f>
        <v>0.00130225550653732</v>
      </c>
      <c r="X5" s="228" t="n">
        <f aca="false">(X7+Y7)/H6</f>
        <v>0.0201939759663738</v>
      </c>
      <c r="Y5" s="228"/>
      <c r="Z5" s="229" t="n">
        <f aca="false">Z7/H6</f>
        <v>0.0118204730593388</v>
      </c>
      <c r="AA5" s="263" t="n">
        <f aca="false">AA7/H6</f>
        <v>0.00801388004022968</v>
      </c>
      <c r="AB5" s="264" t="n">
        <f aca="false">AB7/H6</f>
        <v>0.0923349240885213</v>
      </c>
    </row>
    <row r="6" customFormat="false" ht="57" hidden="false" customHeight="true" outlineLevel="0" collapsed="false">
      <c r="B6" s="98" t="s">
        <v>56</v>
      </c>
      <c r="C6" s="230" t="n">
        <f aca="false">SUM(C2:C5)+SUM(D2:D5)+SUM(E2:E5)</f>
        <v>11149.76</v>
      </c>
      <c r="D6" s="100"/>
      <c r="E6" s="101"/>
      <c r="G6" s="102" t="s">
        <v>57</v>
      </c>
      <c r="H6" s="103" t="n">
        <f aca="false">SUM(J7:AB7)</f>
        <v>9982.68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</row>
    <row r="7" customFormat="false" ht="15.75" hidden="false" customHeight="false" outlineLevel="0" collapsed="false">
      <c r="B7" s="116"/>
      <c r="J7" s="117" t="n">
        <f aca="false">SUM(J9:J38)</f>
        <v>1354.18</v>
      </c>
      <c r="K7" s="117"/>
      <c r="L7" s="118" t="n">
        <f aca="false">SUM(L9:L38)</f>
        <v>1115.81</v>
      </c>
      <c r="M7" s="118" t="n">
        <f aca="false">SUM(M9:M38)</f>
        <v>181.59</v>
      </c>
      <c r="N7" s="119" t="n">
        <f aca="false">SUM(N9:N38)</f>
        <v>221.68</v>
      </c>
      <c r="O7" s="120" t="n">
        <f aca="false">SUM(O9:O38)</f>
        <v>2522.45</v>
      </c>
      <c r="P7" s="121" t="n">
        <f aca="false">SUM(P9:P38)</f>
        <v>147.88</v>
      </c>
      <c r="Q7" s="122" t="n">
        <f aca="false">SUM(Q9:Q38)</f>
        <v>697.9</v>
      </c>
      <c r="R7" s="123" t="n">
        <f aca="false">SUM(R9:R38)</f>
        <v>22.68</v>
      </c>
      <c r="S7" s="37" t="n">
        <f aca="false">SUM(S9:S38)</f>
        <v>695.66</v>
      </c>
      <c r="T7" s="37" t="n">
        <f aca="false">SUM(T9:T38)</f>
        <v>1583.3</v>
      </c>
      <c r="U7" s="36" t="n">
        <f aca="false">SUM(U9:U38)</f>
        <v>72.36</v>
      </c>
      <c r="V7" s="124" t="n">
        <f aca="false">SUM(V9:V38)</f>
        <v>32.85</v>
      </c>
      <c r="W7" s="38" t="n">
        <f aca="false">SUM(W9:W38)</f>
        <v>13</v>
      </c>
      <c r="X7" s="39" t="n">
        <f aca="false">SUM(X9:X38)</f>
        <v>13.48</v>
      </c>
      <c r="Y7" s="39" t="n">
        <f aca="false">SUM(Y9:Y38)</f>
        <v>188.11</v>
      </c>
      <c r="Z7" s="40" t="n">
        <f aca="false">SUM(Z9:Z38)</f>
        <v>118</v>
      </c>
      <c r="AA7" s="41" t="n">
        <f aca="false">SUM(AA9:AA38)</f>
        <v>80</v>
      </c>
      <c r="AB7" s="34" t="n">
        <f aca="false">SUM(AB9:AB38)</f>
        <v>921.75</v>
      </c>
    </row>
    <row r="8" customFormat="false" ht="69.75" hidden="false" customHeight="false" outlineLevel="0" collapsed="false">
      <c r="A8" s="126" t="s">
        <v>61</v>
      </c>
      <c r="B8" s="127" t="s">
        <v>62</v>
      </c>
      <c r="C8" s="128" t="s">
        <v>63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267"/>
      <c r="AB8" s="266"/>
    </row>
    <row r="9" s="156" customFormat="true" ht="15" hidden="false" customHeight="false" outlineLevel="0" collapsed="false">
      <c r="A9" s="141" t="n">
        <v>1</v>
      </c>
      <c r="B9" s="268" t="n">
        <v>43191</v>
      </c>
      <c r="C9" s="145" t="n">
        <f aca="false">H9/E9</f>
        <v>0.107625634991246</v>
      </c>
      <c r="D9" s="144" t="n">
        <f aca="false">F9</f>
        <v>331.658666666667</v>
      </c>
      <c r="E9" s="145" t="n">
        <f aca="false">G9</f>
        <v>371.658666666667</v>
      </c>
      <c r="F9" s="146" t="n">
        <f aca="false">G9-I9</f>
        <v>331.658666666667</v>
      </c>
      <c r="G9" s="147" t="n">
        <f aca="false">$C$6/$G$1</f>
        <v>371.658666666667</v>
      </c>
      <c r="H9" s="148" t="n">
        <f aca="false">I9</f>
        <v>40</v>
      </c>
      <c r="I9" s="149" t="n">
        <f aca="false">SUM(J9:AA9)</f>
        <v>40</v>
      </c>
      <c r="J9" s="150"/>
      <c r="K9" s="117"/>
      <c r="L9" s="118"/>
      <c r="M9" s="118"/>
      <c r="N9" s="152"/>
      <c r="O9" s="120"/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 t="n">
        <f aca="false">30+10</f>
        <v>40</v>
      </c>
      <c r="AA9" s="269"/>
      <c r="AB9" s="270"/>
    </row>
    <row r="10" customFormat="false" ht="15" hidden="false" customHeight="false" outlineLevel="0" collapsed="false">
      <c r="A10" s="157" t="n">
        <v>2</v>
      </c>
      <c r="B10" s="142" t="n">
        <v>43192</v>
      </c>
      <c r="C10" s="159" t="n">
        <f aca="false">H10/E10</f>
        <v>0.134532043739058</v>
      </c>
      <c r="D10" s="242" t="n">
        <f aca="false">D9+F10</f>
        <v>643.317333333333</v>
      </c>
      <c r="E10" s="159" t="n">
        <f aca="false">E9+G10</f>
        <v>743.317333333333</v>
      </c>
      <c r="F10" s="146" t="n">
        <f aca="false">G10-I10</f>
        <v>311.658666666667</v>
      </c>
      <c r="G10" s="160" t="n">
        <f aca="false">$C$6/$G$1</f>
        <v>371.658666666667</v>
      </c>
      <c r="H10" s="161" t="n">
        <f aca="false">H9+I10</f>
        <v>100</v>
      </c>
      <c r="I10" s="149" t="n">
        <f aca="false">SUM(J10:AA10)</f>
        <v>60</v>
      </c>
      <c r="J10" s="150"/>
      <c r="K10" s="135"/>
      <c r="L10" s="118"/>
      <c r="M10" s="118"/>
      <c r="N10" s="152"/>
      <c r="O10" s="120"/>
      <c r="P10" s="121"/>
      <c r="Q10" s="122"/>
      <c r="R10" s="123"/>
      <c r="S10" s="153"/>
      <c r="T10" s="153" t="n">
        <v>40</v>
      </c>
      <c r="U10" s="123"/>
      <c r="V10" s="154"/>
      <c r="W10" s="240"/>
      <c r="X10" s="155"/>
      <c r="Y10" s="155"/>
      <c r="Z10" s="140" t="n">
        <v>20</v>
      </c>
      <c r="AA10" s="267"/>
      <c r="AB10" s="266"/>
    </row>
    <row r="11" customFormat="false" ht="15" hidden="false" customHeight="false" outlineLevel="0" collapsed="false">
      <c r="A11" s="167" t="n">
        <v>3</v>
      </c>
      <c r="B11" s="271" t="n">
        <v>43193</v>
      </c>
      <c r="C11" s="169" t="n">
        <f aca="false">H11/E11</f>
        <v>0.169662844760784</v>
      </c>
      <c r="D11" s="242" t="n">
        <f aca="false">D10+F11</f>
        <v>925.806</v>
      </c>
      <c r="E11" s="169" t="n">
        <f aca="false">E10+G11</f>
        <v>1114.976</v>
      </c>
      <c r="F11" s="146" t="n">
        <f aca="false">G11-I11</f>
        <v>282.488666666667</v>
      </c>
      <c r="G11" s="170" t="n">
        <f aca="false">$C$6/$G$1</f>
        <v>371.658666666667</v>
      </c>
      <c r="H11" s="171" t="n">
        <f aca="false">H10+I11</f>
        <v>189.17</v>
      </c>
      <c r="I11" s="149" t="n">
        <f aca="false">SUM(J11:AA11)</f>
        <v>89.17</v>
      </c>
      <c r="J11" s="150"/>
      <c r="K11" s="117"/>
      <c r="L11" s="202" t="n">
        <f aca="false">3.39+4.1+7.97</f>
        <v>15.46</v>
      </c>
      <c r="M11" s="202"/>
      <c r="N11" s="203"/>
      <c r="O11" s="204"/>
      <c r="P11" s="205"/>
      <c r="Q11" s="206" t="n">
        <f aca="false">6</f>
        <v>6</v>
      </c>
      <c r="R11" s="178" t="n">
        <f aca="false">9.98</f>
        <v>9.98</v>
      </c>
      <c r="S11" s="173"/>
      <c r="T11" s="173"/>
      <c r="U11" s="178" t="n">
        <f aca="false">57.73</f>
        <v>57.73</v>
      </c>
      <c r="V11" s="179"/>
      <c r="W11" s="46"/>
      <c r="X11" s="155"/>
      <c r="Y11" s="155"/>
      <c r="Z11" s="140"/>
      <c r="AA11" s="267"/>
      <c r="AB11" s="266"/>
    </row>
    <row r="12" s="156" customFormat="true" ht="15" hidden="false" customHeight="false" outlineLevel="0" collapsed="false">
      <c r="A12" s="141" t="n">
        <v>4</v>
      </c>
      <c r="B12" s="241" t="n">
        <v>43194</v>
      </c>
      <c r="C12" s="145" t="n">
        <f aca="false">H12/E12</f>
        <v>0.211006784002526</v>
      </c>
      <c r="D12" s="242" t="n">
        <f aca="false">D11+F12</f>
        <v>1172.94466666667</v>
      </c>
      <c r="E12" s="145" t="n">
        <f aca="false">E11+G12</f>
        <v>1486.63466666667</v>
      </c>
      <c r="F12" s="146" t="n">
        <f aca="false">G12-I12</f>
        <v>247.138666666667</v>
      </c>
      <c r="G12" s="147" t="n">
        <f aca="false">$C$6/$G$1</f>
        <v>371.658666666667</v>
      </c>
      <c r="H12" s="148" t="n">
        <f aca="false">H11+I12</f>
        <v>313.69</v>
      </c>
      <c r="I12" s="149" t="n">
        <f aca="false">SUM(J12:AA12)</f>
        <v>124.52</v>
      </c>
      <c r="J12" s="150"/>
      <c r="K12" s="117"/>
      <c r="L12" s="244" t="n">
        <f aca="false">124.52</f>
        <v>124.52</v>
      </c>
      <c r="M12" s="244"/>
      <c r="N12" s="245"/>
      <c r="O12" s="246"/>
      <c r="P12" s="247"/>
      <c r="Q12" s="248"/>
      <c r="R12" s="249"/>
      <c r="S12" s="250"/>
      <c r="T12" s="250"/>
      <c r="U12" s="249"/>
      <c r="V12" s="251"/>
      <c r="W12" s="252"/>
      <c r="X12" s="155"/>
      <c r="Y12" s="155"/>
      <c r="Z12" s="140"/>
      <c r="AA12" s="269"/>
      <c r="AB12" s="270"/>
    </row>
    <row r="13" customFormat="false" ht="15" hidden="false" customHeight="false" outlineLevel="0" collapsed="false">
      <c r="A13" s="157" t="n">
        <v>5</v>
      </c>
      <c r="B13" s="271" t="n">
        <v>43195</v>
      </c>
      <c r="C13" s="159" t="n">
        <f aca="false">H13/E13</f>
        <v>0.203557744740694</v>
      </c>
      <c r="D13" s="242" t="n">
        <f aca="false">D12+F13</f>
        <v>1480.02333333333</v>
      </c>
      <c r="E13" s="159" t="n">
        <f aca="false">E12+G13</f>
        <v>1858.29333333333</v>
      </c>
      <c r="F13" s="146" t="n">
        <f aca="false">G13-I13</f>
        <v>307.078666666667</v>
      </c>
      <c r="G13" s="160" t="n">
        <f aca="false">$C$6/$G$1</f>
        <v>371.658666666667</v>
      </c>
      <c r="H13" s="161" t="n">
        <f aca="false">H12+I13</f>
        <v>378.27</v>
      </c>
      <c r="I13" s="149" t="n">
        <f aca="false">SUM(J13:AA13)</f>
        <v>64.58</v>
      </c>
      <c r="J13" s="150"/>
      <c r="K13" s="117"/>
      <c r="L13" s="254" t="n">
        <f aca="false">2.17+3.99</f>
        <v>6.16</v>
      </c>
      <c r="M13" s="254"/>
      <c r="N13" s="255"/>
      <c r="O13" s="256"/>
      <c r="P13" s="257"/>
      <c r="Q13" s="258" t="n">
        <f aca="false">7.99+23.96</f>
        <v>31.95</v>
      </c>
      <c r="R13" s="259" t="n">
        <f aca="false">5.52</f>
        <v>5.52</v>
      </c>
      <c r="S13" s="176"/>
      <c r="T13" s="176"/>
      <c r="U13" s="259"/>
      <c r="V13" s="260" t="n">
        <f aca="false">20.95</f>
        <v>20.95</v>
      </c>
      <c r="W13" s="261"/>
      <c r="X13" s="155"/>
      <c r="Y13" s="155"/>
      <c r="Z13" s="140"/>
      <c r="AA13" s="267"/>
      <c r="AB13" s="266"/>
    </row>
    <row r="14" customFormat="false" ht="15" hidden="false" customHeight="false" outlineLevel="0" collapsed="false">
      <c r="A14" s="167" t="n">
        <v>6</v>
      </c>
      <c r="B14" s="241" t="n">
        <v>43196</v>
      </c>
      <c r="C14" s="169" t="n">
        <f aca="false">H14/E14</f>
        <v>0.186672179490859</v>
      </c>
      <c r="D14" s="242" t="n">
        <f aca="false">D13+F14</f>
        <v>1813.682</v>
      </c>
      <c r="E14" s="169" t="n">
        <f aca="false">E13+G14</f>
        <v>2229.952</v>
      </c>
      <c r="F14" s="146" t="n">
        <f aca="false">G14-I14</f>
        <v>333.658666666667</v>
      </c>
      <c r="G14" s="170" t="n">
        <f aca="false">$C$6/$G$1</f>
        <v>371.658666666667</v>
      </c>
      <c r="H14" s="171" t="n">
        <f aca="false">H13+I14</f>
        <v>416.27</v>
      </c>
      <c r="I14" s="149" t="n">
        <f aca="false">SUM(J14:AA14)</f>
        <v>38</v>
      </c>
      <c r="J14" s="150"/>
      <c r="K14" s="135"/>
      <c r="L14" s="118"/>
      <c r="M14" s="118"/>
      <c r="N14" s="152"/>
      <c r="O14" s="120"/>
      <c r="P14" s="121"/>
      <c r="Q14" s="122"/>
      <c r="R14" s="123"/>
      <c r="S14" s="153"/>
      <c r="T14" s="153" t="n">
        <v>38</v>
      </c>
      <c r="U14" s="123"/>
      <c r="V14" s="154"/>
      <c r="W14" s="240"/>
      <c r="X14" s="155"/>
      <c r="Y14" s="155"/>
      <c r="Z14" s="140"/>
      <c r="AA14" s="267"/>
      <c r="AB14" s="266"/>
    </row>
    <row r="15" s="156" customFormat="true" ht="15" hidden="false" customHeight="false" outlineLevel="0" collapsed="false">
      <c r="A15" s="141" t="n">
        <v>7</v>
      </c>
      <c r="B15" s="272" t="n">
        <v>43197</v>
      </c>
      <c r="C15" s="145" t="n">
        <f aca="false">H15/E15</f>
        <v>0.996867069015707</v>
      </c>
      <c r="D15" s="242" t="n">
        <f aca="false">D14+F15</f>
        <v>8.15066666666644</v>
      </c>
      <c r="E15" s="145" t="n">
        <f aca="false">E14+G15</f>
        <v>2601.61066666667</v>
      </c>
      <c r="F15" s="146" t="n">
        <f aca="false">G15-I15</f>
        <v>-1805.53133333333</v>
      </c>
      <c r="G15" s="147" t="n">
        <f aca="false">$C$6/$G$1</f>
        <v>371.658666666667</v>
      </c>
      <c r="H15" s="148" t="n">
        <f aca="false">H14+I15</f>
        <v>2593.46</v>
      </c>
      <c r="I15" s="149" t="n">
        <f aca="false">SUM(J15:AA15)</f>
        <v>2177.19</v>
      </c>
      <c r="J15" s="150" t="n">
        <v>66.07</v>
      </c>
      <c r="K15" s="117" t="s">
        <v>101</v>
      </c>
      <c r="L15" s="118" t="n">
        <f aca="false">10.98+34.37-7.99+21.27+4.1+33.79</f>
        <v>96.52</v>
      </c>
      <c r="M15" s="118"/>
      <c r="N15" s="152" t="n">
        <f aca="false">9.99+7.99</f>
        <v>17.98</v>
      </c>
      <c r="O15" s="120" t="n">
        <f aca="false">1699</f>
        <v>1699</v>
      </c>
      <c r="P15" s="121"/>
      <c r="Q15" s="122" t="n">
        <f aca="false">58.14+2.5</f>
        <v>60.64</v>
      </c>
      <c r="R15" s="123"/>
      <c r="S15" s="153" t="n">
        <f aca="false">236.98</f>
        <v>236.98</v>
      </c>
      <c r="T15" s="153"/>
      <c r="U15" s="123"/>
      <c r="V15" s="154"/>
      <c r="W15" s="240"/>
      <c r="X15" s="155"/>
      <c r="Y15" s="155"/>
      <c r="Z15" s="140"/>
      <c r="AA15" s="269"/>
      <c r="AB15" s="270"/>
    </row>
    <row r="16" customFormat="false" ht="15" hidden="false" customHeight="false" outlineLevel="0" collapsed="false">
      <c r="A16" s="157" t="n">
        <v>8</v>
      </c>
      <c r="B16" s="142" t="n">
        <v>43198</v>
      </c>
      <c r="C16" s="159" t="n">
        <f aca="false">H16/E16</f>
        <v>1.26791742602531</v>
      </c>
      <c r="D16" s="242" t="n">
        <f aca="false">D15+F16</f>
        <v>-796.590666666667</v>
      </c>
      <c r="E16" s="159" t="n">
        <f aca="false">E15+G16</f>
        <v>2973.26933333333</v>
      </c>
      <c r="F16" s="146" t="n">
        <f aca="false">G16-I16</f>
        <v>-804.741333333333</v>
      </c>
      <c r="G16" s="160" t="n">
        <f aca="false">$C$6/$G$1</f>
        <v>371.658666666667</v>
      </c>
      <c r="H16" s="161" t="n">
        <f aca="false">H15+I16</f>
        <v>3769.86</v>
      </c>
      <c r="I16" s="149" t="n">
        <f aca="false">SUM(J16:AA16)</f>
        <v>1176.4</v>
      </c>
      <c r="J16" s="150" t="n">
        <v>607.4</v>
      </c>
      <c r="K16" s="135" t="s">
        <v>86</v>
      </c>
      <c r="L16" s="118"/>
      <c r="M16" s="118"/>
      <c r="N16" s="152"/>
      <c r="O16" s="120"/>
      <c r="P16" s="121"/>
      <c r="Q16" s="122"/>
      <c r="R16" s="123"/>
      <c r="S16" s="153"/>
      <c r="T16" s="153" t="n">
        <v>564</v>
      </c>
      <c r="U16" s="123"/>
      <c r="V16" s="154"/>
      <c r="W16" s="240"/>
      <c r="X16" s="155"/>
      <c r="Y16" s="155"/>
      <c r="Z16" s="140" t="n">
        <f aca="false">5</f>
        <v>5</v>
      </c>
      <c r="AA16" s="267"/>
      <c r="AB16" s="266"/>
    </row>
    <row r="17" customFormat="false" ht="15" hidden="false" customHeight="false" outlineLevel="0" collapsed="false">
      <c r="A17" s="162" t="n">
        <v>9</v>
      </c>
      <c r="B17" s="271" t="n">
        <v>43199</v>
      </c>
      <c r="C17" s="164" t="n">
        <f aca="false">H17/E17</f>
        <v>1.31001623951248</v>
      </c>
      <c r="D17" s="242" t="n">
        <f aca="false">D16+F17</f>
        <v>-1036.982</v>
      </c>
      <c r="E17" s="164" t="n">
        <f aca="false">E16+G17</f>
        <v>3344.928</v>
      </c>
      <c r="F17" s="146" t="n">
        <f aca="false">G17-I17</f>
        <v>-240.391333333333</v>
      </c>
      <c r="G17" s="165" t="n">
        <f aca="false">$C$6/$G$1</f>
        <v>371.658666666667</v>
      </c>
      <c r="H17" s="166" t="n">
        <f aca="false">H16+I17</f>
        <v>4381.91</v>
      </c>
      <c r="I17" s="149" t="n">
        <f aca="false">SUM(J17:AA17)</f>
        <v>612.05</v>
      </c>
      <c r="J17" s="150" t="n">
        <v>562.6</v>
      </c>
      <c r="K17" s="135" t="s">
        <v>87</v>
      </c>
      <c r="L17" s="118" t="n">
        <f aca="false">5.3+24.71</f>
        <v>30.01</v>
      </c>
      <c r="M17" s="118"/>
      <c r="N17" s="152"/>
      <c r="O17" s="120"/>
      <c r="P17" s="121"/>
      <c r="Q17" s="122"/>
      <c r="R17" s="123"/>
      <c r="S17" s="153"/>
      <c r="T17" s="153"/>
      <c r="U17" s="123"/>
      <c r="V17" s="154"/>
      <c r="W17" s="240"/>
      <c r="X17" s="155"/>
      <c r="Y17" s="155" t="n">
        <f aca="false">19.44</f>
        <v>19.44</v>
      </c>
      <c r="Z17" s="140"/>
      <c r="AA17" s="267"/>
      <c r="AB17" s="266"/>
    </row>
    <row r="18" customFormat="false" ht="15" hidden="false" customHeight="false" outlineLevel="0" collapsed="false">
      <c r="A18" s="167" t="n">
        <v>10</v>
      </c>
      <c r="B18" s="241" t="n">
        <v>43200</v>
      </c>
      <c r="C18" s="169" t="n">
        <f aca="false">H18/E18</f>
        <v>1.17901461556123</v>
      </c>
      <c r="D18" s="242" t="n">
        <f aca="false">D17+F18</f>
        <v>-665.323333333334</v>
      </c>
      <c r="E18" s="169" t="n">
        <f aca="false">E17+G18</f>
        <v>3716.58666666667</v>
      </c>
      <c r="F18" s="146" t="n">
        <f aca="false">G18-I18</f>
        <v>371.658666666667</v>
      </c>
      <c r="G18" s="170" t="n">
        <f aca="false">$C$6/$G$1</f>
        <v>371.658666666667</v>
      </c>
      <c r="H18" s="171" t="n">
        <f aca="false">H17+I18</f>
        <v>4381.91</v>
      </c>
      <c r="I18" s="149" t="n">
        <f aca="false">SUM(J18:AA18)</f>
        <v>0</v>
      </c>
      <c r="J18" s="150"/>
      <c r="K18" s="117"/>
      <c r="L18" s="202"/>
      <c r="M18" s="202"/>
      <c r="N18" s="203"/>
      <c r="O18" s="204"/>
      <c r="P18" s="205"/>
      <c r="Q18" s="206"/>
      <c r="R18" s="178"/>
      <c r="S18" s="173"/>
      <c r="T18" s="173"/>
      <c r="U18" s="178"/>
      <c r="V18" s="179"/>
      <c r="W18" s="46"/>
      <c r="X18" s="155"/>
      <c r="Y18" s="155"/>
      <c r="Z18" s="140"/>
      <c r="AA18" s="267"/>
      <c r="AB18" s="266"/>
    </row>
    <row r="19" s="156" customFormat="true" ht="15" hidden="false" customHeight="false" outlineLevel="0" collapsed="false">
      <c r="A19" s="141" t="n">
        <v>11</v>
      </c>
      <c r="B19" s="271" t="n">
        <v>43201</v>
      </c>
      <c r="C19" s="145" t="n">
        <f aca="false">H19/E19</f>
        <v>1.13398282686231</v>
      </c>
      <c r="D19" s="242" t="n">
        <f aca="false">D18+F19</f>
        <v>-547.754666666667</v>
      </c>
      <c r="E19" s="145" t="n">
        <f aca="false">E18+G19</f>
        <v>4088.24533333333</v>
      </c>
      <c r="F19" s="146" t="n">
        <f aca="false">G19-I19</f>
        <v>117.568666666667</v>
      </c>
      <c r="G19" s="147" t="n">
        <f aca="false">$C$6/$G$1</f>
        <v>371.658666666667</v>
      </c>
      <c r="H19" s="148" t="n">
        <f aca="false">H18+I19</f>
        <v>4636</v>
      </c>
      <c r="I19" s="149" t="n">
        <f aca="false">SUM(J19:AA19)</f>
        <v>254.09</v>
      </c>
      <c r="J19" s="135" t="n">
        <v>75.12</v>
      </c>
      <c r="K19" s="135" t="s">
        <v>75</v>
      </c>
      <c r="L19" s="244" t="n">
        <f aca="false">66.36-9.99+6.99+26.32</f>
        <v>89.68</v>
      </c>
      <c r="M19" s="244"/>
      <c r="N19" s="245" t="n">
        <f aca="false">72.12</f>
        <v>72.12</v>
      </c>
      <c r="O19" s="246"/>
      <c r="P19" s="262"/>
      <c r="Q19" s="248" t="n">
        <v>9.99</v>
      </c>
      <c r="R19" s="249" t="n">
        <f aca="false">7.18</f>
        <v>7.18</v>
      </c>
      <c r="S19" s="250"/>
      <c r="T19" s="250"/>
      <c r="U19" s="249"/>
      <c r="V19" s="251"/>
      <c r="W19" s="252"/>
      <c r="X19" s="155"/>
      <c r="Y19" s="155"/>
      <c r="Z19" s="140"/>
      <c r="AA19" s="269"/>
      <c r="AB19" s="270"/>
    </row>
    <row r="20" customFormat="false" ht="15" hidden="false" customHeight="false" outlineLevel="0" collapsed="false">
      <c r="A20" s="157" t="n">
        <v>12</v>
      </c>
      <c r="B20" s="241" t="n">
        <v>43202</v>
      </c>
      <c r="C20" s="159" t="n">
        <f aca="false">H20/E20</f>
        <v>1.17183239818615</v>
      </c>
      <c r="D20" s="242" t="n">
        <f aca="false">D19+F20</f>
        <v>-766.356000000001</v>
      </c>
      <c r="E20" s="159" t="n">
        <f aca="false">E19+G20</f>
        <v>4459.904</v>
      </c>
      <c r="F20" s="146" t="n">
        <f aca="false">G20-I20</f>
        <v>-218.601333333333</v>
      </c>
      <c r="G20" s="160" t="n">
        <f aca="false">$C$6/$G$1</f>
        <v>371.658666666667</v>
      </c>
      <c r="H20" s="161" t="n">
        <f aca="false">H19+I20</f>
        <v>5226.26</v>
      </c>
      <c r="I20" s="149" t="n">
        <f aca="false">SUM(J20:AA20)</f>
        <v>590.26</v>
      </c>
      <c r="J20" s="150"/>
      <c r="K20" s="117"/>
      <c r="L20" s="254" t="n">
        <f aca="false">13.68</f>
        <v>13.68</v>
      </c>
      <c r="M20" s="254" t="n">
        <v>1.2</v>
      </c>
      <c r="N20" s="255"/>
      <c r="O20" s="256"/>
      <c r="P20" s="257"/>
      <c r="Q20" s="258" t="n">
        <f aca="false">802.32-(4*49.99)-19.99-6.99</f>
        <v>575.38</v>
      </c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</row>
    <row r="21" customFormat="false" ht="15" hidden="false" customHeight="false" outlineLevel="0" collapsed="false">
      <c r="A21" s="167" t="n">
        <v>13</v>
      </c>
      <c r="B21" s="271" t="n">
        <v>43203</v>
      </c>
      <c r="C21" s="169" t="n">
        <f aca="false">H21/E21</f>
        <v>1.11686019043666</v>
      </c>
      <c r="D21" s="242" t="n">
        <f aca="false">D20+F21</f>
        <v>-564.617333333334</v>
      </c>
      <c r="E21" s="169" t="n">
        <f aca="false">E20+G21</f>
        <v>4831.56266666667</v>
      </c>
      <c r="F21" s="146" t="n">
        <f aca="false">G21-I21</f>
        <v>201.738666666667</v>
      </c>
      <c r="G21" s="170" t="n">
        <f aca="false">$C$6/$G$1</f>
        <v>371.658666666667</v>
      </c>
      <c r="H21" s="171" t="n">
        <f aca="false">H20+I21</f>
        <v>5396.18</v>
      </c>
      <c r="I21" s="149" t="n">
        <f aca="false">SUM(J21:AA21)</f>
        <v>169.92</v>
      </c>
      <c r="J21" s="150"/>
      <c r="K21" s="135"/>
      <c r="L21" s="118" t="n">
        <f aca="false">3.98</f>
        <v>3.98</v>
      </c>
      <c r="M21" s="118" t="n">
        <v>1.2</v>
      </c>
      <c r="N21" s="152"/>
      <c r="O21" s="120" t="n">
        <f aca="false">48.9+79</f>
        <v>127.9</v>
      </c>
      <c r="P21" s="121"/>
      <c r="Q21" s="122"/>
      <c r="R21" s="123"/>
      <c r="S21" s="153"/>
      <c r="T21" s="153"/>
      <c r="U21" s="123"/>
      <c r="V21" s="154"/>
      <c r="W21" s="240"/>
      <c r="X21" s="155"/>
      <c r="Y21" s="155" t="n">
        <f aca="false">36.84</f>
        <v>36.84</v>
      </c>
      <c r="Z21" s="140"/>
      <c r="AA21" s="267"/>
      <c r="AB21" s="266"/>
    </row>
    <row r="22" s="156" customFormat="true" ht="15" hidden="false" customHeight="false" outlineLevel="0" collapsed="false">
      <c r="A22" s="141" t="n">
        <v>14</v>
      </c>
      <c r="B22" s="191" t="n">
        <v>43204</v>
      </c>
      <c r="C22" s="145" t="n">
        <f aca="false">H22/E22</f>
        <v>1.07912956998946</v>
      </c>
      <c r="D22" s="242" t="n">
        <f aca="false">D21+F22</f>
        <v>-411.728666666667</v>
      </c>
      <c r="E22" s="145" t="n">
        <f aca="false">E21+G22</f>
        <v>5203.22133333333</v>
      </c>
      <c r="F22" s="146" t="n">
        <f aca="false">G22-I22</f>
        <v>152.888666666667</v>
      </c>
      <c r="G22" s="147" t="n">
        <f aca="false">$C$6/$G$1</f>
        <v>371.658666666667</v>
      </c>
      <c r="H22" s="148" t="n">
        <f aca="false">H21+I22</f>
        <v>5614.95</v>
      </c>
      <c r="I22" s="149" t="n">
        <f aca="false">SUM(J22:AA22)</f>
        <v>218.77</v>
      </c>
      <c r="J22" s="150" t="s">
        <v>102</v>
      </c>
      <c r="K22" s="135" t="s">
        <v>89</v>
      </c>
      <c r="L22" s="118" t="n">
        <f aca="false">67.29+51.51</f>
        <v>118.8</v>
      </c>
      <c r="M22" s="118"/>
      <c r="N22" s="152" t="n">
        <f aca="false">17.99+4.99</f>
        <v>22.98</v>
      </c>
      <c r="O22" s="120" t="n">
        <v>16</v>
      </c>
      <c r="P22" s="121"/>
      <c r="Q22" s="122"/>
      <c r="R22" s="123"/>
      <c r="S22" s="153"/>
      <c r="T22" s="153"/>
      <c r="U22" s="123"/>
      <c r="V22" s="154"/>
      <c r="W22" s="240"/>
      <c r="X22" s="155" t="n">
        <f aca="false">10.99</f>
        <v>10.99</v>
      </c>
      <c r="Y22" s="155" t="n">
        <v>50</v>
      </c>
      <c r="Z22" s="140"/>
      <c r="AA22" s="269"/>
      <c r="AB22" s="270"/>
    </row>
    <row r="23" customFormat="false" ht="15" hidden="false" customHeight="false" outlineLevel="0" collapsed="false">
      <c r="A23" s="157" t="n">
        <v>15</v>
      </c>
      <c r="B23" s="268" t="n">
        <v>43205</v>
      </c>
      <c r="C23" s="159" t="n">
        <f aca="false">H23/E23</f>
        <v>1.00867462618029</v>
      </c>
      <c r="D23" s="242" t="n">
        <f aca="false">D22+F23</f>
        <v>-48.3600000000006</v>
      </c>
      <c r="E23" s="159" t="n">
        <f aca="false">E22+G23</f>
        <v>5574.88</v>
      </c>
      <c r="F23" s="146" t="n">
        <f aca="false">G23-I23</f>
        <v>363.368666666667</v>
      </c>
      <c r="G23" s="160" t="n">
        <f aca="false">$C$6/$G$1</f>
        <v>371.658666666667</v>
      </c>
      <c r="H23" s="161" t="n">
        <f aca="false">H22+I23</f>
        <v>5623.24</v>
      </c>
      <c r="I23" s="149" t="n">
        <f aca="false">SUM(J23:AA23)</f>
        <v>8.29</v>
      </c>
      <c r="J23" s="150"/>
      <c r="K23" s="117"/>
      <c r="L23" s="118" t="n">
        <f aca="false">3.29</f>
        <v>3.29</v>
      </c>
      <c r="M23" s="118"/>
      <c r="N23" s="152"/>
      <c r="O23" s="120"/>
      <c r="P23" s="121"/>
      <c r="Q23" s="122"/>
      <c r="R23" s="123"/>
      <c r="S23" s="153"/>
      <c r="T23" s="153"/>
      <c r="U23" s="123"/>
      <c r="V23" s="154"/>
      <c r="W23" s="240"/>
      <c r="X23" s="155"/>
      <c r="Y23" s="155"/>
      <c r="Z23" s="140" t="n">
        <v>5</v>
      </c>
      <c r="AA23" s="267"/>
      <c r="AB23" s="266"/>
    </row>
    <row r="24" customFormat="false" ht="15" hidden="false" customHeight="false" outlineLevel="0" collapsed="false">
      <c r="A24" s="162" t="n">
        <v>16</v>
      </c>
      <c r="B24" s="241" t="n">
        <v>43206</v>
      </c>
      <c r="C24" s="164" t="n">
        <f aca="false">H24/E24</f>
        <v>0.998273169108573</v>
      </c>
      <c r="D24" s="242" t="n">
        <f aca="false">D23+F24</f>
        <v>10.2686666666661</v>
      </c>
      <c r="E24" s="164" t="n">
        <f aca="false">E23+G24</f>
        <v>5946.53866666666</v>
      </c>
      <c r="F24" s="146" t="n">
        <f aca="false">G24-I24</f>
        <v>58.6286666666667</v>
      </c>
      <c r="G24" s="165" t="n">
        <f aca="false">$C$6/$G$1</f>
        <v>371.658666666667</v>
      </c>
      <c r="H24" s="166" t="n">
        <f aca="false">H23+I24</f>
        <v>5936.27</v>
      </c>
      <c r="I24" s="149" t="n">
        <f aca="false">SUM(J24:AA24)</f>
        <v>313.03</v>
      </c>
      <c r="J24" s="150"/>
      <c r="K24" s="117"/>
      <c r="L24" s="118" t="n">
        <f aca="false">183.23-24.99-49.99</f>
        <v>108.25</v>
      </c>
      <c r="M24" s="118" t="n">
        <v>1.2</v>
      </c>
      <c r="N24" s="152"/>
      <c r="O24" s="120" t="n">
        <f aca="false">47.6+81+49.99</f>
        <v>178.59</v>
      </c>
      <c r="P24" s="121" t="n">
        <f aca="false">24.99</f>
        <v>24.99</v>
      </c>
      <c r="Q24" s="122"/>
      <c r="R24" s="123"/>
      <c r="S24" s="153"/>
      <c r="T24" s="153"/>
      <c r="U24" s="123"/>
      <c r="V24" s="154"/>
      <c r="W24" s="240"/>
      <c r="X24" s="155"/>
      <c r="Y24" s="155"/>
      <c r="Z24" s="140"/>
      <c r="AA24" s="267"/>
      <c r="AB24" s="266"/>
    </row>
    <row r="25" customFormat="false" ht="15" hidden="false" customHeight="false" outlineLevel="0" collapsed="false">
      <c r="A25" s="167" t="n">
        <v>17</v>
      </c>
      <c r="B25" s="271" t="n">
        <v>43207</v>
      </c>
      <c r="C25" s="169" t="n">
        <f aca="false">H25/E25</f>
        <v>0.962673319478468</v>
      </c>
      <c r="D25" s="242" t="n">
        <f aca="false">D24+F25</f>
        <v>235.837333333333</v>
      </c>
      <c r="E25" s="169" t="n">
        <f aca="false">E24+G25</f>
        <v>6318.19733333333</v>
      </c>
      <c r="F25" s="146" t="n">
        <f aca="false">G25-I25</f>
        <v>225.568666666667</v>
      </c>
      <c r="G25" s="170" t="n">
        <f aca="false">$C$6/$G$1</f>
        <v>371.658666666667</v>
      </c>
      <c r="H25" s="171" t="n">
        <f aca="false">H24+I25</f>
        <v>6082.36</v>
      </c>
      <c r="I25" s="149" t="n">
        <f aca="false">SUM(J25:AA25)</f>
        <v>146.09</v>
      </c>
      <c r="J25" s="150"/>
      <c r="K25" s="117"/>
      <c r="L25" s="202" t="n">
        <f aca="false">3.69</f>
        <v>3.69</v>
      </c>
      <c r="M25" s="202" t="n">
        <v>2.4</v>
      </c>
      <c r="N25" s="203"/>
      <c r="O25" s="204"/>
      <c r="P25" s="205"/>
      <c r="Q25" s="206"/>
      <c r="R25" s="178"/>
      <c r="S25" s="173"/>
      <c r="T25" s="173" t="n">
        <v>100</v>
      </c>
      <c r="U25" s="178"/>
      <c r="V25" s="179"/>
      <c r="W25" s="46"/>
      <c r="X25" s="155"/>
      <c r="Y25" s="155"/>
      <c r="Z25" s="140"/>
      <c r="AA25" s="267" t="n">
        <v>40</v>
      </c>
      <c r="AB25" s="266"/>
    </row>
    <row r="26" s="156" customFormat="true" ht="15" hidden="false" customHeight="false" outlineLevel="0" collapsed="false">
      <c r="A26" s="141" t="n">
        <v>18</v>
      </c>
      <c r="B26" s="241" t="n">
        <v>43208</v>
      </c>
      <c r="C26" s="145" t="n">
        <f aca="false">H26/E26</f>
        <v>0.93327718862708</v>
      </c>
      <c r="D26" s="242" t="n">
        <f aca="false">D25+F26</f>
        <v>446.365999999999</v>
      </c>
      <c r="E26" s="145" t="n">
        <f aca="false">E25+G26</f>
        <v>6689.856</v>
      </c>
      <c r="F26" s="146" t="n">
        <f aca="false">G26-I26</f>
        <v>210.528666666667</v>
      </c>
      <c r="G26" s="147" t="n">
        <f aca="false">$C$6/$G$1</f>
        <v>371.658666666667</v>
      </c>
      <c r="H26" s="148" t="n">
        <f aca="false">H25+I26</f>
        <v>6243.49</v>
      </c>
      <c r="I26" s="149" t="n">
        <f aca="false">SUM(J26:AA26)</f>
        <v>161.13</v>
      </c>
      <c r="J26" s="150"/>
      <c r="K26" s="117"/>
      <c r="L26" s="244" t="n">
        <f aca="false">62.75+26.27</f>
        <v>89.02</v>
      </c>
      <c r="M26" s="244"/>
      <c r="N26" s="245" t="n">
        <f aca="false">44.48</f>
        <v>44.48</v>
      </c>
      <c r="O26" s="246"/>
      <c r="P26" s="247"/>
      <c r="Q26" s="248"/>
      <c r="R26" s="249"/>
      <c r="S26" s="250"/>
      <c r="T26" s="250"/>
      <c r="U26" s="249" t="n">
        <f aca="false">14.63</f>
        <v>14.63</v>
      </c>
      <c r="V26" s="251"/>
      <c r="W26" s="252" t="n">
        <v>13</v>
      </c>
      <c r="X26" s="155"/>
      <c r="Y26" s="155"/>
      <c r="Z26" s="140"/>
      <c r="AA26" s="269"/>
      <c r="AB26" s="270" t="n">
        <f aca="false">170.99+229.9</f>
        <v>400.89</v>
      </c>
    </row>
    <row r="27" customFormat="false" ht="15" hidden="false" customHeight="false" outlineLevel="0" collapsed="false">
      <c r="A27" s="157" t="n">
        <v>19</v>
      </c>
      <c r="B27" s="271" t="n">
        <v>43209</v>
      </c>
      <c r="C27" s="159" t="n">
        <f aca="false">H27/E27</f>
        <v>0.904732242525495</v>
      </c>
      <c r="D27" s="242" t="n">
        <f aca="false">D26+F27</f>
        <v>672.734666666666</v>
      </c>
      <c r="E27" s="159" t="n">
        <f aca="false">E26+G27</f>
        <v>7061.51466666666</v>
      </c>
      <c r="F27" s="146" t="n">
        <f aca="false">G27-I27</f>
        <v>226.368666666667</v>
      </c>
      <c r="G27" s="160" t="n">
        <f aca="false">$C$6/$G$1</f>
        <v>371.658666666667</v>
      </c>
      <c r="H27" s="161" t="n">
        <f aca="false">H26+I27</f>
        <v>6388.78</v>
      </c>
      <c r="I27" s="149" t="n">
        <f aca="false">SUM(J27:AA27)</f>
        <v>145.29</v>
      </c>
      <c r="J27" s="150"/>
      <c r="K27" s="117"/>
      <c r="L27" s="254" t="n">
        <f aca="false">1.95+1.95</f>
        <v>3.9</v>
      </c>
      <c r="M27" s="254" t="n">
        <f aca="false">15+15+15</f>
        <v>45</v>
      </c>
      <c r="N27" s="255"/>
      <c r="O27" s="256"/>
      <c r="P27" s="257"/>
      <c r="Q27" s="258"/>
      <c r="R27" s="259"/>
      <c r="S27" s="176" t="n">
        <f aca="false">50</f>
        <v>50</v>
      </c>
      <c r="T27" s="176" t="n">
        <f aca="false">6+6</f>
        <v>12</v>
      </c>
      <c r="U27" s="259"/>
      <c r="V27" s="260" t="n">
        <f aca="false">11.9</f>
        <v>11.9</v>
      </c>
      <c r="W27" s="261"/>
      <c r="X27" s="155" t="n">
        <v>2.49</v>
      </c>
      <c r="Y27" s="155" t="n">
        <f aca="false">20</f>
        <v>20</v>
      </c>
      <c r="Z27" s="140"/>
      <c r="AA27" s="267"/>
      <c r="AB27" s="266" t="n">
        <f aca="false">100.24+69.8</f>
        <v>170.04</v>
      </c>
    </row>
    <row r="28" customFormat="false" ht="15" hidden="false" customHeight="false" outlineLevel="0" collapsed="false">
      <c r="A28" s="167" t="n">
        <v>20</v>
      </c>
      <c r="B28" s="241" t="n">
        <v>43210</v>
      </c>
      <c r="C28" s="169" t="n">
        <f aca="false">H28/E28</f>
        <v>0.91337705923715</v>
      </c>
      <c r="D28" s="242" t="n">
        <f aca="false">D27+F28</f>
        <v>643.883333333333</v>
      </c>
      <c r="E28" s="169" t="n">
        <f aca="false">E27+G28</f>
        <v>7433.17333333333</v>
      </c>
      <c r="F28" s="146" t="n">
        <f aca="false">G28-I28</f>
        <v>-28.8513333333333</v>
      </c>
      <c r="G28" s="170" t="n">
        <f aca="false">$C$6/$G$1</f>
        <v>371.658666666667</v>
      </c>
      <c r="H28" s="171" t="n">
        <f aca="false">H27+I28</f>
        <v>6789.29</v>
      </c>
      <c r="I28" s="149" t="n">
        <f aca="false">SUM(J28:AA28)</f>
        <v>400.51</v>
      </c>
      <c r="J28" s="150" t="n">
        <v>13</v>
      </c>
      <c r="K28" s="135" t="s">
        <v>91</v>
      </c>
      <c r="L28" s="118" t="n">
        <f aca="false">7.08</f>
        <v>7.08</v>
      </c>
      <c r="M28" s="118"/>
      <c r="N28" s="152"/>
      <c r="O28" s="120" t="n">
        <f aca="false">344.96</f>
        <v>344.96</v>
      </c>
      <c r="P28" s="121"/>
      <c r="Q28" s="122"/>
      <c r="R28" s="123"/>
      <c r="S28" s="153"/>
      <c r="T28" s="153"/>
      <c r="U28" s="123"/>
      <c r="V28" s="154"/>
      <c r="W28" s="240"/>
      <c r="X28" s="155"/>
      <c r="Y28" s="155" t="n">
        <v>35.47</v>
      </c>
      <c r="Z28" s="140"/>
      <c r="AA28" s="267"/>
      <c r="AB28" s="266"/>
    </row>
    <row r="29" s="156" customFormat="true" ht="15" hidden="false" customHeight="false" outlineLevel="0" collapsed="false">
      <c r="A29" s="141" t="n">
        <v>21</v>
      </c>
      <c r="B29" s="272" t="n">
        <v>43211</v>
      </c>
      <c r="C29" s="145" t="n">
        <f aca="false">H29/E29</f>
        <v>0.902133447587341</v>
      </c>
      <c r="D29" s="242" t="n">
        <f aca="false">D28+F29</f>
        <v>763.831999999999</v>
      </c>
      <c r="E29" s="145" t="n">
        <f aca="false">E28+G29</f>
        <v>7804.832</v>
      </c>
      <c r="F29" s="146" t="n">
        <f aca="false">G29-I29</f>
        <v>119.948666666667</v>
      </c>
      <c r="G29" s="147" t="n">
        <f aca="false">$C$6/$G$1</f>
        <v>371.658666666667</v>
      </c>
      <c r="H29" s="148" t="n">
        <f aca="false">H28+I29</f>
        <v>7041</v>
      </c>
      <c r="I29" s="149" t="n">
        <f aca="false">SUM(J29:AA29)</f>
        <v>251.71</v>
      </c>
      <c r="J29" s="150"/>
      <c r="K29" s="117"/>
      <c r="L29" s="118" t="n">
        <f aca="false">78.48+8.02+4.45+27.2-6.99-6.99+66.63</f>
        <v>170.8</v>
      </c>
      <c r="M29" s="118"/>
      <c r="N29" s="152" t="n">
        <f aca="false">26.97+6.99+6.99</f>
        <v>40.95</v>
      </c>
      <c r="O29" s="120" t="n">
        <v>16</v>
      </c>
      <c r="P29" s="121"/>
      <c r="Q29" s="122" t="n">
        <v>9.96</v>
      </c>
      <c r="R29" s="123"/>
      <c r="S29" s="153"/>
      <c r="T29" s="153" t="n">
        <v>14</v>
      </c>
      <c r="U29" s="123"/>
      <c r="V29" s="154"/>
      <c r="W29" s="240"/>
      <c r="X29" s="155"/>
      <c r="Y29" s="155"/>
      <c r="Z29" s="140"/>
      <c r="AA29" s="269"/>
      <c r="AB29" s="270" t="n">
        <f aca="false">31.98</f>
        <v>31.98</v>
      </c>
    </row>
    <row r="30" customFormat="false" ht="15" hidden="false" customHeight="false" outlineLevel="0" collapsed="false">
      <c r="A30" s="157" t="n">
        <v>22</v>
      </c>
      <c r="B30" s="142" t="n">
        <v>43212</v>
      </c>
      <c r="C30" s="159" t="n">
        <f aca="false">H30/E30</f>
        <v>0.906897629105103</v>
      </c>
      <c r="D30" s="242" t="n">
        <f aca="false">D29+F30</f>
        <v>761.250666666666</v>
      </c>
      <c r="E30" s="159" t="n">
        <f aca="false">E29+G30</f>
        <v>8176.49066666666</v>
      </c>
      <c r="F30" s="146" t="n">
        <f aca="false">G30-I30</f>
        <v>-2.58133333333336</v>
      </c>
      <c r="G30" s="160" t="n">
        <f aca="false">$C$6/$G$1</f>
        <v>371.658666666667</v>
      </c>
      <c r="H30" s="161" t="n">
        <f aca="false">H29+I30</f>
        <v>7415.24</v>
      </c>
      <c r="I30" s="149" t="n">
        <f aca="false">SUM(J30:AA30)</f>
        <v>374.24</v>
      </c>
      <c r="J30" s="150"/>
      <c r="K30" s="117"/>
      <c r="L30" s="118"/>
      <c r="M30" s="118" t="n">
        <f aca="false">14+100+8</f>
        <v>122</v>
      </c>
      <c r="N30" s="152"/>
      <c r="O30" s="120"/>
      <c r="P30" s="121"/>
      <c r="Q30" s="122"/>
      <c r="R30" s="123"/>
      <c r="S30" s="153" t="n">
        <v>232.24</v>
      </c>
      <c r="T30" s="153" t="n">
        <v>20</v>
      </c>
      <c r="U30" s="123"/>
      <c r="V30" s="154"/>
      <c r="W30" s="240"/>
      <c r="X30" s="155"/>
      <c r="Y30" s="155"/>
      <c r="Z30" s="140"/>
      <c r="AA30" s="267"/>
      <c r="AB30" s="266"/>
    </row>
    <row r="31" customFormat="false" ht="15" hidden="false" customHeight="false" outlineLevel="0" collapsed="false">
      <c r="A31" s="162" t="n">
        <v>23</v>
      </c>
      <c r="B31" s="271" t="n">
        <v>43213</v>
      </c>
      <c r="C31" s="164" t="n">
        <f aca="false">H31/E31</f>
        <v>0.961365984559309</v>
      </c>
      <c r="D31" s="242" t="n">
        <f aca="false">D30+F31</f>
        <v>330.249333333333</v>
      </c>
      <c r="E31" s="164" t="n">
        <f aca="false">E30+G31</f>
        <v>8548.14933333333</v>
      </c>
      <c r="F31" s="146" t="n">
        <f aca="false">G31-I31</f>
        <v>-431.001333333333</v>
      </c>
      <c r="G31" s="165" t="n">
        <f aca="false">$C$6/$G$1</f>
        <v>371.658666666667</v>
      </c>
      <c r="H31" s="166" t="n">
        <f aca="false">H30+I31</f>
        <v>8217.9</v>
      </c>
      <c r="I31" s="149" t="n">
        <f aca="false">SUM(J31:AA31)</f>
        <v>802.66</v>
      </c>
      <c r="J31" s="150"/>
      <c r="K31" s="117"/>
      <c r="L31" s="118" t="n">
        <f aca="false">24.46</f>
        <v>24.46</v>
      </c>
      <c r="M31" s="118" t="n">
        <v>1.2</v>
      </c>
      <c r="N31" s="152"/>
      <c r="O31" s="120"/>
      <c r="P31" s="121"/>
      <c r="Q31" s="122"/>
      <c r="R31" s="123"/>
      <c r="S31" s="153"/>
      <c r="T31" s="153" t="n">
        <v>777</v>
      </c>
      <c r="U31" s="123"/>
      <c r="V31" s="154"/>
      <c r="W31" s="240"/>
      <c r="X31" s="155"/>
      <c r="Y31" s="155"/>
      <c r="Z31" s="140"/>
      <c r="AA31" s="267"/>
      <c r="AB31" s="266"/>
    </row>
    <row r="32" customFormat="false" ht="15" hidden="false" customHeight="false" outlineLevel="0" collapsed="false">
      <c r="A32" s="167" t="n">
        <v>24</v>
      </c>
      <c r="B32" s="241" t="n">
        <v>43214</v>
      </c>
      <c r="C32" s="169" t="n">
        <f aca="false">H32/E32</f>
        <v>0.929717321269696</v>
      </c>
      <c r="D32" s="242" t="n">
        <f aca="false">D31+F32</f>
        <v>626.907999999999</v>
      </c>
      <c r="E32" s="169" t="n">
        <f aca="false">E31+G32</f>
        <v>8919.808</v>
      </c>
      <c r="F32" s="146" t="n">
        <f aca="false">G32-I32</f>
        <v>296.658666666667</v>
      </c>
      <c r="G32" s="170" t="n">
        <f aca="false">$C$6/$G$1</f>
        <v>371.658666666667</v>
      </c>
      <c r="H32" s="171" t="n">
        <f aca="false">H31+I32</f>
        <v>8292.9</v>
      </c>
      <c r="I32" s="149" t="n">
        <f aca="false">SUM(J32:AA32)</f>
        <v>75</v>
      </c>
      <c r="J32" s="150"/>
      <c r="K32" s="117"/>
      <c r="L32" s="202"/>
      <c r="M32" s="202" t="n">
        <v>2.4</v>
      </c>
      <c r="N32" s="203"/>
      <c r="O32" s="204"/>
      <c r="P32" s="205"/>
      <c r="Q32" s="206"/>
      <c r="R32" s="178"/>
      <c r="S32" s="173"/>
      <c r="T32" s="173" t="n">
        <v>2.6</v>
      </c>
      <c r="U32" s="178"/>
      <c r="V32" s="179"/>
      <c r="W32" s="46"/>
      <c r="X32" s="155"/>
      <c r="Y32" s="155"/>
      <c r="Z32" s="140" t="n">
        <f aca="false">30</f>
        <v>30</v>
      </c>
      <c r="AA32" s="267" t="n">
        <v>40</v>
      </c>
      <c r="AB32" s="266"/>
    </row>
    <row r="33" s="156" customFormat="true" ht="15" hidden="false" customHeight="false" outlineLevel="0" collapsed="false">
      <c r="A33" s="141" t="n">
        <v>25</v>
      </c>
      <c r="B33" s="271" t="n">
        <v>43215</v>
      </c>
      <c r="C33" s="145" t="n">
        <f aca="false">H33/E33</f>
        <v>0.896136239703815</v>
      </c>
      <c r="D33" s="242" t="n">
        <f aca="false">D32+F33</f>
        <v>965.046666666666</v>
      </c>
      <c r="E33" s="145" t="n">
        <f aca="false">E32+G33</f>
        <v>9291.46666666666</v>
      </c>
      <c r="F33" s="146" t="n">
        <f aca="false">G33-I33</f>
        <v>338.138666666667</v>
      </c>
      <c r="G33" s="147" t="n">
        <f aca="false">$C$6/$G$1</f>
        <v>371.658666666667</v>
      </c>
      <c r="H33" s="148" t="n">
        <f aca="false">H32+I33</f>
        <v>8326.42</v>
      </c>
      <c r="I33" s="149" t="n">
        <f aca="false">SUM(J33:AA33)</f>
        <v>33.52</v>
      </c>
      <c r="J33" s="150"/>
      <c r="K33" s="117"/>
      <c r="L33" s="244" t="n">
        <f aca="false">24.63+8.89</f>
        <v>33.52</v>
      </c>
      <c r="M33" s="244"/>
      <c r="N33" s="245"/>
      <c r="O33" s="246"/>
      <c r="P33" s="247"/>
      <c r="Q33" s="248"/>
      <c r="R33" s="249"/>
      <c r="S33" s="250"/>
      <c r="T33" s="250"/>
      <c r="U33" s="249"/>
      <c r="V33" s="251"/>
      <c r="W33" s="252"/>
      <c r="X33" s="155"/>
      <c r="Y33" s="155"/>
      <c r="Z33" s="140"/>
      <c r="AA33" s="269"/>
      <c r="AB33" s="270"/>
    </row>
    <row r="34" customFormat="false" ht="15" hidden="false" customHeight="false" outlineLevel="0" collapsed="false">
      <c r="A34" s="157" t="n">
        <v>26</v>
      </c>
      <c r="B34" s="241" t="n">
        <v>43216</v>
      </c>
      <c r="C34" s="159" t="n">
        <f aca="false">H34/E34</f>
        <v>0.862081336279885</v>
      </c>
      <c r="D34" s="242" t="n">
        <f aca="false">D33+F34</f>
        <v>1332.72533333333</v>
      </c>
      <c r="E34" s="159" t="n">
        <f aca="false">E33+G34</f>
        <v>9663.12533333333</v>
      </c>
      <c r="F34" s="146" t="n">
        <f aca="false">G34-I34</f>
        <v>367.678666666667</v>
      </c>
      <c r="G34" s="160" t="n">
        <f aca="false">$C$6/$G$1</f>
        <v>371.658666666667</v>
      </c>
      <c r="H34" s="161" t="n">
        <f aca="false">H33+I34</f>
        <v>8330.4</v>
      </c>
      <c r="I34" s="149" t="n">
        <f aca="false">SUM(J34:AA34)</f>
        <v>3.98</v>
      </c>
      <c r="J34" s="150"/>
      <c r="K34" s="117"/>
      <c r="L34" s="254"/>
      <c r="M34" s="254"/>
      <c r="N34" s="255"/>
      <c r="O34" s="256"/>
      <c r="P34" s="257"/>
      <c r="Q34" s="258" t="n">
        <f aca="false">3.98</f>
        <v>3.98</v>
      </c>
      <c r="R34" s="259"/>
      <c r="S34" s="176"/>
      <c r="T34" s="176"/>
      <c r="U34" s="259"/>
      <c r="V34" s="260"/>
      <c r="W34" s="261"/>
      <c r="X34" s="155"/>
      <c r="Y34" s="155"/>
      <c r="Z34" s="140"/>
      <c r="AA34" s="267"/>
      <c r="AB34" s="266"/>
    </row>
    <row r="35" customFormat="false" ht="15" hidden="false" customHeight="false" outlineLevel="0" collapsed="false">
      <c r="A35" s="167" t="n">
        <v>27</v>
      </c>
      <c r="B35" s="271" t="n">
        <v>43217</v>
      </c>
      <c r="C35" s="169" t="n">
        <f aca="false">H35/E35</f>
        <v>0.832779260619861</v>
      </c>
      <c r="D35" s="242" t="n">
        <f aca="false">D34+F35</f>
        <v>1678.024</v>
      </c>
      <c r="E35" s="169" t="n">
        <f aca="false">E34+G35</f>
        <v>10034.784</v>
      </c>
      <c r="F35" s="146" t="n">
        <f aca="false">G35-I35</f>
        <v>345.298666666667</v>
      </c>
      <c r="G35" s="170" t="n">
        <f aca="false">$C$6/$G$1</f>
        <v>371.658666666667</v>
      </c>
      <c r="H35" s="171" t="n">
        <f aca="false">H34+I35</f>
        <v>8356.76</v>
      </c>
      <c r="I35" s="149" t="n">
        <f aca="false">SUM(J35:AA35)</f>
        <v>26.36</v>
      </c>
      <c r="J35" s="150"/>
      <c r="K35" s="117"/>
      <c r="L35" s="118"/>
      <c r="M35" s="118"/>
      <c r="N35" s="152"/>
      <c r="O35" s="120"/>
      <c r="P35" s="121"/>
      <c r="Q35" s="122"/>
      <c r="R35" s="123"/>
      <c r="S35" s="153"/>
      <c r="T35" s="153"/>
      <c r="U35" s="123"/>
      <c r="V35" s="154"/>
      <c r="W35" s="240"/>
      <c r="X35" s="155"/>
      <c r="Y35" s="155" t="n">
        <f aca="false">26.36</f>
        <v>26.36</v>
      </c>
      <c r="Z35" s="140"/>
      <c r="AA35" s="267"/>
      <c r="AB35" s="266"/>
    </row>
    <row r="36" s="156" customFormat="true" ht="15" hidden="false" customHeight="false" outlineLevel="0" collapsed="false">
      <c r="A36" s="141" t="n">
        <v>28</v>
      </c>
      <c r="B36" s="191" t="n">
        <v>43218</v>
      </c>
      <c r="C36" s="145" t="n">
        <f aca="false">H36/E36</f>
        <v>0.825392526065904</v>
      </c>
      <c r="D36" s="242" t="n">
        <f aca="false">D35+F36</f>
        <v>1817.04266666667</v>
      </c>
      <c r="E36" s="145" t="n">
        <f aca="false">E35+G36</f>
        <v>10406.4426666667</v>
      </c>
      <c r="F36" s="146" t="n">
        <f aca="false">G36-I36</f>
        <v>139.018666666667</v>
      </c>
      <c r="G36" s="147" t="n">
        <f aca="false">$C$6/$G$1</f>
        <v>371.658666666667</v>
      </c>
      <c r="H36" s="148" t="n">
        <f aca="false">H35+I36</f>
        <v>8589.4</v>
      </c>
      <c r="I36" s="149" t="n">
        <f aca="false">SUM(J36:AA36)</f>
        <v>232.64</v>
      </c>
      <c r="J36" s="201" t="n">
        <v>29.99</v>
      </c>
      <c r="K36" s="117" t="s">
        <v>97</v>
      </c>
      <c r="L36" s="118" t="n">
        <f aca="false">75.66+4.1</f>
        <v>79.76</v>
      </c>
      <c r="M36" s="118"/>
      <c r="N36" s="152"/>
      <c r="O36" s="120"/>
      <c r="P36" s="121" t="n">
        <f aca="false">122.89</f>
        <v>122.89</v>
      </c>
      <c r="Q36" s="122"/>
      <c r="R36" s="123"/>
      <c r="S36" s="153"/>
      <c r="T36" s="153"/>
      <c r="U36" s="123"/>
      <c r="V36" s="154"/>
      <c r="W36" s="240"/>
      <c r="X36" s="155"/>
      <c r="Y36" s="155"/>
      <c r="Z36" s="209"/>
      <c r="AA36" s="269"/>
      <c r="AB36" s="270"/>
    </row>
    <row r="37" customFormat="false" ht="15" hidden="false" customHeight="false" outlineLevel="0" collapsed="false">
      <c r="A37" s="157" t="n">
        <v>29</v>
      </c>
      <c r="B37" s="268" t="n">
        <v>43219</v>
      </c>
      <c r="C37" s="159" t="n">
        <f aca="false">H37/E37</f>
        <v>0.803425365209655</v>
      </c>
      <c r="D37" s="242" t="n">
        <f aca="false">D36+F37</f>
        <v>2118.70133333333</v>
      </c>
      <c r="E37" s="159" t="n">
        <f aca="false">E36+G37</f>
        <v>10778.1013333333</v>
      </c>
      <c r="F37" s="146" t="n">
        <f aca="false">G37-I37</f>
        <v>301.658666666667</v>
      </c>
      <c r="G37" s="160" t="n">
        <f aca="false">$C$6/$G$1</f>
        <v>371.658666666667</v>
      </c>
      <c r="H37" s="161" t="n">
        <f aca="false">H36+I37</f>
        <v>8659.4</v>
      </c>
      <c r="I37" s="149" t="n">
        <f aca="false">SUM(J37:AA37)</f>
        <v>70</v>
      </c>
      <c r="J37" s="150"/>
      <c r="K37" s="117"/>
      <c r="L37" s="118"/>
      <c r="M37" s="118"/>
      <c r="N37" s="152"/>
      <c r="O37" s="120" t="n">
        <v>70</v>
      </c>
      <c r="P37" s="121"/>
      <c r="Q37" s="122"/>
      <c r="R37" s="123"/>
      <c r="S37" s="153"/>
      <c r="T37" s="153"/>
      <c r="U37" s="123"/>
      <c r="V37" s="154"/>
      <c r="W37" s="240"/>
      <c r="X37" s="155"/>
      <c r="Y37" s="155"/>
      <c r="Z37" s="209"/>
      <c r="AA37" s="267"/>
      <c r="AB37" s="266"/>
    </row>
    <row r="38" customFormat="false" ht="15" hidden="false" customHeight="false" outlineLevel="0" collapsed="false">
      <c r="A38" s="162" t="n">
        <v>30</v>
      </c>
      <c r="B38" s="241" t="n">
        <v>43220</v>
      </c>
      <c r="C38" s="164" t="n">
        <f aca="false">H38/E38</f>
        <v>0.812656954051029</v>
      </c>
      <c r="D38" s="242" t="n">
        <f aca="false">D37+F38</f>
        <v>2088.83</v>
      </c>
      <c r="E38" s="164" t="n">
        <f aca="false">E37+G38</f>
        <v>11149.76</v>
      </c>
      <c r="F38" s="146" t="n">
        <f aca="false">G38-I38</f>
        <v>-29.8713333333334</v>
      </c>
      <c r="G38" s="165" t="n">
        <f aca="false">$C$6/$G$1</f>
        <v>371.658666666667</v>
      </c>
      <c r="H38" s="166" t="n">
        <f aca="false">H37+I38</f>
        <v>9060.93</v>
      </c>
      <c r="I38" s="149" t="n">
        <f aca="false">SUM(J38:AA38)</f>
        <v>401.53</v>
      </c>
      <c r="J38" s="150"/>
      <c r="K38" s="117"/>
      <c r="L38" s="118" t="n">
        <f aca="false">16.32+3.6+6.99+17.83+48.49</f>
        <v>93.23</v>
      </c>
      <c r="M38" s="118" t="n">
        <f aca="false">4.99</f>
        <v>4.99</v>
      </c>
      <c r="N38" s="152" t="n">
        <f aca="false">23.17</f>
        <v>23.17</v>
      </c>
      <c r="O38" s="120" t="n">
        <v>70</v>
      </c>
      <c r="P38" s="121"/>
      <c r="Q38" s="122"/>
      <c r="R38" s="123"/>
      <c r="S38" s="153" t="n">
        <f aca="false">176.44</f>
        <v>176.44</v>
      </c>
      <c r="T38" s="153" t="n">
        <f aca="false">15.7</f>
        <v>15.7</v>
      </c>
      <c r="U38" s="123"/>
      <c r="V38" s="154"/>
      <c r="W38" s="240"/>
      <c r="X38" s="155"/>
      <c r="Y38" s="155"/>
      <c r="Z38" s="209" t="n">
        <f aca="false">18</f>
        <v>18</v>
      </c>
      <c r="AA38" s="267"/>
      <c r="AB38" s="266" t="n">
        <f aca="false">119.85+139+59.99</f>
        <v>318.84</v>
      </c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21.85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31</v>
      </c>
    </row>
    <row r="2" customFormat="false" ht="13.8" hidden="false" customHeight="false" outlineLevel="0" collapsed="false">
      <c r="B2" s="71" t="s">
        <v>50</v>
      </c>
      <c r="C2" s="72" t="n">
        <v>4466.76</v>
      </c>
      <c r="D2" s="72" t="n">
        <v>2807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/>
      <c r="D4" s="72"/>
      <c r="E4" s="72" t="n">
        <v>15</v>
      </c>
      <c r="F4" s="181" t="n">
        <v>1000</v>
      </c>
      <c r="G4" s="182" t="n">
        <f aca="false">C6-F4</f>
        <v>8788.76</v>
      </c>
      <c r="H4" s="183" t="n">
        <f aca="false">G4-H6</f>
        <v>760.02</v>
      </c>
      <c r="I4" s="217" t="n">
        <f aca="false">C6-H6</f>
        <v>1760.02</v>
      </c>
    </row>
    <row r="5" customFormat="false" ht="18" hidden="false" customHeight="false" outlineLevel="0" collapsed="false">
      <c r="B5" s="83" t="s">
        <v>53</v>
      </c>
      <c r="C5" s="84"/>
      <c r="D5" s="84"/>
      <c r="E5" s="84" t="n">
        <f aca="false">2000+500</f>
        <v>2500</v>
      </c>
      <c r="J5" s="218" t="n">
        <f aca="false">J7/H6</f>
        <v>0.166914111056031</v>
      </c>
      <c r="K5" s="218"/>
      <c r="L5" s="219" t="n">
        <f aca="false">(L7+M7)/H6</f>
        <v>0.174469468434649</v>
      </c>
      <c r="M5" s="219"/>
      <c r="N5" s="220" t="n">
        <f aca="false">N7/H6</f>
        <v>0.038485490874035</v>
      </c>
      <c r="O5" s="221" t="n">
        <f aca="false">O7/H6</f>
        <v>0.117156614861111</v>
      </c>
      <c r="P5" s="222" t="n">
        <f aca="false">P7/H6</f>
        <v>0.0236612469702593</v>
      </c>
      <c r="Q5" s="223" t="e">
        <f aca="false">Q7/K6</f>
        <v>#DIV/0!</v>
      </c>
      <c r="R5" s="224" t="n">
        <f aca="false">R7/H6</f>
        <v>0</v>
      </c>
      <c r="S5" s="225" t="n">
        <f aca="false">(S7+T7)/H6</f>
        <v>0.1322411735839</v>
      </c>
      <c r="T5" s="225"/>
      <c r="U5" s="226" t="n">
        <f aca="false">(U7+V7)/H6</f>
        <v>0.00401059194842528</v>
      </c>
      <c r="V5" s="226"/>
      <c r="W5" s="227" t="n">
        <f aca="false">W7/H6</f>
        <v>0.0921825840667402</v>
      </c>
      <c r="X5" s="228" t="n">
        <f aca="false">(X7+Y7)/H6</f>
        <v>0.052295877061656</v>
      </c>
      <c r="Y5" s="228"/>
      <c r="Z5" s="229" t="n">
        <f aca="false">Z7/H6</f>
        <v>0.125505371951265</v>
      </c>
      <c r="AA5" s="263" t="n">
        <f aca="false">AA7/H6</f>
        <v>0.021360761464439</v>
      </c>
      <c r="AB5" s="264" t="n">
        <f aca="false">AB7/H6</f>
        <v>0.051716707727489</v>
      </c>
    </row>
    <row r="6" customFormat="false" ht="57" hidden="false" customHeight="true" outlineLevel="0" collapsed="false">
      <c r="B6" s="98" t="s">
        <v>56</v>
      </c>
      <c r="C6" s="230" t="n">
        <f aca="false">SUM(C2:C5)+SUM(D2:D5)+SUM(E2:E5)</f>
        <v>9788.76</v>
      </c>
      <c r="D6" s="100"/>
      <c r="E6" s="101"/>
      <c r="G6" s="102" t="s">
        <v>57</v>
      </c>
      <c r="H6" s="103" t="n">
        <f aca="false">SUM(J7:AB7)</f>
        <v>8028.74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</row>
    <row r="7" customFormat="false" ht="15.75" hidden="false" customHeight="false" outlineLevel="0" collapsed="false">
      <c r="B7" s="116"/>
      <c r="J7" s="117" t="n">
        <f aca="false">SUM(J9:J38)</f>
        <v>1340.11</v>
      </c>
      <c r="K7" s="117"/>
      <c r="L7" s="118" t="n">
        <f aca="false">SUM(L9:L38)</f>
        <v>756.61</v>
      </c>
      <c r="M7" s="118" t="n">
        <f aca="false">SUM(M9:M38)</f>
        <v>644.16</v>
      </c>
      <c r="N7" s="119" t="n">
        <f aca="false">SUM(N9:N38)</f>
        <v>308.99</v>
      </c>
      <c r="O7" s="120" t="n">
        <f aca="false">SUM(O9:O38)</f>
        <v>940.62</v>
      </c>
      <c r="P7" s="121" t="n">
        <f aca="false">SUM(P9:P38)</f>
        <v>189.97</v>
      </c>
      <c r="Q7" s="122" t="n">
        <f aca="false">SUM(Q9:Q38)</f>
        <v>0</v>
      </c>
      <c r="R7" s="123" t="n">
        <f aca="false">SUM(R9:R38)</f>
        <v>0</v>
      </c>
      <c r="S7" s="37" t="n">
        <f aca="false">SUM(S9:S38)</f>
        <v>931.73</v>
      </c>
      <c r="T7" s="37" t="n">
        <f aca="false">SUM(T9:T38)</f>
        <v>130</v>
      </c>
      <c r="U7" s="36" t="n">
        <f aca="false">SUM(U9:U38)</f>
        <v>0</v>
      </c>
      <c r="V7" s="124" t="n">
        <f aca="false">SUM(V9:V38)</f>
        <v>32.2</v>
      </c>
      <c r="W7" s="38" t="n">
        <f aca="false">SUM(W9:W38)</f>
        <v>740.11</v>
      </c>
      <c r="X7" s="39" t="n">
        <f aca="false">SUM(X9:X38)</f>
        <v>123.25</v>
      </c>
      <c r="Y7" s="39" t="n">
        <f aca="false">SUM(Y9:Y38)</f>
        <v>296.62</v>
      </c>
      <c r="Z7" s="40" t="n">
        <f aca="false">SUM(Z9:Z38)</f>
        <v>1007.65</v>
      </c>
      <c r="AA7" s="41" t="n">
        <f aca="false">SUM(AA9:AA38)</f>
        <v>171.5</v>
      </c>
      <c r="AB7" s="34" t="n">
        <f aca="false">SUM(AB9:AB38)</f>
        <v>415.22</v>
      </c>
    </row>
    <row r="8" customFormat="false" ht="69.75" hidden="false" customHeight="false" outlineLevel="0" collapsed="false">
      <c r="A8" s="126" t="s">
        <v>61</v>
      </c>
      <c r="B8" s="127" t="s">
        <v>62</v>
      </c>
      <c r="C8" s="128" t="s">
        <v>103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267"/>
      <c r="AB8" s="266"/>
    </row>
    <row r="9" s="156" customFormat="true" ht="15" hidden="false" customHeight="false" outlineLevel="0" collapsed="false">
      <c r="A9" s="141" t="n">
        <v>1</v>
      </c>
      <c r="B9" s="268" t="n">
        <v>43221</v>
      </c>
      <c r="C9" s="145"/>
      <c r="D9" s="144" t="n">
        <f aca="false">F9</f>
        <v>-87.5635483870968</v>
      </c>
      <c r="E9" s="145" t="n">
        <f aca="false">G9</f>
        <v>315.766451612903</v>
      </c>
      <c r="F9" s="146" t="n">
        <f aca="false">G9-I9</f>
        <v>-87.5635483870968</v>
      </c>
      <c r="G9" s="147" t="n">
        <f aca="false">$C$6/$G$1</f>
        <v>315.766451612903</v>
      </c>
      <c r="H9" s="148" t="n">
        <f aca="false">I9</f>
        <v>403.33</v>
      </c>
      <c r="I9" s="149" t="n">
        <f aca="false">SUM(J9:AA9)</f>
        <v>403.33</v>
      </c>
      <c r="J9" s="150"/>
      <c r="K9" s="117"/>
      <c r="L9" s="118" t="n">
        <f aca="false">1.79</f>
        <v>1.79</v>
      </c>
      <c r="M9" s="118" t="n">
        <f aca="false">46+10+15.97</f>
        <v>71.97</v>
      </c>
      <c r="N9" s="152"/>
      <c r="O9" s="120"/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 t="n">
        <f aca="false">279.57+50</f>
        <v>329.57</v>
      </c>
      <c r="AA9" s="269"/>
      <c r="AB9" s="270"/>
    </row>
    <row r="10" customFormat="false" ht="15" hidden="false" customHeight="false" outlineLevel="0" collapsed="false">
      <c r="A10" s="157" t="n">
        <v>2</v>
      </c>
      <c r="B10" s="190" t="n">
        <v>43222</v>
      </c>
      <c r="C10" s="159"/>
      <c r="D10" s="242" t="n">
        <f aca="false">D9+F10</f>
        <v>11.8429032258065</v>
      </c>
      <c r="E10" s="159" t="n">
        <f aca="false">E9+G10</f>
        <v>631.532903225806</v>
      </c>
      <c r="F10" s="146" t="n">
        <f aca="false">G10-I10</f>
        <v>99.4064516129032</v>
      </c>
      <c r="G10" s="160" t="n">
        <f aca="false">$C$6/$G$1</f>
        <v>315.766451612903</v>
      </c>
      <c r="H10" s="161" t="n">
        <f aca="false">H9+I10</f>
        <v>619.69</v>
      </c>
      <c r="I10" s="149" t="n">
        <f aca="false">SUM(J10:AA10)</f>
        <v>216.36</v>
      </c>
      <c r="J10" s="150"/>
      <c r="K10" s="135"/>
      <c r="L10" s="118"/>
      <c r="M10" s="118" t="n">
        <f aca="false">13.8+47+14.52+4.97</f>
        <v>80.29</v>
      </c>
      <c r="N10" s="152" t="n">
        <f aca="false">19.07</f>
        <v>19.07</v>
      </c>
      <c r="O10" s="120" t="n">
        <f aca="false">36+24</f>
        <v>60</v>
      </c>
      <c r="P10" s="121"/>
      <c r="Q10" s="122"/>
      <c r="R10" s="123"/>
      <c r="S10" s="153"/>
      <c r="T10" s="153"/>
      <c r="U10" s="123"/>
      <c r="V10" s="154"/>
      <c r="W10" s="240"/>
      <c r="X10" s="155"/>
      <c r="Y10" s="155" t="n">
        <f aca="false">15+15+27</f>
        <v>57</v>
      </c>
      <c r="Z10" s="140"/>
      <c r="AA10" s="267"/>
      <c r="AB10" s="266" t="n">
        <f aca="false">415.22</f>
        <v>415.22</v>
      </c>
    </row>
    <row r="11" customFormat="false" ht="15" hidden="false" customHeight="false" outlineLevel="0" collapsed="false">
      <c r="A11" s="167" t="n">
        <v>3</v>
      </c>
      <c r="B11" s="268" t="n">
        <v>43223</v>
      </c>
      <c r="C11" s="169"/>
      <c r="D11" s="242" t="n">
        <f aca="false">D10+F11</f>
        <v>-220.24064516129</v>
      </c>
      <c r="E11" s="169" t="n">
        <f aca="false">E10+G11</f>
        <v>947.29935483871</v>
      </c>
      <c r="F11" s="146" t="n">
        <f aca="false">G11-I11</f>
        <v>-232.083548387097</v>
      </c>
      <c r="G11" s="170" t="n">
        <f aca="false">$C$6/$G$1</f>
        <v>315.766451612903</v>
      </c>
      <c r="H11" s="171" t="n">
        <f aca="false">H10+I11</f>
        <v>1167.54</v>
      </c>
      <c r="I11" s="149" t="n">
        <f aca="false">SUM(J11:AA11)</f>
        <v>547.85</v>
      </c>
      <c r="J11" s="150"/>
      <c r="K11" s="117"/>
      <c r="L11" s="202"/>
      <c r="M11" s="202" t="n">
        <f aca="false">5+65+20</f>
        <v>90</v>
      </c>
      <c r="N11" s="203"/>
      <c r="O11" s="204" t="n">
        <f aca="false">26+24</f>
        <v>50</v>
      </c>
      <c r="P11" s="205"/>
      <c r="Q11" s="206"/>
      <c r="R11" s="178"/>
      <c r="S11" s="173"/>
      <c r="T11" s="173" t="n">
        <f aca="false">18</f>
        <v>18</v>
      </c>
      <c r="U11" s="178"/>
      <c r="V11" s="179"/>
      <c r="W11" s="46"/>
      <c r="X11" s="155" t="n">
        <f aca="false">13.85</f>
        <v>13.85</v>
      </c>
      <c r="Y11" s="155" t="n">
        <f aca="false">6+40+30</f>
        <v>76</v>
      </c>
      <c r="Z11" s="140" t="n">
        <f aca="false">240+60</f>
        <v>300</v>
      </c>
      <c r="AA11" s="267"/>
      <c r="AB11" s="266"/>
    </row>
    <row r="12" customFormat="false" ht="15" hidden="false" customHeight="false" outlineLevel="0" collapsed="false">
      <c r="A12" s="141" t="n">
        <v>4</v>
      </c>
      <c r="B12" s="190" t="n">
        <v>43224</v>
      </c>
      <c r="C12" s="145"/>
      <c r="D12" s="242" t="n">
        <f aca="false">D11+F12</f>
        <v>-286.144193548387</v>
      </c>
      <c r="E12" s="145" t="n">
        <f aca="false">E11+G12</f>
        <v>1263.06580645161</v>
      </c>
      <c r="F12" s="146" t="n">
        <f aca="false">G12-I12</f>
        <v>-65.9035483870967</v>
      </c>
      <c r="G12" s="147" t="n">
        <f aca="false">$C$6/$G$1</f>
        <v>315.766451612903</v>
      </c>
      <c r="H12" s="148" t="n">
        <f aca="false">H11+I12</f>
        <v>1549.21</v>
      </c>
      <c r="I12" s="149" t="n">
        <f aca="false">SUM(J12:AA12)</f>
        <v>381.67</v>
      </c>
      <c r="J12" s="150"/>
      <c r="K12" s="117"/>
      <c r="L12" s="244" t="n">
        <f aca="false">14.48+6.99</f>
        <v>21.47</v>
      </c>
      <c r="M12" s="244" t="n">
        <f aca="false">18.35+24.58+6+7.98</f>
        <v>56.91</v>
      </c>
      <c r="N12" s="245"/>
      <c r="O12" s="246" t="n">
        <f aca="false">40</f>
        <v>40</v>
      </c>
      <c r="P12" s="247"/>
      <c r="Q12" s="248"/>
      <c r="R12" s="249"/>
      <c r="S12" s="250" t="n">
        <f aca="false">213.2+50.09</f>
        <v>263.29</v>
      </c>
      <c r="T12" s="250"/>
      <c r="U12" s="249"/>
      <c r="V12" s="251"/>
      <c r="W12" s="252"/>
      <c r="X12" s="155"/>
      <c r="Y12" s="155"/>
      <c r="Z12" s="140"/>
      <c r="AA12" s="269"/>
      <c r="AB12" s="270"/>
    </row>
    <row r="13" customFormat="false" ht="15" hidden="false" customHeight="false" outlineLevel="0" collapsed="false">
      <c r="A13" s="157" t="n">
        <v>5</v>
      </c>
      <c r="B13" s="272" t="n">
        <v>43225</v>
      </c>
      <c r="C13" s="159"/>
      <c r="D13" s="242" t="n">
        <f aca="false">D12+F13</f>
        <v>22.0422580645161</v>
      </c>
      <c r="E13" s="159" t="n">
        <f aca="false">E12+G13</f>
        <v>1578.83225806452</v>
      </c>
      <c r="F13" s="146" t="n">
        <f aca="false">G13-I13</f>
        <v>308.186451612903</v>
      </c>
      <c r="G13" s="160" t="n">
        <f aca="false">$C$6/$G$1</f>
        <v>315.766451612903</v>
      </c>
      <c r="H13" s="161" t="n">
        <f aca="false">H12+I13</f>
        <v>1556.79</v>
      </c>
      <c r="I13" s="149" t="n">
        <f aca="false">SUM(J13:AA13)</f>
        <v>7.58</v>
      </c>
      <c r="J13" s="150"/>
      <c r="K13" s="117"/>
      <c r="L13" s="254"/>
      <c r="M13" s="254"/>
      <c r="N13" s="255"/>
      <c r="O13" s="256"/>
      <c r="P13" s="257"/>
      <c r="Q13" s="258"/>
      <c r="R13" s="259"/>
      <c r="S13" s="176"/>
      <c r="T13" s="176"/>
      <c r="U13" s="259"/>
      <c r="V13" s="260"/>
      <c r="W13" s="261"/>
      <c r="X13" s="155"/>
      <c r="Y13" s="155"/>
      <c r="Z13" s="140" t="n">
        <v>7.58</v>
      </c>
      <c r="AA13" s="267"/>
      <c r="AB13" s="266"/>
    </row>
    <row r="14" customFormat="false" ht="15" hidden="false" customHeight="false" outlineLevel="0" collapsed="false">
      <c r="A14" s="167" t="n">
        <v>6</v>
      </c>
      <c r="B14" s="142" t="n">
        <v>43226</v>
      </c>
      <c r="C14" s="169"/>
      <c r="D14" s="242" t="n">
        <f aca="false">D13+F14</f>
        <v>337.808709677419</v>
      </c>
      <c r="E14" s="169" t="n">
        <f aca="false">E13+G14</f>
        <v>1894.59870967742</v>
      </c>
      <c r="F14" s="146" t="n">
        <f aca="false">G14-I14</f>
        <v>315.766451612903</v>
      </c>
      <c r="G14" s="170" t="n">
        <f aca="false">$C$6/$G$1</f>
        <v>315.766451612903</v>
      </c>
      <c r="H14" s="171" t="n">
        <f aca="false">H13+I14</f>
        <v>1556.79</v>
      </c>
      <c r="I14" s="149" t="n">
        <f aca="false">SUM(J14:AA14)</f>
        <v>0</v>
      </c>
      <c r="J14" s="150"/>
      <c r="K14" s="135"/>
      <c r="L14" s="118"/>
      <c r="M14" s="118"/>
      <c r="N14" s="152"/>
      <c r="O14" s="120"/>
      <c r="P14" s="121"/>
      <c r="Q14" s="122"/>
      <c r="R14" s="123"/>
      <c r="S14" s="153"/>
      <c r="T14" s="153"/>
      <c r="U14" s="123"/>
      <c r="V14" s="154"/>
      <c r="W14" s="240"/>
      <c r="X14" s="155"/>
      <c r="Y14" s="155"/>
      <c r="Z14" s="140"/>
      <c r="AA14" s="267"/>
      <c r="AB14" s="266"/>
    </row>
    <row r="15" s="156" customFormat="true" ht="16.5" hidden="false" customHeight="true" outlineLevel="0" collapsed="false">
      <c r="A15" s="141" t="n">
        <v>7</v>
      </c>
      <c r="B15" s="273" t="n">
        <v>43227</v>
      </c>
      <c r="C15" s="274" t="s">
        <v>104</v>
      </c>
      <c r="D15" s="242" t="n">
        <f aca="false">D14+F15</f>
        <v>430.585161290323</v>
      </c>
      <c r="E15" s="145" t="n">
        <f aca="false">E14+G15</f>
        <v>2210.36516129032</v>
      </c>
      <c r="F15" s="146" t="n">
        <f aca="false">G15-I15</f>
        <v>92.7764516129032</v>
      </c>
      <c r="G15" s="147" t="n">
        <f aca="false">$C$6/$G$1</f>
        <v>315.766451612903</v>
      </c>
      <c r="H15" s="148" t="n">
        <f aca="false">H14+I15</f>
        <v>1779.78</v>
      </c>
      <c r="I15" s="149" t="n">
        <f aca="false">SUM(J15:AA15)</f>
        <v>222.99</v>
      </c>
      <c r="J15" s="150"/>
      <c r="K15" s="117"/>
      <c r="L15" s="118" t="n">
        <f aca="false">6.99</f>
        <v>6.99</v>
      </c>
      <c r="M15" s="118"/>
      <c r="N15" s="152"/>
      <c r="O15" s="120" t="n">
        <f aca="false">143</f>
        <v>143</v>
      </c>
      <c r="P15" s="121" t="n">
        <v>73</v>
      </c>
      <c r="Q15" s="122"/>
      <c r="R15" s="123"/>
      <c r="S15" s="153"/>
      <c r="T15" s="153"/>
      <c r="U15" s="123"/>
      <c r="V15" s="154"/>
      <c r="W15" s="240"/>
      <c r="X15" s="155"/>
      <c r="Y15" s="155"/>
      <c r="Z15" s="140"/>
      <c r="AA15" s="269"/>
      <c r="AB15" s="270"/>
    </row>
    <row r="16" customFormat="false" ht="15" hidden="false" customHeight="false" outlineLevel="0" collapsed="false">
      <c r="A16" s="157" t="n">
        <v>8</v>
      </c>
      <c r="B16" s="190" t="n">
        <v>43228</v>
      </c>
      <c r="C16" s="159"/>
      <c r="D16" s="242" t="n">
        <f aca="false">D15+F16</f>
        <v>85.4116129032258</v>
      </c>
      <c r="E16" s="159" t="n">
        <f aca="false">E15+G16</f>
        <v>2526.13161290323</v>
      </c>
      <c r="F16" s="146" t="n">
        <f aca="false">G16-I16</f>
        <v>-345.173548387097</v>
      </c>
      <c r="G16" s="160" t="n">
        <f aca="false">$C$6/$G$1</f>
        <v>315.766451612903</v>
      </c>
      <c r="H16" s="161" t="n">
        <f aca="false">H15+I16</f>
        <v>2440.72</v>
      </c>
      <c r="I16" s="149" t="n">
        <f aca="false">SUM(J16:AA16)</f>
        <v>660.94</v>
      </c>
      <c r="J16" s="150" t="n">
        <v>607.4</v>
      </c>
      <c r="K16" s="135" t="s">
        <v>86</v>
      </c>
      <c r="L16" s="118" t="n">
        <f aca="false">49.19+4.35</f>
        <v>53.54</v>
      </c>
      <c r="M16" s="118"/>
      <c r="N16" s="152"/>
      <c r="O16" s="120"/>
      <c r="P16" s="121"/>
      <c r="Q16" s="122"/>
      <c r="R16" s="123"/>
      <c r="S16" s="153"/>
      <c r="T16" s="153"/>
      <c r="U16" s="123"/>
      <c r="V16" s="154"/>
      <c r="W16" s="240"/>
      <c r="X16" s="155"/>
      <c r="Y16" s="155"/>
      <c r="Z16" s="140"/>
      <c r="AA16" s="267"/>
      <c r="AB16" s="266"/>
    </row>
    <row r="17" customFormat="false" ht="15" hidden="false" customHeight="false" outlineLevel="0" collapsed="false">
      <c r="A17" s="162" t="n">
        <v>9</v>
      </c>
      <c r="B17" s="273" t="n">
        <v>43229</v>
      </c>
      <c r="C17" s="164"/>
      <c r="D17" s="242" t="n">
        <f aca="false">D16+F17</f>
        <v>-213.951935483871</v>
      </c>
      <c r="E17" s="164" t="n">
        <f aca="false">E16+G17</f>
        <v>2841.89806451613</v>
      </c>
      <c r="F17" s="146" t="n">
        <f aca="false">G17-I17</f>
        <v>-299.363548387097</v>
      </c>
      <c r="G17" s="165" t="n">
        <f aca="false">$C$6/$G$1</f>
        <v>315.766451612903</v>
      </c>
      <c r="H17" s="166" t="n">
        <f aca="false">H16+I17</f>
        <v>3055.85</v>
      </c>
      <c r="I17" s="149" t="n">
        <f aca="false">SUM(J17:AA17)</f>
        <v>615.13</v>
      </c>
      <c r="J17" s="150" t="n">
        <v>562.6</v>
      </c>
      <c r="K17" s="135" t="s">
        <v>87</v>
      </c>
      <c r="L17" s="118" t="n">
        <f aca="false">3.54</f>
        <v>3.54</v>
      </c>
      <c r="M17" s="118"/>
      <c r="N17" s="152" t="n">
        <v>8.99</v>
      </c>
      <c r="O17" s="120"/>
      <c r="P17" s="121"/>
      <c r="Q17" s="122"/>
      <c r="R17" s="123"/>
      <c r="S17" s="153"/>
      <c r="T17" s="153"/>
      <c r="U17" s="123"/>
      <c r="V17" s="154"/>
      <c r="W17" s="240"/>
      <c r="X17" s="155"/>
      <c r="Y17" s="155"/>
      <c r="Z17" s="140"/>
      <c r="AA17" s="267" t="n">
        <v>40</v>
      </c>
      <c r="AB17" s="266"/>
    </row>
    <row r="18" customFormat="false" ht="15" hidden="false" customHeight="false" outlineLevel="0" collapsed="false">
      <c r="A18" s="167" t="n">
        <v>10</v>
      </c>
      <c r="B18" s="190" t="n">
        <v>43230</v>
      </c>
      <c r="C18" s="169"/>
      <c r="D18" s="242" t="n">
        <f aca="false">D17+F18</f>
        <v>-100.965483870968</v>
      </c>
      <c r="E18" s="169" t="n">
        <f aca="false">E17+G18</f>
        <v>3157.66451612903</v>
      </c>
      <c r="F18" s="146" t="n">
        <f aca="false">G18-I18</f>
        <v>112.986451612903</v>
      </c>
      <c r="G18" s="170" t="n">
        <f aca="false">$C$6/$G$1</f>
        <v>315.766451612903</v>
      </c>
      <c r="H18" s="171" t="n">
        <f aca="false">H17+I18</f>
        <v>3258.63</v>
      </c>
      <c r="I18" s="149" t="n">
        <f aca="false">SUM(J18:AA18)</f>
        <v>202.78</v>
      </c>
      <c r="J18" s="150" t="n">
        <v>78.12</v>
      </c>
      <c r="K18" s="117" t="s">
        <v>92</v>
      </c>
      <c r="L18" s="202" t="n">
        <f aca="false">12+11.55+4.15+29.98</f>
        <v>57.68</v>
      </c>
      <c r="M18" s="202"/>
      <c r="N18" s="203" t="n">
        <v>3</v>
      </c>
      <c r="O18" s="204"/>
      <c r="P18" s="205"/>
      <c r="Q18" s="206"/>
      <c r="R18" s="178"/>
      <c r="S18" s="173"/>
      <c r="T18" s="173"/>
      <c r="U18" s="178"/>
      <c r="V18" s="179"/>
      <c r="W18" s="46" t="n">
        <f aca="false">43.99+19.99</f>
        <v>63.98</v>
      </c>
      <c r="X18" s="155"/>
      <c r="Y18" s="155"/>
      <c r="Z18" s="140"/>
      <c r="AA18" s="267"/>
      <c r="AB18" s="266"/>
    </row>
    <row r="19" customFormat="false" ht="15" hidden="false" customHeight="false" outlineLevel="0" collapsed="false">
      <c r="A19" s="141" t="n">
        <v>11</v>
      </c>
      <c r="B19" s="273" t="n">
        <v>43231</v>
      </c>
      <c r="C19" s="145"/>
      <c r="D19" s="242" t="n">
        <f aca="false">D18+F19</f>
        <v>-249.539032258065</v>
      </c>
      <c r="E19" s="145" t="n">
        <f aca="false">E18+G19</f>
        <v>3473.43096774194</v>
      </c>
      <c r="F19" s="146" t="n">
        <f aca="false">G19-I19</f>
        <v>-148.573548387097</v>
      </c>
      <c r="G19" s="147" t="n">
        <f aca="false">$C$6/$G$1</f>
        <v>315.766451612903</v>
      </c>
      <c r="H19" s="148" t="n">
        <f aca="false">H18+I19</f>
        <v>3722.97</v>
      </c>
      <c r="I19" s="149" t="n">
        <f aca="false">SUM(J19:AA19)</f>
        <v>464.34</v>
      </c>
      <c r="J19" s="135"/>
      <c r="K19" s="135"/>
      <c r="L19" s="244" t="n">
        <f aca="false">7.94</f>
        <v>7.94</v>
      </c>
      <c r="M19" s="244"/>
      <c r="N19" s="245"/>
      <c r="O19" s="246"/>
      <c r="P19" s="262"/>
      <c r="Q19" s="248"/>
      <c r="R19" s="249"/>
      <c r="S19" s="250" t="n">
        <f aca="false">261.78</f>
        <v>261.78</v>
      </c>
      <c r="T19" s="250"/>
      <c r="U19" s="249"/>
      <c r="V19" s="251"/>
      <c r="W19" s="252" t="n">
        <f aca="false">102</f>
        <v>102</v>
      </c>
      <c r="X19" s="155" t="n">
        <f aca="false">92.62</f>
        <v>92.62</v>
      </c>
      <c r="Y19" s="155"/>
      <c r="Z19" s="140"/>
      <c r="AA19" s="269"/>
      <c r="AB19" s="270"/>
    </row>
    <row r="20" customFormat="false" ht="15" hidden="false" customHeight="false" outlineLevel="0" collapsed="false">
      <c r="A20" s="157" t="n">
        <v>12</v>
      </c>
      <c r="B20" s="191" t="n">
        <v>43232</v>
      </c>
      <c r="C20" s="159"/>
      <c r="D20" s="242" t="n">
        <f aca="false">D19+F20</f>
        <v>-203.142580645161</v>
      </c>
      <c r="E20" s="159" t="n">
        <f aca="false">E19+G20</f>
        <v>3789.19741935484</v>
      </c>
      <c r="F20" s="146" t="n">
        <f aca="false">G20-I20</f>
        <v>46.3964516129032</v>
      </c>
      <c r="G20" s="160" t="n">
        <f aca="false">$C$6/$G$1</f>
        <v>315.766451612903</v>
      </c>
      <c r="H20" s="161" t="n">
        <f aca="false">H19+I20</f>
        <v>3992.34</v>
      </c>
      <c r="I20" s="149" t="n">
        <f aca="false">SUM(J20:AA20)</f>
        <v>269.37</v>
      </c>
      <c r="J20" s="150"/>
      <c r="K20" s="117"/>
      <c r="L20" s="254" t="n">
        <f aca="false">75.56+21.59</f>
        <v>97.15</v>
      </c>
      <c r="M20" s="254"/>
      <c r="N20" s="255" t="n">
        <f aca="false">56.25</f>
        <v>56.25</v>
      </c>
      <c r="O20" s="256"/>
      <c r="P20" s="257" t="n">
        <f aca="false">59.98+15.99</f>
        <v>75.97</v>
      </c>
      <c r="Q20" s="258"/>
      <c r="R20" s="259"/>
      <c r="S20" s="176"/>
      <c r="T20" s="176"/>
      <c r="U20" s="259"/>
      <c r="V20" s="260"/>
      <c r="W20" s="261" t="n">
        <v>40</v>
      </c>
      <c r="X20" s="155"/>
      <c r="Y20" s="155"/>
      <c r="Z20" s="140"/>
      <c r="AA20" s="267"/>
      <c r="AB20" s="266"/>
    </row>
    <row r="21" customFormat="false" ht="15" hidden="false" customHeight="false" outlineLevel="0" collapsed="false">
      <c r="A21" s="167" t="n">
        <v>13</v>
      </c>
      <c r="B21" s="268" t="n">
        <v>43233</v>
      </c>
      <c r="C21" s="169"/>
      <c r="D21" s="242" t="n">
        <f aca="false">D20+F21</f>
        <v>86.6238709677419</v>
      </c>
      <c r="E21" s="169" t="n">
        <f aca="false">E20+G21</f>
        <v>4104.96387096774</v>
      </c>
      <c r="F21" s="146" t="n">
        <f aca="false">G21-I21</f>
        <v>289.766451612903</v>
      </c>
      <c r="G21" s="170" t="n">
        <f aca="false">$C$6/$G$1</f>
        <v>315.766451612903</v>
      </c>
      <c r="H21" s="171" t="n">
        <f aca="false">H20+I21</f>
        <v>4018.34</v>
      </c>
      <c r="I21" s="149" t="n">
        <f aca="false">SUM(J21:AA21)</f>
        <v>26</v>
      </c>
      <c r="J21" s="150"/>
      <c r="K21" s="135"/>
      <c r="L21" s="118"/>
      <c r="M21" s="118" t="n">
        <f aca="false">26</f>
        <v>26</v>
      </c>
      <c r="N21" s="152"/>
      <c r="O21" s="120"/>
      <c r="P21" s="121"/>
      <c r="Q21" s="122"/>
      <c r="R21" s="123"/>
      <c r="S21" s="153"/>
      <c r="T21" s="153"/>
      <c r="U21" s="123"/>
      <c r="V21" s="154"/>
      <c r="W21" s="240"/>
      <c r="X21" s="155"/>
      <c r="Y21" s="155"/>
      <c r="Z21" s="140"/>
      <c r="AA21" s="267"/>
      <c r="AB21" s="266"/>
    </row>
    <row r="22" s="156" customFormat="true" ht="15" hidden="false" customHeight="false" outlineLevel="0" collapsed="false">
      <c r="A22" s="141" t="n">
        <v>14</v>
      </c>
      <c r="B22" s="190" t="n">
        <v>43234</v>
      </c>
      <c r="C22" s="145"/>
      <c r="D22" s="242" t="n">
        <f aca="false">D21+F22</f>
        <v>168.280322580645</v>
      </c>
      <c r="E22" s="145" t="n">
        <f aca="false">E21+G22</f>
        <v>4420.73032258065</v>
      </c>
      <c r="F22" s="146" t="n">
        <f aca="false">G22-I22</f>
        <v>81.6564516129032</v>
      </c>
      <c r="G22" s="147" t="n">
        <f aca="false">$C$6/$G$1</f>
        <v>315.766451612903</v>
      </c>
      <c r="H22" s="148" t="n">
        <f aca="false">H21+I22</f>
        <v>4252.45</v>
      </c>
      <c r="I22" s="149" t="n">
        <f aca="false">SUM(J22:AA22)</f>
        <v>234.11</v>
      </c>
      <c r="J22" s="150" t="n">
        <v>49</v>
      </c>
      <c r="K22" s="135" t="s">
        <v>89</v>
      </c>
      <c r="L22" s="118" t="n">
        <f aca="false">185.11-109</f>
        <v>76.11</v>
      </c>
      <c r="M22" s="118"/>
      <c r="N22" s="152"/>
      <c r="O22" s="120"/>
      <c r="P22" s="121"/>
      <c r="Q22" s="122"/>
      <c r="R22" s="123"/>
      <c r="S22" s="153"/>
      <c r="T22" s="153"/>
      <c r="U22" s="123"/>
      <c r="V22" s="154"/>
      <c r="W22" s="240" t="n">
        <f aca="false">109</f>
        <v>109</v>
      </c>
      <c r="X22" s="155"/>
      <c r="Y22" s="155"/>
      <c r="Z22" s="140"/>
      <c r="AA22" s="269"/>
      <c r="AB22" s="270"/>
    </row>
    <row r="23" customFormat="false" ht="15" hidden="false" customHeight="false" outlineLevel="0" collapsed="false">
      <c r="A23" s="157" t="n">
        <v>15</v>
      </c>
      <c r="B23" s="273" t="n">
        <v>43235</v>
      </c>
      <c r="C23" s="159"/>
      <c r="D23" s="242" t="n">
        <f aca="false">D22+F23</f>
        <v>444.046774193548</v>
      </c>
      <c r="E23" s="159" t="n">
        <f aca="false">E22+G23</f>
        <v>4736.49677419355</v>
      </c>
      <c r="F23" s="146" t="n">
        <f aca="false">G23-I23</f>
        <v>275.766451612903</v>
      </c>
      <c r="G23" s="160" t="n">
        <f aca="false">$C$6/$G$1</f>
        <v>315.766451612903</v>
      </c>
      <c r="H23" s="161" t="n">
        <f aca="false">H22+I23</f>
        <v>4292.45</v>
      </c>
      <c r="I23" s="149" t="n">
        <f aca="false">SUM(J23:AA23)</f>
        <v>40</v>
      </c>
      <c r="J23" s="150"/>
      <c r="K23" s="117"/>
      <c r="L23" s="118"/>
      <c r="M23" s="118"/>
      <c r="N23" s="152"/>
      <c r="O23" s="120"/>
      <c r="P23" s="121"/>
      <c r="Q23" s="122"/>
      <c r="R23" s="123"/>
      <c r="S23" s="153"/>
      <c r="T23" s="153"/>
      <c r="U23" s="123"/>
      <c r="V23" s="154"/>
      <c r="W23" s="240"/>
      <c r="X23" s="155"/>
      <c r="Y23" s="155"/>
      <c r="Z23" s="140"/>
      <c r="AA23" s="267" t="n">
        <v>40</v>
      </c>
      <c r="AB23" s="266"/>
    </row>
    <row r="24" customFormat="false" ht="15" hidden="false" customHeight="false" outlineLevel="0" collapsed="false">
      <c r="A24" s="162" t="n">
        <v>16</v>
      </c>
      <c r="B24" s="190" t="n">
        <v>43236</v>
      </c>
      <c r="C24" s="164"/>
      <c r="D24" s="242" t="n">
        <f aca="false">D23+F24</f>
        <v>750.923225806451</v>
      </c>
      <c r="E24" s="164" t="n">
        <f aca="false">E23+G24</f>
        <v>5052.26322580645</v>
      </c>
      <c r="F24" s="146" t="n">
        <f aca="false">G24-I24</f>
        <v>306.876451612903</v>
      </c>
      <c r="G24" s="165" t="n">
        <f aca="false">$C$6/$G$1</f>
        <v>315.766451612903</v>
      </c>
      <c r="H24" s="166" t="n">
        <f aca="false">H23+I24</f>
        <v>4301.34</v>
      </c>
      <c r="I24" s="149" t="n">
        <f aca="false">SUM(J24:AA24)</f>
        <v>8.89</v>
      </c>
      <c r="J24" s="150"/>
      <c r="K24" s="117"/>
      <c r="L24" s="118" t="n">
        <f aca="false">8.89</f>
        <v>8.89</v>
      </c>
      <c r="M24" s="118"/>
      <c r="N24" s="152"/>
      <c r="O24" s="120"/>
      <c r="P24" s="121"/>
      <c r="Q24" s="122"/>
      <c r="R24" s="123"/>
      <c r="S24" s="153"/>
      <c r="T24" s="153"/>
      <c r="U24" s="123"/>
      <c r="V24" s="154"/>
      <c r="W24" s="240"/>
      <c r="X24" s="155"/>
      <c r="Y24" s="155"/>
      <c r="Z24" s="140"/>
      <c r="AA24" s="267"/>
      <c r="AB24" s="266"/>
    </row>
    <row r="25" customFormat="false" ht="15" hidden="false" customHeight="false" outlineLevel="0" collapsed="false">
      <c r="A25" s="167" t="n">
        <v>17</v>
      </c>
      <c r="B25" s="273" t="n">
        <v>43237</v>
      </c>
      <c r="C25" s="169"/>
      <c r="D25" s="242" t="n">
        <f aca="false">D24+F25</f>
        <v>951.169677419355</v>
      </c>
      <c r="E25" s="169" t="n">
        <f aca="false">E24+G25</f>
        <v>5368.02967741936</v>
      </c>
      <c r="F25" s="146" t="n">
        <f aca="false">G25-I25</f>
        <v>200.246451612903</v>
      </c>
      <c r="G25" s="170" t="n">
        <f aca="false">$C$6/$G$1</f>
        <v>315.766451612903</v>
      </c>
      <c r="H25" s="171" t="n">
        <f aca="false">H24+I25</f>
        <v>4416.86</v>
      </c>
      <c r="I25" s="149" t="n">
        <f aca="false">SUM(J25:AA25)</f>
        <v>115.52</v>
      </c>
      <c r="J25" s="150"/>
      <c r="K25" s="117"/>
      <c r="L25" s="202" t="n">
        <f aca="false">65.34</f>
        <v>65.34</v>
      </c>
      <c r="M25" s="202"/>
      <c r="N25" s="203" t="n">
        <f aca="false">40.28</f>
        <v>40.28</v>
      </c>
      <c r="O25" s="204"/>
      <c r="P25" s="205"/>
      <c r="Q25" s="206"/>
      <c r="R25" s="178"/>
      <c r="S25" s="173"/>
      <c r="T25" s="173"/>
      <c r="U25" s="178"/>
      <c r="V25" s="179"/>
      <c r="W25" s="46"/>
      <c r="X25" s="155"/>
      <c r="Y25" s="155"/>
      <c r="Z25" s="140" t="n">
        <f aca="false">9.9</f>
        <v>9.9</v>
      </c>
      <c r="AA25" s="267"/>
      <c r="AB25" s="266"/>
    </row>
    <row r="26" customFormat="false" ht="15" hidden="false" customHeight="false" outlineLevel="0" collapsed="false">
      <c r="A26" s="141" t="n">
        <v>18</v>
      </c>
      <c r="B26" s="190" t="n">
        <v>43238</v>
      </c>
      <c r="C26" s="145"/>
      <c r="D26" s="242" t="n">
        <f aca="false">D25+F26</f>
        <v>1040.80612903226</v>
      </c>
      <c r="E26" s="145" t="n">
        <f aca="false">E25+G26</f>
        <v>5683.79612903226</v>
      </c>
      <c r="F26" s="146" t="n">
        <f aca="false">G26-I26</f>
        <v>89.6364516129032</v>
      </c>
      <c r="G26" s="147" t="n">
        <f aca="false">$C$6/$G$1</f>
        <v>315.766451612903</v>
      </c>
      <c r="H26" s="148" t="n">
        <f aca="false">H25+I26</f>
        <v>4642.99</v>
      </c>
      <c r="I26" s="149" t="n">
        <f aca="false">SUM(J26:AA26)</f>
        <v>226.13</v>
      </c>
      <c r="J26" s="150"/>
      <c r="K26" s="117"/>
      <c r="L26" s="244" t="n">
        <f aca="false">111.13</f>
        <v>111.13</v>
      </c>
      <c r="M26" s="244"/>
      <c r="N26" s="245"/>
      <c r="O26" s="246" t="n">
        <f aca="false">25</f>
        <v>25</v>
      </c>
      <c r="P26" s="247"/>
      <c r="Q26" s="248"/>
      <c r="R26" s="249"/>
      <c r="S26" s="250"/>
      <c r="T26" s="250"/>
      <c r="U26" s="249"/>
      <c r="V26" s="251"/>
      <c r="W26" s="252"/>
      <c r="X26" s="155"/>
      <c r="Y26" s="155" t="n">
        <f aca="false">54+30</f>
        <v>84</v>
      </c>
      <c r="Z26" s="140" t="n">
        <f aca="false">6</f>
        <v>6</v>
      </c>
      <c r="AA26" s="269"/>
      <c r="AB26" s="270"/>
    </row>
    <row r="27" customFormat="false" ht="15" hidden="false" customHeight="false" outlineLevel="0" collapsed="false">
      <c r="A27" s="157" t="n">
        <v>19</v>
      </c>
      <c r="B27" s="272" t="n">
        <v>43239</v>
      </c>
      <c r="C27" s="159"/>
      <c r="D27" s="242" t="n">
        <f aca="false">D26+F27</f>
        <v>1220.87258064516</v>
      </c>
      <c r="E27" s="159" t="n">
        <f aca="false">E26+G27</f>
        <v>5999.56258064516</v>
      </c>
      <c r="F27" s="146" t="n">
        <f aca="false">G27-I27</f>
        <v>180.066451612903</v>
      </c>
      <c r="G27" s="160" t="n">
        <f aca="false">$C$6/$G$1</f>
        <v>315.766451612903</v>
      </c>
      <c r="H27" s="161" t="n">
        <f aca="false">H26+I27</f>
        <v>4778.69</v>
      </c>
      <c r="I27" s="149" t="n">
        <f aca="false">SUM(J27:AA27)</f>
        <v>135.7</v>
      </c>
      <c r="J27" s="150"/>
      <c r="K27" s="117"/>
      <c r="L27" s="254" t="n">
        <f aca="false">5.09+6.99+17.04</f>
        <v>29.12</v>
      </c>
      <c r="M27" s="254" t="n">
        <f aca="false">13.98+2+2+2</f>
        <v>19.98</v>
      </c>
      <c r="N27" s="255" t="n">
        <f aca="false">21.98</f>
        <v>21.98</v>
      </c>
      <c r="O27" s="256"/>
      <c r="P27" s="257"/>
      <c r="Q27" s="258"/>
      <c r="R27" s="259"/>
      <c r="S27" s="176"/>
      <c r="T27" s="176" t="n">
        <v>20</v>
      </c>
      <c r="U27" s="259"/>
      <c r="V27" s="260"/>
      <c r="W27" s="261"/>
      <c r="X27" s="155"/>
      <c r="Y27" s="155" t="n">
        <f aca="false">33.62</f>
        <v>33.62</v>
      </c>
      <c r="Z27" s="140" t="n">
        <f aca="false">11</f>
        <v>11</v>
      </c>
      <c r="AA27" s="267"/>
      <c r="AB27" s="266"/>
    </row>
    <row r="28" customFormat="false" ht="15" hidden="false" customHeight="false" outlineLevel="0" collapsed="false">
      <c r="A28" s="167" t="n">
        <v>20</v>
      </c>
      <c r="B28" s="142" t="n">
        <v>43240</v>
      </c>
      <c r="C28" s="169"/>
      <c r="D28" s="242" t="n">
        <f aca="false">D27+F28</f>
        <v>1158.49903225806</v>
      </c>
      <c r="E28" s="169" t="n">
        <f aca="false">E27+G28</f>
        <v>6315.32903225807</v>
      </c>
      <c r="F28" s="146" t="n">
        <f aca="false">G28-I28</f>
        <v>-62.3735483870968</v>
      </c>
      <c r="G28" s="170" t="n">
        <f aca="false">$C$6/$G$1</f>
        <v>315.766451612903</v>
      </c>
      <c r="H28" s="171" t="n">
        <f aca="false">H27+I28</f>
        <v>5156.83</v>
      </c>
      <c r="I28" s="149" t="n">
        <f aca="false">SUM(J28:AA28)</f>
        <v>378.14</v>
      </c>
      <c r="J28" s="150" t="n">
        <v>13</v>
      </c>
      <c r="K28" s="135" t="s">
        <v>91</v>
      </c>
      <c r="L28" s="118"/>
      <c r="M28" s="118"/>
      <c r="N28" s="152"/>
      <c r="O28" s="120"/>
      <c r="P28" s="121"/>
      <c r="Q28" s="122"/>
      <c r="R28" s="123"/>
      <c r="S28" s="153"/>
      <c r="T28" s="153" t="n">
        <v>20</v>
      </c>
      <c r="U28" s="123"/>
      <c r="V28" s="154"/>
      <c r="W28" s="240" t="n">
        <f aca="false">300+45.14</f>
        <v>345.14</v>
      </c>
      <c r="X28" s="155"/>
      <c r="Y28" s="155"/>
      <c r="Z28" s="140"/>
      <c r="AA28" s="267"/>
      <c r="AB28" s="266"/>
    </row>
    <row r="29" s="156" customFormat="true" ht="15" hidden="false" customHeight="false" outlineLevel="0" collapsed="false">
      <c r="A29" s="141" t="n">
        <v>21</v>
      </c>
      <c r="B29" s="273" t="n">
        <v>43241</v>
      </c>
      <c r="C29" s="145"/>
      <c r="D29" s="242" t="n">
        <f aca="false">D28+F29</f>
        <v>1398.77548387097</v>
      </c>
      <c r="E29" s="145" t="n">
        <f aca="false">E28+G29</f>
        <v>6631.09548387097</v>
      </c>
      <c r="F29" s="146" t="n">
        <f aca="false">G29-I29</f>
        <v>240.276451612903</v>
      </c>
      <c r="G29" s="147" t="n">
        <f aca="false">$C$6/$G$1</f>
        <v>315.766451612903</v>
      </c>
      <c r="H29" s="148" t="n">
        <f aca="false">H28+I29</f>
        <v>5232.32</v>
      </c>
      <c r="I29" s="149" t="n">
        <f aca="false">SUM(J29:AA29)</f>
        <v>75.49</v>
      </c>
      <c r="J29" s="150"/>
      <c r="K29" s="117"/>
      <c r="L29" s="118" t="n">
        <f aca="false">6.99+16</f>
        <v>22.99</v>
      </c>
      <c r="M29" s="118"/>
      <c r="N29" s="152"/>
      <c r="O29" s="120"/>
      <c r="P29" s="121" t="n">
        <f aca="false">37.5+3.5</f>
        <v>41</v>
      </c>
      <c r="Q29" s="122"/>
      <c r="R29" s="123"/>
      <c r="S29" s="153"/>
      <c r="T29" s="153"/>
      <c r="U29" s="123"/>
      <c r="V29" s="154"/>
      <c r="W29" s="240"/>
      <c r="X29" s="155"/>
      <c r="Y29" s="155"/>
      <c r="Z29" s="140"/>
      <c r="AA29" s="269" t="n">
        <v>11.5</v>
      </c>
      <c r="AB29" s="270"/>
    </row>
    <row r="30" customFormat="false" ht="15" hidden="false" customHeight="false" outlineLevel="0" collapsed="false">
      <c r="A30" s="157" t="n">
        <v>22</v>
      </c>
      <c r="B30" s="190" t="n">
        <v>43242</v>
      </c>
      <c r="C30" s="159"/>
      <c r="D30" s="242" t="n">
        <f aca="false">D29+F30</f>
        <v>1477.30193548387</v>
      </c>
      <c r="E30" s="159" t="n">
        <f aca="false">E29+G30</f>
        <v>6946.86193548387</v>
      </c>
      <c r="F30" s="146" t="n">
        <f aca="false">G30-I30</f>
        <v>78.5264516129032</v>
      </c>
      <c r="G30" s="160" t="n">
        <f aca="false">$C$6/$G$1</f>
        <v>315.766451612903</v>
      </c>
      <c r="H30" s="161" t="n">
        <f aca="false">H29+I30</f>
        <v>5469.56</v>
      </c>
      <c r="I30" s="149" t="n">
        <f aca="false">SUM(J30:AA30)</f>
        <v>237.24</v>
      </c>
      <c r="J30" s="150"/>
      <c r="K30" s="117"/>
      <c r="L30" s="118" t="n">
        <f aca="false">54.29-24.99-9.99+1.95</f>
        <v>21.26</v>
      </c>
      <c r="M30" s="118"/>
      <c r="N30" s="152" t="n">
        <f aca="false">9.99+24.99</f>
        <v>34.98</v>
      </c>
      <c r="O30" s="120" t="n">
        <f aca="false">171</f>
        <v>171</v>
      </c>
      <c r="P30" s="121"/>
      <c r="Q30" s="122"/>
      <c r="R30" s="123"/>
      <c r="S30" s="153"/>
      <c r="T30" s="153"/>
      <c r="U30" s="123"/>
      <c r="V30" s="154"/>
      <c r="W30" s="240" t="n">
        <v>10</v>
      </c>
      <c r="X30" s="155"/>
      <c r="Y30" s="155"/>
      <c r="Z30" s="140"/>
      <c r="AA30" s="267"/>
      <c r="AB30" s="266"/>
    </row>
    <row r="31" customFormat="false" ht="15" hidden="false" customHeight="false" outlineLevel="0" collapsed="false">
      <c r="A31" s="162" t="n">
        <v>23</v>
      </c>
      <c r="B31" s="273" t="n">
        <v>43243</v>
      </c>
      <c r="C31" s="164"/>
      <c r="D31" s="242" t="n">
        <f aca="false">D30+F31</f>
        <v>1166.69838709677</v>
      </c>
      <c r="E31" s="164" t="n">
        <f aca="false">E30+G31</f>
        <v>7262.62838709678</v>
      </c>
      <c r="F31" s="146" t="n">
        <f aca="false">G31-I31</f>
        <v>-310.603548387097</v>
      </c>
      <c r="G31" s="165" t="n">
        <f aca="false">$C$6/$G$1</f>
        <v>315.766451612903</v>
      </c>
      <c r="H31" s="166" t="n">
        <f aca="false">H30+I31</f>
        <v>6095.93</v>
      </c>
      <c r="I31" s="149" t="n">
        <f aca="false">SUM(J31:AA31)</f>
        <v>626.37</v>
      </c>
      <c r="J31" s="150"/>
      <c r="K31" s="117"/>
      <c r="L31" s="118"/>
      <c r="M31" s="118"/>
      <c r="N31" s="152"/>
      <c r="O31" s="120" t="n">
        <f aca="false">271.74</f>
        <v>271.74</v>
      </c>
      <c r="P31" s="121"/>
      <c r="Q31" s="122"/>
      <c r="R31" s="123"/>
      <c r="S31" s="153" t="n">
        <f aca="false">264.63</f>
        <v>264.63</v>
      </c>
      <c r="T31" s="153"/>
      <c r="U31" s="123"/>
      <c r="V31" s="154"/>
      <c r="W31" s="240" t="n">
        <f aca="false">50</f>
        <v>50</v>
      </c>
      <c r="X31" s="155"/>
      <c r="Y31" s="155"/>
      <c r="Z31" s="140"/>
      <c r="AA31" s="267" t="n">
        <v>40</v>
      </c>
      <c r="AB31" s="266"/>
    </row>
    <row r="32" customFormat="false" ht="15" hidden="false" customHeight="false" outlineLevel="0" collapsed="false">
      <c r="A32" s="167" t="n">
        <v>24</v>
      </c>
      <c r="B32" s="190" t="n">
        <v>43244</v>
      </c>
      <c r="C32" s="169"/>
      <c r="D32" s="242" t="n">
        <f aca="false">D31+F32</f>
        <v>1327.01483870968</v>
      </c>
      <c r="E32" s="169" t="n">
        <f aca="false">E31+G32</f>
        <v>7578.39483870968</v>
      </c>
      <c r="F32" s="146" t="n">
        <f aca="false">G32-I32</f>
        <v>160.316451612903</v>
      </c>
      <c r="G32" s="170" t="n">
        <f aca="false">$C$6/$G$1</f>
        <v>315.766451612903</v>
      </c>
      <c r="H32" s="171" t="n">
        <f aca="false">H31+I32</f>
        <v>6251.38</v>
      </c>
      <c r="I32" s="149" t="n">
        <f aca="false">SUM(J32:AA32)</f>
        <v>155.45</v>
      </c>
      <c r="J32" s="150"/>
      <c r="K32" s="117"/>
      <c r="L32" s="202" t="n">
        <f aca="false">28.2+12.49</f>
        <v>40.69</v>
      </c>
      <c r="M32" s="202"/>
      <c r="N32" s="203" t="n">
        <f aca="false">34.76</f>
        <v>34.76</v>
      </c>
      <c r="O32" s="204"/>
      <c r="P32" s="205"/>
      <c r="Q32" s="206"/>
      <c r="R32" s="178"/>
      <c r="S32" s="173"/>
      <c r="T32" s="173"/>
      <c r="U32" s="178"/>
      <c r="V32" s="179"/>
      <c r="W32" s="46"/>
      <c r="X32" s="155"/>
      <c r="Y32" s="155"/>
      <c r="Z32" s="140" t="n">
        <f aca="false">80</f>
        <v>80</v>
      </c>
      <c r="AA32" s="267"/>
      <c r="AB32" s="266"/>
    </row>
    <row r="33" customFormat="false" ht="15" hidden="false" customHeight="false" outlineLevel="0" collapsed="false">
      <c r="A33" s="141" t="n">
        <v>25</v>
      </c>
      <c r="B33" s="273" t="n">
        <v>43245</v>
      </c>
      <c r="C33" s="145"/>
      <c r="D33" s="242" t="n">
        <f aca="false">D32+F33</f>
        <v>1253.68129032258</v>
      </c>
      <c r="E33" s="145" t="n">
        <f aca="false">E32+G33</f>
        <v>7894.16129032258</v>
      </c>
      <c r="F33" s="146" t="n">
        <f aca="false">G33-I33</f>
        <v>-73.3335483870968</v>
      </c>
      <c r="G33" s="147" t="n">
        <f aca="false">$C$6/$G$1</f>
        <v>315.766451612903</v>
      </c>
      <c r="H33" s="148" t="n">
        <f aca="false">H32+I33</f>
        <v>6640.48</v>
      </c>
      <c r="I33" s="149" t="n">
        <f aca="false">SUM(J33:AA33)</f>
        <v>389.1</v>
      </c>
      <c r="J33" s="150"/>
      <c r="K33" s="117"/>
      <c r="L33" s="244" t="n">
        <f aca="false">18.32</f>
        <v>18.32</v>
      </c>
      <c r="M33" s="244" t="n">
        <f aca="false">49.24+18.36</f>
        <v>67.6</v>
      </c>
      <c r="N33" s="245"/>
      <c r="O33" s="246" t="n">
        <f aca="false">20.88+159</f>
        <v>179.88</v>
      </c>
      <c r="P33" s="247"/>
      <c r="Q33" s="248"/>
      <c r="R33" s="249"/>
      <c r="S33" s="250"/>
      <c r="T33" s="250"/>
      <c r="U33" s="249"/>
      <c r="V33" s="251" t="n">
        <v>1.2</v>
      </c>
      <c r="W33" s="252"/>
      <c r="X33" s="155"/>
      <c r="Y33" s="155" t="n">
        <f aca="false">10.5</f>
        <v>10.5</v>
      </c>
      <c r="Z33" s="140" t="n">
        <f aca="false">111.6</f>
        <v>111.6</v>
      </c>
      <c r="AA33" s="269"/>
      <c r="AB33" s="270"/>
    </row>
    <row r="34" customFormat="false" ht="15" hidden="false" customHeight="false" outlineLevel="0" collapsed="false">
      <c r="A34" s="157" t="n">
        <v>26</v>
      </c>
      <c r="B34" s="191" t="n">
        <v>43246</v>
      </c>
      <c r="C34" s="159"/>
      <c r="D34" s="242" t="n">
        <f aca="false">D33+F34</f>
        <v>1290.17774193548</v>
      </c>
      <c r="E34" s="159" t="n">
        <f aca="false">E33+G34</f>
        <v>8209.92774193549</v>
      </c>
      <c r="F34" s="146" t="n">
        <f aca="false">G34-I34</f>
        <v>36.4964516129032</v>
      </c>
      <c r="G34" s="160" t="n">
        <f aca="false">$C$6/$G$1</f>
        <v>315.766451612903</v>
      </c>
      <c r="H34" s="161" t="n">
        <f aca="false">H33+I34</f>
        <v>6919.75</v>
      </c>
      <c r="I34" s="149" t="n">
        <f aca="false">SUM(J34:AA34)</f>
        <v>279.27</v>
      </c>
      <c r="J34" s="150"/>
      <c r="K34" s="117"/>
      <c r="L34" s="254"/>
      <c r="M34" s="254" t="n">
        <f aca="false">2.6+2.1+3.5+88+7.8+5.4+20.37</f>
        <v>129.77</v>
      </c>
      <c r="N34" s="255"/>
      <c r="O34" s="256"/>
      <c r="P34" s="257"/>
      <c r="Q34" s="258"/>
      <c r="R34" s="259"/>
      <c r="S34" s="176"/>
      <c r="T34" s="176" t="n">
        <f aca="false">42</f>
        <v>42</v>
      </c>
      <c r="U34" s="259"/>
      <c r="V34" s="260"/>
      <c r="W34" s="261"/>
      <c r="X34" s="155"/>
      <c r="Y34" s="155" t="n">
        <f aca="false">3.2+4.3</f>
        <v>7.5</v>
      </c>
      <c r="Z34" s="140" t="n">
        <f aca="false">100</f>
        <v>100</v>
      </c>
      <c r="AA34" s="267"/>
      <c r="AB34" s="266"/>
    </row>
    <row r="35" customFormat="false" ht="15" hidden="false" customHeight="false" outlineLevel="0" collapsed="false">
      <c r="A35" s="167" t="n">
        <v>27</v>
      </c>
      <c r="B35" s="268" t="n">
        <v>43247</v>
      </c>
      <c r="C35" s="169"/>
      <c r="D35" s="242" t="n">
        <f aca="false">D34+F35</f>
        <v>1432.70419354839</v>
      </c>
      <c r="E35" s="169" t="n">
        <f aca="false">E34+G35</f>
        <v>8525.69419354839</v>
      </c>
      <c r="F35" s="146" t="n">
        <f aca="false">G35-I35</f>
        <v>142.526451612903</v>
      </c>
      <c r="G35" s="170" t="n">
        <f aca="false">$C$6/$G$1</f>
        <v>315.766451612903</v>
      </c>
      <c r="H35" s="171" t="n">
        <f aca="false">H34+I35</f>
        <v>7092.99</v>
      </c>
      <c r="I35" s="149" t="n">
        <f aca="false">SUM(J35:AA35)</f>
        <v>173.24</v>
      </c>
      <c r="J35" s="150"/>
      <c r="K35" s="117"/>
      <c r="L35" s="118"/>
      <c r="M35" s="118" t="n">
        <f aca="false">13.47+3.48+44+2.29</f>
        <v>63.24</v>
      </c>
      <c r="N35" s="152"/>
      <c r="O35" s="120"/>
      <c r="P35" s="121"/>
      <c r="Q35" s="122"/>
      <c r="R35" s="123"/>
      <c r="S35" s="153"/>
      <c r="T35" s="153" t="n">
        <f aca="false">30</f>
        <v>30</v>
      </c>
      <c r="U35" s="123"/>
      <c r="V35" s="154"/>
      <c r="W35" s="240"/>
      <c r="X35" s="155"/>
      <c r="Y35" s="155" t="n">
        <f aca="false">28</f>
        <v>28</v>
      </c>
      <c r="Z35" s="140" t="n">
        <f aca="false">4+48</f>
        <v>52</v>
      </c>
      <c r="AA35" s="267"/>
      <c r="AB35" s="266"/>
    </row>
    <row r="36" s="156" customFormat="true" ht="15" hidden="false" customHeight="false" outlineLevel="0" collapsed="false">
      <c r="A36" s="141" t="n">
        <v>28</v>
      </c>
      <c r="B36" s="190" t="n">
        <v>43248</v>
      </c>
      <c r="C36" s="145"/>
      <c r="D36" s="242" t="n">
        <f aca="false">D35+F36</f>
        <v>1533.57064516129</v>
      </c>
      <c r="E36" s="145" t="n">
        <f aca="false">E35+G36</f>
        <v>8841.46064516129</v>
      </c>
      <c r="F36" s="146" t="n">
        <f aca="false">G36-I36</f>
        <v>100.866451612903</v>
      </c>
      <c r="G36" s="147" t="n">
        <f aca="false">$C$6/$G$1</f>
        <v>315.766451612903</v>
      </c>
      <c r="H36" s="148" t="n">
        <f aca="false">H35+I36</f>
        <v>7307.89</v>
      </c>
      <c r="I36" s="149" t="n">
        <f aca="false">SUM(J36:AA36)</f>
        <v>214.9</v>
      </c>
      <c r="J36" s="201" t="n">
        <v>29.99</v>
      </c>
      <c r="K36" s="117" t="s">
        <v>97</v>
      </c>
      <c r="L36" s="118" t="n">
        <f aca="false">126.22-11.95-5.99-6.99-9.79-19.99+14.85+9.84</f>
        <v>96.2</v>
      </c>
      <c r="M36" s="118" t="n">
        <f aca="false">3</f>
        <v>3</v>
      </c>
      <c r="N36" s="152" t="n">
        <f aca="false">11.95+5.99</f>
        <v>17.94</v>
      </c>
      <c r="O36" s="120"/>
      <c r="P36" s="121"/>
      <c r="Q36" s="122"/>
      <c r="R36" s="123"/>
      <c r="S36" s="153"/>
      <c r="T36" s="153"/>
      <c r="U36" s="123"/>
      <c r="V36" s="154" t="n">
        <f aca="false">31</f>
        <v>31</v>
      </c>
      <c r="W36" s="240" t="n">
        <f aca="false">19.99</f>
        <v>19.99</v>
      </c>
      <c r="X36" s="155" t="n">
        <f aca="false">6.99+9.79</f>
        <v>16.78</v>
      </c>
      <c r="Y36" s="155"/>
      <c r="Z36" s="209"/>
      <c r="AA36" s="269"/>
      <c r="AB36" s="270"/>
    </row>
    <row r="37" customFormat="false" ht="15" hidden="false" customHeight="false" outlineLevel="0" collapsed="false">
      <c r="A37" s="157" t="n">
        <v>29</v>
      </c>
      <c r="B37" s="273" t="n">
        <v>43249</v>
      </c>
      <c r="C37" s="159"/>
      <c r="D37" s="242" t="n">
        <f aca="false">D36+F37</f>
        <v>1814.55709677419</v>
      </c>
      <c r="E37" s="159" t="n">
        <f aca="false">E36+G37</f>
        <v>9157.22709677419</v>
      </c>
      <c r="F37" s="146" t="n">
        <f aca="false">G37-I37</f>
        <v>280.986451612903</v>
      </c>
      <c r="G37" s="160" t="n">
        <f aca="false">$C$6/$G$1</f>
        <v>315.766451612903</v>
      </c>
      <c r="H37" s="161" t="n">
        <f aca="false">H36+I37</f>
        <v>7342.67</v>
      </c>
      <c r="I37" s="149" t="n">
        <f aca="false">SUM(J37:AA37)</f>
        <v>34.78</v>
      </c>
      <c r="J37" s="150"/>
      <c r="K37" s="117"/>
      <c r="L37" s="118" t="n">
        <f aca="false">1.99+3.8</f>
        <v>5.79</v>
      </c>
      <c r="M37" s="118"/>
      <c r="N37" s="152" t="n">
        <f aca="false">28.99</f>
        <v>28.99</v>
      </c>
      <c r="O37" s="120"/>
      <c r="P37" s="121"/>
      <c r="Q37" s="122"/>
      <c r="R37" s="123"/>
      <c r="S37" s="153"/>
      <c r="T37" s="153"/>
      <c r="U37" s="123"/>
      <c r="V37" s="154"/>
      <c r="W37" s="240"/>
      <c r="X37" s="155"/>
      <c r="Y37" s="155"/>
      <c r="Z37" s="209"/>
      <c r="AA37" s="267"/>
      <c r="AB37" s="266"/>
    </row>
    <row r="38" customFormat="false" ht="15" hidden="false" customHeight="false" outlineLevel="0" collapsed="false">
      <c r="A38" s="162" t="n">
        <v>30</v>
      </c>
      <c r="B38" s="190" t="n">
        <v>43250</v>
      </c>
      <c r="C38" s="164"/>
      <c r="D38" s="242" t="n">
        <f aca="false">D37+F38</f>
        <v>1859.4735483871</v>
      </c>
      <c r="E38" s="164" t="n">
        <f aca="false">E37+G38</f>
        <v>9472.9935483871</v>
      </c>
      <c r="F38" s="146" t="n">
        <f aca="false">G38-I38</f>
        <v>44.9164516129032</v>
      </c>
      <c r="G38" s="165" t="n">
        <f aca="false">$C$6/$G$1</f>
        <v>315.766451612903</v>
      </c>
      <c r="H38" s="166" t="n">
        <f aca="false">H37+I38</f>
        <v>7613.52</v>
      </c>
      <c r="I38" s="149" t="n">
        <f aca="false">SUM(J38:AA38)</f>
        <v>270.85</v>
      </c>
      <c r="J38" s="150"/>
      <c r="K38" s="117"/>
      <c r="L38" s="118" t="n">
        <f aca="false">10.67</f>
        <v>10.67</v>
      </c>
      <c r="M38" s="118" t="n">
        <f aca="false">3+19+4.9+6+2.5</f>
        <v>35.4</v>
      </c>
      <c r="N38" s="152" t="n">
        <f aca="false">42.75</f>
        <v>42.75</v>
      </c>
      <c r="O38" s="120"/>
      <c r="P38" s="121"/>
      <c r="Q38" s="122"/>
      <c r="R38" s="123"/>
      <c r="S38" s="153" t="n">
        <f aca="false">142.03</f>
        <v>142.03</v>
      </c>
      <c r="T38" s="153"/>
      <c r="U38" s="123"/>
      <c r="V38" s="154"/>
      <c r="W38" s="240"/>
      <c r="X38" s="155"/>
      <c r="Y38" s="155"/>
      <c r="Z38" s="209"/>
      <c r="AA38" s="267" t="n">
        <v>40</v>
      </c>
      <c r="AB38" s="266"/>
    </row>
    <row r="39" customFormat="false" ht="15" hidden="false" customHeight="false" outlineLevel="0" collapsed="false">
      <c r="A39" s="141" t="n">
        <v>31</v>
      </c>
      <c r="B39" s="273" t="n">
        <v>43251</v>
      </c>
      <c r="C39" s="164"/>
      <c r="D39" s="242" t="n">
        <f aca="false">D38+F39</f>
        <v>2069.18</v>
      </c>
      <c r="E39" s="164" t="n">
        <f aca="false">E38+G39</f>
        <v>9788.76</v>
      </c>
      <c r="F39" s="146" t="n">
        <f aca="false">G39-I39</f>
        <v>209.706451612903</v>
      </c>
      <c r="G39" s="165" t="n">
        <f aca="false">$C$6/$G$1</f>
        <v>315.766451612903</v>
      </c>
      <c r="H39" s="166" t="n">
        <f aca="false">H38+I39</f>
        <v>7719.58</v>
      </c>
      <c r="I39" s="149" t="n">
        <f aca="false">SUM(J39:AA39)</f>
        <v>106.06</v>
      </c>
      <c r="J39" s="150"/>
      <c r="K39" s="117"/>
      <c r="L39" s="118"/>
      <c r="M39" s="118" t="n">
        <f aca="false">15</f>
        <v>15</v>
      </c>
      <c r="N39" s="152"/>
      <c r="O39" s="120"/>
      <c r="P39" s="121"/>
      <c r="Q39" s="122"/>
      <c r="R39" s="123"/>
      <c r="S39" s="153"/>
      <c r="T39" s="153"/>
      <c r="U39" s="178"/>
      <c r="V39" s="179"/>
      <c r="W39" s="240"/>
      <c r="X39" s="155"/>
      <c r="Y39" s="155" t="n">
        <f aca="false">30.36+57.7</f>
        <v>88.06</v>
      </c>
      <c r="Z39" s="209" t="n">
        <v>3</v>
      </c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0.43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30</v>
      </c>
    </row>
    <row r="2" customFormat="false" ht="13.8" hidden="false" customHeight="false" outlineLevel="0" collapsed="false">
      <c r="B2" s="71" t="s">
        <v>50</v>
      </c>
      <c r="C2" s="72" t="n">
        <v>5166.76</v>
      </c>
      <c r="D2" s="72" t="n">
        <v>2807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/>
      <c r="D4" s="72"/>
      <c r="E4" s="72"/>
      <c r="F4" s="181" t="n">
        <v>1000</v>
      </c>
      <c r="G4" s="182" t="n">
        <f aca="false">C6-F4</f>
        <v>7373.76</v>
      </c>
      <c r="H4" s="183" t="n">
        <f aca="false">G4-H6</f>
        <v>-1413.54</v>
      </c>
      <c r="I4" s="217" t="n">
        <f aca="false">C6-H6</f>
        <v>-413.540000000001</v>
      </c>
    </row>
    <row r="5" customFormat="false" ht="18" hidden="false" customHeight="false" outlineLevel="0" collapsed="false">
      <c r="B5" s="83" t="s">
        <v>53</v>
      </c>
      <c r="C5" s="84" t="n">
        <v>200</v>
      </c>
      <c r="D5" s="84" t="n">
        <v>200</v>
      </c>
      <c r="E5" s="84"/>
      <c r="J5" s="218" t="n">
        <f aca="false">J7/H6</f>
        <v>0.15215026231038</v>
      </c>
      <c r="K5" s="218"/>
      <c r="L5" s="219" t="n">
        <f aca="false">(L7+M7)/H6</f>
        <v>0.173847484437768</v>
      </c>
      <c r="M5" s="219"/>
      <c r="N5" s="220" t="n">
        <f aca="false">N7/H6</f>
        <v>0.0118352622534795</v>
      </c>
      <c r="O5" s="221" t="n">
        <f aca="false">O7/H6</f>
        <v>0.0505604679480614</v>
      </c>
      <c r="P5" s="222" t="n">
        <f aca="false">P7/H6</f>
        <v>0.0357015237900151</v>
      </c>
      <c r="Q5" s="223" t="e">
        <f aca="false">Q7/K6</f>
        <v>#DIV/0!</v>
      </c>
      <c r="R5" s="224" t="n">
        <f aca="false">R7/H6</f>
        <v>0</v>
      </c>
      <c r="S5" s="225" t="n">
        <f aca="false">(S7+T7)/H6</f>
        <v>0.313473990873192</v>
      </c>
      <c r="T5" s="225"/>
      <c r="U5" s="226" t="n">
        <f aca="false">(U7+V7)/H6</f>
        <v>0.00967305088024763</v>
      </c>
      <c r="V5" s="226"/>
      <c r="W5" s="227" t="n">
        <f aca="false">W7/H6</f>
        <v>0.0620713984955561</v>
      </c>
      <c r="X5" s="228" t="n">
        <f aca="false">(X7+Y7)/H6</f>
        <v>0.0167901403161381</v>
      </c>
      <c r="Y5" s="228"/>
      <c r="Z5" s="229" t="n">
        <f aca="false">Z7/H6</f>
        <v>0.0434263084223823</v>
      </c>
      <c r="AA5" s="263" t="n">
        <f aca="false">AA7/H6</f>
        <v>0.0136560718309378</v>
      </c>
      <c r="AB5" s="264" t="n">
        <f aca="false">AB7/H6</f>
        <v>0.028413733456238</v>
      </c>
    </row>
    <row r="6" customFormat="false" ht="57" hidden="false" customHeight="true" outlineLevel="0" collapsed="false">
      <c r="B6" s="98" t="s">
        <v>56</v>
      </c>
      <c r="C6" s="99" t="n">
        <f aca="false">SUM(C2:C5)+SUM(D2:D5)+SUM(E2:E5)</f>
        <v>8373.76</v>
      </c>
      <c r="D6" s="275"/>
      <c r="E6" s="276"/>
      <c r="G6" s="102" t="s">
        <v>57</v>
      </c>
      <c r="H6" s="103" t="n">
        <f aca="false">SUM(J7:AB7)</f>
        <v>8787.3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</row>
    <row r="7" customFormat="false" ht="15.75" hidden="false" customHeight="false" outlineLevel="0" collapsed="false">
      <c r="B7" s="116"/>
      <c r="J7" s="117" t="n">
        <f aca="false">SUM(J9:J38)</f>
        <v>1336.99</v>
      </c>
      <c r="K7" s="117"/>
      <c r="L7" s="118" t="n">
        <f aca="false">SUM(L9:L38)</f>
        <v>971.46</v>
      </c>
      <c r="M7" s="118" t="n">
        <f aca="false">SUM(M9:M38)</f>
        <v>556.19</v>
      </c>
      <c r="N7" s="119" t="n">
        <f aca="false">SUM(N9:N38)</f>
        <v>104</v>
      </c>
      <c r="O7" s="120" t="n">
        <f aca="false">SUM(O9:O38)</f>
        <v>444.29</v>
      </c>
      <c r="P7" s="121" t="n">
        <f aca="false">SUM(P9:P38)</f>
        <v>313.72</v>
      </c>
      <c r="Q7" s="122" t="n">
        <f aca="false">SUM(Q9:Q38)</f>
        <v>776.8</v>
      </c>
      <c r="R7" s="123" t="n">
        <f aca="false">SUM(R9:R38)</f>
        <v>0</v>
      </c>
      <c r="S7" s="37" t="n">
        <f aca="false">SUM(S9:S38)</f>
        <v>1191.4</v>
      </c>
      <c r="T7" s="37" t="n">
        <f aca="false">SUM(T9:T38)</f>
        <v>1563.19</v>
      </c>
      <c r="U7" s="36" t="n">
        <f aca="false">SUM(U9:U38)</f>
        <v>0</v>
      </c>
      <c r="V7" s="124" t="n">
        <f aca="false">SUM(V9:V38)</f>
        <v>85</v>
      </c>
      <c r="W7" s="38" t="n">
        <f aca="false">SUM(W9:W38)</f>
        <v>545.44</v>
      </c>
      <c r="X7" s="39" t="n">
        <f aca="false">SUM(X9:X38)</f>
        <v>41.44</v>
      </c>
      <c r="Y7" s="39" t="n">
        <f aca="false">SUM(Y9:Y38)</f>
        <v>106.1</v>
      </c>
      <c r="Z7" s="40" t="n">
        <f aca="false">SUM(Z9:Z38)</f>
        <v>381.6</v>
      </c>
      <c r="AA7" s="41" t="n">
        <f aca="false">SUM(AA9:AA38)</f>
        <v>120</v>
      </c>
      <c r="AB7" s="34" t="n">
        <f aca="false">SUM(AB9:AB38)</f>
        <v>249.68</v>
      </c>
    </row>
    <row r="8" customFormat="false" ht="69.75" hidden="false" customHeight="false" outlineLevel="0" collapsed="false">
      <c r="A8" s="126" t="s">
        <v>61</v>
      </c>
      <c r="B8" s="127" t="s">
        <v>62</v>
      </c>
      <c r="C8" s="128" t="s">
        <v>103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267"/>
      <c r="AB8" s="266"/>
    </row>
    <row r="9" s="156" customFormat="true" ht="15" hidden="false" customHeight="false" outlineLevel="0" collapsed="false">
      <c r="A9" s="141" t="n">
        <v>1</v>
      </c>
      <c r="B9" s="271" t="n">
        <v>43252</v>
      </c>
      <c r="C9" s="145"/>
      <c r="D9" s="144" t="n">
        <f aca="false">F9</f>
        <v>131.375333333333</v>
      </c>
      <c r="E9" s="145" t="n">
        <f aca="false">G9</f>
        <v>279.125333333333</v>
      </c>
      <c r="F9" s="146" t="n">
        <f aca="false">G9-I9</f>
        <v>131.375333333333</v>
      </c>
      <c r="G9" s="147" t="n">
        <f aca="false">$C$6/$G$1</f>
        <v>279.125333333333</v>
      </c>
      <c r="H9" s="148" t="n">
        <f aca="false">I9</f>
        <v>147.75</v>
      </c>
      <c r="I9" s="149" t="n">
        <f aca="false">SUM(J9:AA9)</f>
        <v>147.75</v>
      </c>
      <c r="J9" s="150"/>
      <c r="K9" s="117"/>
      <c r="L9" s="118" t="n">
        <f aca="false">10.95</f>
        <v>10.95</v>
      </c>
      <c r="M9" s="118"/>
      <c r="N9" s="152"/>
      <c r="O9" s="120"/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 t="n">
        <f aca="false">136.8</f>
        <v>136.8</v>
      </c>
      <c r="AA9" s="269"/>
      <c r="AB9" s="270"/>
    </row>
    <row r="10" customFormat="false" ht="15" hidden="false" customHeight="false" outlineLevel="0" collapsed="false">
      <c r="A10" s="157" t="n">
        <v>2</v>
      </c>
      <c r="B10" s="272" t="n">
        <v>43253</v>
      </c>
      <c r="C10" s="159"/>
      <c r="D10" s="242" t="n">
        <f aca="false">D9+F10</f>
        <v>410.500666666667</v>
      </c>
      <c r="E10" s="159" t="n">
        <f aca="false">E9+G10</f>
        <v>558.250666666667</v>
      </c>
      <c r="F10" s="146" t="n">
        <f aca="false">G10-I10</f>
        <v>279.125333333333</v>
      </c>
      <c r="G10" s="160" t="n">
        <f aca="false">$C$6/$G$1</f>
        <v>279.125333333333</v>
      </c>
      <c r="H10" s="161" t="n">
        <f aca="false">H9+I10</f>
        <v>147.75</v>
      </c>
      <c r="I10" s="149" t="n">
        <f aca="false">SUM(J10:AA10)</f>
        <v>0</v>
      </c>
      <c r="J10" s="150"/>
      <c r="K10" s="135"/>
      <c r="L10" s="118"/>
      <c r="M10" s="118"/>
      <c r="N10" s="152"/>
      <c r="O10" s="120"/>
      <c r="P10" s="121"/>
      <c r="Q10" s="122"/>
      <c r="R10" s="123"/>
      <c r="S10" s="153"/>
      <c r="T10" s="153"/>
      <c r="U10" s="123"/>
      <c r="V10" s="154"/>
      <c r="W10" s="240"/>
      <c r="X10" s="155"/>
      <c r="Y10" s="155"/>
      <c r="Z10" s="140"/>
      <c r="AA10" s="267"/>
      <c r="AB10" s="266"/>
    </row>
    <row r="11" customFormat="false" ht="15" hidden="false" customHeight="false" outlineLevel="0" collapsed="false">
      <c r="A11" s="167" t="n">
        <v>3</v>
      </c>
      <c r="B11" s="268" t="n">
        <v>43254</v>
      </c>
      <c r="C11" s="169"/>
      <c r="D11" s="242" t="n">
        <f aca="false">D10+F11</f>
        <v>296.626</v>
      </c>
      <c r="E11" s="169" t="n">
        <f aca="false">E10+G11</f>
        <v>837.376</v>
      </c>
      <c r="F11" s="146" t="n">
        <f aca="false">G11-I11</f>
        <v>-113.874666666667</v>
      </c>
      <c r="G11" s="170" t="n">
        <f aca="false">$C$6/$G$1</f>
        <v>279.125333333333</v>
      </c>
      <c r="H11" s="171" t="n">
        <f aca="false">H10+I11</f>
        <v>540.75</v>
      </c>
      <c r="I11" s="149" t="n">
        <f aca="false">SUM(J11:AA11)</f>
        <v>393</v>
      </c>
      <c r="J11" s="150"/>
      <c r="K11" s="117"/>
      <c r="L11" s="202" t="n">
        <f aca="false">130</f>
        <v>130</v>
      </c>
      <c r="M11" s="202" t="n">
        <f aca="false">17.96</f>
        <v>17.96</v>
      </c>
      <c r="N11" s="203"/>
      <c r="O11" s="204"/>
      <c r="P11" s="205"/>
      <c r="Q11" s="206"/>
      <c r="R11" s="178"/>
      <c r="S11" s="173" t="n">
        <f aca="false">238.04</f>
        <v>238.04</v>
      </c>
      <c r="T11" s="173"/>
      <c r="U11" s="178"/>
      <c r="V11" s="179"/>
      <c r="W11" s="46"/>
      <c r="X11" s="155"/>
      <c r="Y11" s="155"/>
      <c r="Z11" s="140" t="n">
        <f aca="false">7</f>
        <v>7</v>
      </c>
      <c r="AA11" s="267"/>
      <c r="AB11" s="266"/>
    </row>
    <row r="12" customFormat="false" ht="15" hidden="false" customHeight="false" outlineLevel="0" collapsed="false">
      <c r="A12" s="141" t="n">
        <v>4</v>
      </c>
      <c r="B12" s="271" t="n">
        <v>43255</v>
      </c>
      <c r="C12" s="145"/>
      <c r="D12" s="242" t="n">
        <f aca="false">D11+F12</f>
        <v>482.161333333333</v>
      </c>
      <c r="E12" s="145" t="n">
        <f aca="false">E11+G12</f>
        <v>1116.50133333333</v>
      </c>
      <c r="F12" s="146" t="n">
        <f aca="false">G12-I12</f>
        <v>185.535333333333</v>
      </c>
      <c r="G12" s="147" t="n">
        <f aca="false">$C$6/$G$1</f>
        <v>279.125333333333</v>
      </c>
      <c r="H12" s="148" t="n">
        <f aca="false">H11+I12</f>
        <v>634.34</v>
      </c>
      <c r="I12" s="149" t="n">
        <f aca="false">SUM(J12:AA12)</f>
        <v>93.59</v>
      </c>
      <c r="J12" s="150"/>
      <c r="K12" s="117"/>
      <c r="L12" s="244" t="n">
        <f aca="false">9.5+13.2+54.42+6.99</f>
        <v>84.11</v>
      </c>
      <c r="M12" s="244"/>
      <c r="N12" s="245"/>
      <c r="O12" s="246"/>
      <c r="P12" s="247"/>
      <c r="Q12" s="248"/>
      <c r="R12" s="249"/>
      <c r="S12" s="250"/>
      <c r="T12" s="250"/>
      <c r="U12" s="249"/>
      <c r="V12" s="251"/>
      <c r="W12" s="252"/>
      <c r="X12" s="155" t="n">
        <f aca="false">9.48</f>
        <v>9.48</v>
      </c>
      <c r="Y12" s="155"/>
      <c r="Z12" s="140"/>
      <c r="AA12" s="269"/>
      <c r="AB12" s="270"/>
    </row>
    <row r="13" customFormat="false" ht="15" hidden="false" customHeight="false" outlineLevel="0" collapsed="false">
      <c r="A13" s="157" t="n">
        <v>5</v>
      </c>
      <c r="B13" s="271" t="n">
        <v>43256</v>
      </c>
      <c r="C13" s="159"/>
      <c r="D13" s="242" t="n">
        <f aca="false">D12+F13</f>
        <v>553.286666666667</v>
      </c>
      <c r="E13" s="159" t="n">
        <f aca="false">E12+G13</f>
        <v>1395.62666666667</v>
      </c>
      <c r="F13" s="146" t="n">
        <f aca="false">G13-I13</f>
        <v>71.1253333333333</v>
      </c>
      <c r="G13" s="160" t="n">
        <f aca="false">$C$6/$G$1</f>
        <v>279.125333333333</v>
      </c>
      <c r="H13" s="161" t="n">
        <f aca="false">H12+I13</f>
        <v>842.34</v>
      </c>
      <c r="I13" s="149" t="n">
        <f aca="false">SUM(J13:AA13)</f>
        <v>208</v>
      </c>
      <c r="J13" s="150"/>
      <c r="K13" s="117"/>
      <c r="L13" s="254" t="n">
        <f aca="false">26.56-6.99+51.45</f>
        <v>71.02</v>
      </c>
      <c r="M13" s="254"/>
      <c r="N13" s="255"/>
      <c r="O13" s="256"/>
      <c r="P13" s="257"/>
      <c r="Q13" s="258"/>
      <c r="R13" s="259"/>
      <c r="S13" s="176"/>
      <c r="T13" s="176" t="n">
        <f aca="false">89.99</f>
        <v>89.99</v>
      </c>
      <c r="U13" s="259"/>
      <c r="V13" s="260"/>
      <c r="W13" s="261"/>
      <c r="X13" s="155" t="n">
        <f aca="false">6.99</f>
        <v>6.99</v>
      </c>
      <c r="Y13" s="155"/>
      <c r="Z13" s="140"/>
      <c r="AA13" s="267" t="n">
        <v>40</v>
      </c>
      <c r="AB13" s="266"/>
    </row>
    <row r="14" customFormat="false" ht="15" hidden="false" customHeight="false" outlineLevel="0" collapsed="false">
      <c r="A14" s="167" t="n">
        <v>6</v>
      </c>
      <c r="B14" s="271" t="n">
        <v>43257</v>
      </c>
      <c r="C14" s="159"/>
      <c r="D14" s="242" t="n">
        <f aca="false">D13+F14</f>
        <v>502.602</v>
      </c>
      <c r="E14" s="169" t="n">
        <f aca="false">E13+G14</f>
        <v>1674.752</v>
      </c>
      <c r="F14" s="146" t="n">
        <f aca="false">G14-I14</f>
        <v>-50.6846666666667</v>
      </c>
      <c r="G14" s="170" t="n">
        <f aca="false">$C$6/$G$1</f>
        <v>279.125333333333</v>
      </c>
      <c r="H14" s="171" t="n">
        <f aca="false">H13+I14</f>
        <v>1172.15</v>
      </c>
      <c r="I14" s="149" t="n">
        <f aca="false">SUM(J14:AA14)</f>
        <v>329.81</v>
      </c>
      <c r="J14" s="150"/>
      <c r="K14" s="135"/>
      <c r="L14" s="118" t="n">
        <f aca="false">6.99</f>
        <v>6.99</v>
      </c>
      <c r="M14" s="118"/>
      <c r="N14" s="152" t="n">
        <f aca="false">66.34</f>
        <v>66.34</v>
      </c>
      <c r="O14" s="120"/>
      <c r="P14" s="121" t="n">
        <f aca="false">155.98</f>
        <v>155.98</v>
      </c>
      <c r="Q14" s="122"/>
      <c r="R14" s="123"/>
      <c r="S14" s="153" t="n">
        <f aca="false">100.5</f>
        <v>100.5</v>
      </c>
      <c r="T14" s="153"/>
      <c r="U14" s="123"/>
      <c r="V14" s="154"/>
      <c r="W14" s="240"/>
      <c r="X14" s="155"/>
      <c r="Y14" s="155"/>
      <c r="Z14" s="140"/>
      <c r="AA14" s="267"/>
      <c r="AB14" s="266"/>
    </row>
    <row r="15" s="156" customFormat="true" ht="16.5" hidden="false" customHeight="true" outlineLevel="0" collapsed="false">
      <c r="A15" s="141" t="n">
        <v>7</v>
      </c>
      <c r="B15" s="271" t="n">
        <v>43258</v>
      </c>
      <c r="C15" s="159"/>
      <c r="D15" s="242" t="n">
        <f aca="false">D14+F15</f>
        <v>729.187333333333</v>
      </c>
      <c r="E15" s="145" t="n">
        <f aca="false">E14+G15</f>
        <v>1953.87733333333</v>
      </c>
      <c r="F15" s="146" t="n">
        <f aca="false">G15-I15</f>
        <v>226.585333333333</v>
      </c>
      <c r="G15" s="147" t="n">
        <f aca="false">$C$6/$G$1</f>
        <v>279.125333333333</v>
      </c>
      <c r="H15" s="148" t="n">
        <f aca="false">H14+I15</f>
        <v>1224.69</v>
      </c>
      <c r="I15" s="149" t="n">
        <f aca="false">SUM(J15:AA15)</f>
        <v>52.54</v>
      </c>
      <c r="J15" s="150"/>
      <c r="K15" s="117"/>
      <c r="L15" s="118" t="n">
        <f aca="false">11.96+3.58</f>
        <v>15.54</v>
      </c>
      <c r="M15" s="118"/>
      <c r="N15" s="152"/>
      <c r="O15" s="120"/>
      <c r="P15" s="121"/>
      <c r="Q15" s="122" t="n">
        <f aca="false">37</f>
        <v>37</v>
      </c>
      <c r="R15" s="123"/>
      <c r="S15" s="153"/>
      <c r="T15" s="153"/>
      <c r="U15" s="123"/>
      <c r="V15" s="154"/>
      <c r="W15" s="240"/>
      <c r="X15" s="155"/>
      <c r="Y15" s="155"/>
      <c r="Z15" s="140"/>
      <c r="AA15" s="269"/>
      <c r="AB15" s="270"/>
    </row>
    <row r="16" customFormat="false" ht="15" hidden="false" customHeight="false" outlineLevel="0" collapsed="false">
      <c r="A16" s="157" t="n">
        <v>8</v>
      </c>
      <c r="B16" s="271" t="n">
        <v>43259</v>
      </c>
      <c r="C16" s="159"/>
      <c r="D16" s="242" t="n">
        <f aca="false">D15+F16</f>
        <v>-663.767333333333</v>
      </c>
      <c r="E16" s="159" t="n">
        <f aca="false">E15+G16</f>
        <v>2233.00266666667</v>
      </c>
      <c r="F16" s="146" t="n">
        <f aca="false">G16-I16</f>
        <v>-1392.95466666667</v>
      </c>
      <c r="G16" s="160" t="n">
        <f aca="false">$C$6/$G$1</f>
        <v>279.125333333333</v>
      </c>
      <c r="H16" s="161" t="n">
        <f aca="false">H15+I16</f>
        <v>2896.77</v>
      </c>
      <c r="I16" s="149" t="n">
        <f aca="false">SUM(J16:AA16)</f>
        <v>1672.08</v>
      </c>
      <c r="J16" s="150" t="n">
        <v>607.4</v>
      </c>
      <c r="K16" s="135" t="s">
        <v>86</v>
      </c>
      <c r="L16" s="118" t="n">
        <f aca="false">9.64+11.9+2.45+75.69</f>
        <v>99.68</v>
      </c>
      <c r="M16" s="118"/>
      <c r="N16" s="152"/>
      <c r="O16" s="120"/>
      <c r="P16" s="121"/>
      <c r="Q16" s="122"/>
      <c r="R16" s="123"/>
      <c r="S16" s="153"/>
      <c r="T16" s="153" t="n">
        <f aca="false">965</f>
        <v>965</v>
      </c>
      <c r="U16" s="123"/>
      <c r="V16" s="154"/>
      <c r="W16" s="240"/>
      <c r="X16" s="155"/>
      <c r="Y16" s="155"/>
      <c r="Z16" s="140"/>
      <c r="AA16" s="267"/>
      <c r="AB16" s="266"/>
    </row>
    <row r="17" customFormat="false" ht="15" hidden="false" customHeight="false" outlineLevel="0" collapsed="false">
      <c r="A17" s="162" t="n">
        <v>9</v>
      </c>
      <c r="B17" s="272" t="n">
        <v>43260</v>
      </c>
      <c r="C17" s="164"/>
      <c r="D17" s="242" t="n">
        <f aca="false">D16+F17</f>
        <v>-1137.022</v>
      </c>
      <c r="E17" s="164" t="n">
        <f aca="false">E16+G17</f>
        <v>2512.128</v>
      </c>
      <c r="F17" s="146" t="n">
        <f aca="false">G17-I17</f>
        <v>-473.254666666667</v>
      </c>
      <c r="G17" s="165" t="n">
        <f aca="false">$C$6/$G$1</f>
        <v>279.125333333333</v>
      </c>
      <c r="H17" s="166" t="n">
        <f aca="false">H16+I17</f>
        <v>3649.15</v>
      </c>
      <c r="I17" s="149" t="n">
        <f aca="false">SUM(J17:AA17)</f>
        <v>752.38</v>
      </c>
      <c r="J17" s="150" t="n">
        <v>562.6</v>
      </c>
      <c r="K17" s="135" t="s">
        <v>87</v>
      </c>
      <c r="L17" s="118" t="n">
        <f aca="false">5.9+38.81</f>
        <v>44.71</v>
      </c>
      <c r="M17" s="118"/>
      <c r="N17" s="152"/>
      <c r="O17" s="120"/>
      <c r="P17" s="121"/>
      <c r="Q17" s="122" t="n">
        <f aca="false">9.6</f>
        <v>9.6</v>
      </c>
      <c r="R17" s="123"/>
      <c r="S17" s="153"/>
      <c r="T17" s="153"/>
      <c r="U17" s="123"/>
      <c r="V17" s="154"/>
      <c r="W17" s="240" t="n">
        <f aca="false">10.47+42.53+82.47</f>
        <v>135.47</v>
      </c>
      <c r="X17" s="155"/>
      <c r="Y17" s="155"/>
      <c r="Z17" s="140"/>
      <c r="AA17" s="267"/>
      <c r="AB17" s="266"/>
    </row>
    <row r="18" customFormat="false" ht="15" hidden="false" customHeight="false" outlineLevel="0" collapsed="false">
      <c r="A18" s="167" t="n">
        <v>10</v>
      </c>
      <c r="B18" s="268" t="n">
        <v>43261</v>
      </c>
      <c r="C18" s="169"/>
      <c r="D18" s="242" t="n">
        <f aca="false">D17+F18</f>
        <v>-1512.89666666667</v>
      </c>
      <c r="E18" s="169" t="n">
        <f aca="false">E17+G18</f>
        <v>2791.25333333333</v>
      </c>
      <c r="F18" s="146" t="n">
        <f aca="false">G18-I18</f>
        <v>-375.874666666667</v>
      </c>
      <c r="G18" s="170" t="n">
        <f aca="false">$C$6/$G$1</f>
        <v>279.125333333333</v>
      </c>
      <c r="H18" s="171" t="n">
        <f aca="false">H17+I18</f>
        <v>4304.15</v>
      </c>
      <c r="I18" s="149" t="n">
        <f aca="false">SUM(J18:AA18)</f>
        <v>655</v>
      </c>
      <c r="J18" s="150" t="n">
        <v>75</v>
      </c>
      <c r="K18" s="117" t="s">
        <v>92</v>
      </c>
      <c r="L18" s="202"/>
      <c r="M18" s="202" t="n">
        <f aca="false">47+24</f>
        <v>71</v>
      </c>
      <c r="N18" s="203"/>
      <c r="O18" s="204"/>
      <c r="P18" s="205"/>
      <c r="Q18" s="206"/>
      <c r="R18" s="178"/>
      <c r="S18" s="173"/>
      <c r="T18" s="173" t="n">
        <v>459</v>
      </c>
      <c r="U18" s="178"/>
      <c r="V18" s="179"/>
      <c r="W18" s="46" t="n">
        <v>50</v>
      </c>
      <c r="X18" s="155"/>
      <c r="Y18" s="155"/>
      <c r="Z18" s="140"/>
      <c r="AA18" s="267"/>
      <c r="AB18" s="266"/>
    </row>
    <row r="19" customFormat="false" ht="15" hidden="false" customHeight="false" outlineLevel="0" collapsed="false">
      <c r="A19" s="141" t="n">
        <v>11</v>
      </c>
      <c r="B19" s="271" t="n">
        <v>43262</v>
      </c>
      <c r="C19" s="145"/>
      <c r="D19" s="242" t="n">
        <f aca="false">D18+F19</f>
        <v>-1994.44133333333</v>
      </c>
      <c r="E19" s="145" t="n">
        <f aca="false">E18+G19</f>
        <v>3070.37866666667</v>
      </c>
      <c r="F19" s="146" t="n">
        <f aca="false">G19-I19</f>
        <v>-481.544666666667</v>
      </c>
      <c r="G19" s="147" t="n">
        <f aca="false">$C$6/$G$1</f>
        <v>279.125333333333</v>
      </c>
      <c r="H19" s="148" t="n">
        <f aca="false">H18+I19</f>
        <v>5064.82</v>
      </c>
      <c r="I19" s="149" t="n">
        <f aca="false">SUM(J19:AA19)</f>
        <v>760.67</v>
      </c>
      <c r="J19" s="135"/>
      <c r="K19" s="135"/>
      <c r="L19" s="244" t="n">
        <f aca="false">22.25+6</f>
        <v>28.25</v>
      </c>
      <c r="M19" s="244" t="n">
        <f aca="false">7+32.43+16+10</f>
        <v>65.43</v>
      </c>
      <c r="N19" s="245"/>
      <c r="O19" s="246" t="n">
        <v>20</v>
      </c>
      <c r="P19" s="262"/>
      <c r="Q19" s="248" t="n">
        <f aca="false">640.99</f>
        <v>640.99</v>
      </c>
      <c r="R19" s="249"/>
      <c r="S19" s="250"/>
      <c r="T19" s="250" t="n">
        <f aca="false">6</f>
        <v>6</v>
      </c>
      <c r="U19" s="249"/>
      <c r="V19" s="251"/>
      <c r="W19" s="252"/>
      <c r="X19" s="155"/>
      <c r="Y19" s="155"/>
      <c r="Z19" s="140"/>
      <c r="AA19" s="269"/>
      <c r="AB19" s="270"/>
    </row>
    <row r="20" customFormat="false" ht="15" hidden="false" customHeight="false" outlineLevel="0" collapsed="false">
      <c r="A20" s="157" t="n">
        <v>12</v>
      </c>
      <c r="B20" s="271" t="n">
        <v>43263</v>
      </c>
      <c r="C20" s="159"/>
      <c r="D20" s="242" t="n">
        <f aca="false">D19+F20</f>
        <v>-1757.466</v>
      </c>
      <c r="E20" s="159" t="n">
        <f aca="false">E19+G20</f>
        <v>3349.504</v>
      </c>
      <c r="F20" s="146" t="n">
        <f aca="false">G20-I20</f>
        <v>236.975333333333</v>
      </c>
      <c r="G20" s="160" t="n">
        <f aca="false">$C$6/$G$1</f>
        <v>279.125333333333</v>
      </c>
      <c r="H20" s="161" t="n">
        <f aca="false">H19+I20</f>
        <v>5106.97</v>
      </c>
      <c r="I20" s="149" t="n">
        <f aca="false">SUM(J20:AA20)</f>
        <v>42.15</v>
      </c>
      <c r="J20" s="150"/>
      <c r="K20" s="117"/>
      <c r="L20" s="254" t="n">
        <f aca="false">26.91+5.65+9.59</f>
        <v>42.15</v>
      </c>
      <c r="M20" s="254"/>
      <c r="N20" s="255"/>
      <c r="O20" s="256"/>
      <c r="P20" s="257"/>
      <c r="Q20" s="258"/>
      <c r="R20" s="259"/>
      <c r="S20" s="176"/>
      <c r="T20" s="176"/>
      <c r="U20" s="259"/>
      <c r="V20" s="260"/>
      <c r="W20" s="261"/>
      <c r="X20" s="155"/>
      <c r="Y20" s="155"/>
      <c r="Z20" s="140"/>
      <c r="AA20" s="267"/>
      <c r="AB20" s="266"/>
    </row>
    <row r="21" customFormat="false" ht="15" hidden="false" customHeight="false" outlineLevel="0" collapsed="false">
      <c r="A21" s="167" t="n">
        <v>13</v>
      </c>
      <c r="B21" s="271" t="n">
        <v>43264</v>
      </c>
      <c r="C21" s="169"/>
      <c r="D21" s="242" t="n">
        <f aca="false">D20+F21</f>
        <v>-1607.92066666667</v>
      </c>
      <c r="E21" s="169" t="n">
        <f aca="false">E20+G21</f>
        <v>3628.62933333333</v>
      </c>
      <c r="F21" s="146" t="n">
        <f aca="false">G21-I21</f>
        <v>149.545333333333</v>
      </c>
      <c r="G21" s="170" t="n">
        <f aca="false">$C$6/$G$1</f>
        <v>279.125333333333</v>
      </c>
      <c r="H21" s="171" t="n">
        <f aca="false">H20+I21</f>
        <v>5236.55</v>
      </c>
      <c r="I21" s="149" t="n">
        <f aca="false">SUM(J21:AA21)</f>
        <v>129.58</v>
      </c>
      <c r="J21" s="150"/>
      <c r="K21" s="135"/>
      <c r="L21" s="118" t="n">
        <f aca="false">49.58</f>
        <v>49.58</v>
      </c>
      <c r="M21" s="118" t="s">
        <v>105</v>
      </c>
      <c r="N21" s="152"/>
      <c r="O21" s="120"/>
      <c r="P21" s="121"/>
      <c r="Q21" s="122"/>
      <c r="R21" s="123"/>
      <c r="S21" s="153"/>
      <c r="T21" s="153" t="n">
        <v>40</v>
      </c>
      <c r="U21" s="123"/>
      <c r="V21" s="154"/>
      <c r="W21" s="240"/>
      <c r="X21" s="155"/>
      <c r="Y21" s="155"/>
      <c r="Z21" s="140"/>
      <c r="AA21" s="267" t="n">
        <v>40</v>
      </c>
      <c r="AB21" s="266"/>
    </row>
    <row r="22" s="156" customFormat="true" ht="15" hidden="false" customHeight="false" outlineLevel="0" collapsed="false">
      <c r="A22" s="141" t="n">
        <v>14</v>
      </c>
      <c r="B22" s="271" t="n">
        <v>43265</v>
      </c>
      <c r="C22" s="145"/>
      <c r="D22" s="242" t="n">
        <f aca="false">D21+F22</f>
        <v>-1405.85533333333</v>
      </c>
      <c r="E22" s="145" t="n">
        <f aca="false">E21+G22</f>
        <v>3907.75466666667</v>
      </c>
      <c r="F22" s="146" t="n">
        <f aca="false">G22-I22</f>
        <v>202.065333333333</v>
      </c>
      <c r="G22" s="147" t="n">
        <f aca="false">$C$6/$G$1</f>
        <v>279.125333333333</v>
      </c>
      <c r="H22" s="148" t="n">
        <f aca="false">H21+I22</f>
        <v>5313.61</v>
      </c>
      <c r="I22" s="149" t="n">
        <f aca="false">SUM(J22:AA22)</f>
        <v>77.06</v>
      </c>
      <c r="J22" s="150" t="n">
        <v>49</v>
      </c>
      <c r="K22" s="135" t="s">
        <v>89</v>
      </c>
      <c r="L22" s="118" t="n">
        <f aca="false">6.9</f>
        <v>6.9</v>
      </c>
      <c r="M22" s="118"/>
      <c r="N22" s="152"/>
      <c r="O22" s="120"/>
      <c r="P22" s="121"/>
      <c r="Q22" s="122"/>
      <c r="R22" s="123"/>
      <c r="S22" s="153"/>
      <c r="T22" s="153"/>
      <c r="U22" s="123"/>
      <c r="V22" s="154"/>
      <c r="W22" s="240"/>
      <c r="X22" s="155"/>
      <c r="Y22" s="155" t="n">
        <f aca="false">21.16</f>
        <v>21.16</v>
      </c>
      <c r="Z22" s="140"/>
      <c r="AA22" s="269"/>
      <c r="AB22" s="270" t="n">
        <f aca="false">99.98</f>
        <v>99.98</v>
      </c>
    </row>
    <row r="23" customFormat="false" ht="15" hidden="false" customHeight="false" outlineLevel="0" collapsed="false">
      <c r="A23" s="157" t="n">
        <v>15</v>
      </c>
      <c r="B23" s="271" t="n">
        <v>43266</v>
      </c>
      <c r="C23" s="159"/>
      <c r="D23" s="242" t="n">
        <f aca="false">D22+F23</f>
        <v>-1589.32</v>
      </c>
      <c r="E23" s="159" t="n">
        <f aca="false">E22+G23</f>
        <v>4186.88</v>
      </c>
      <c r="F23" s="146" t="n">
        <f aca="false">G23-I23</f>
        <v>-183.464666666667</v>
      </c>
      <c r="G23" s="160" t="n">
        <f aca="false">$C$6/$G$1</f>
        <v>279.125333333333</v>
      </c>
      <c r="H23" s="161" t="n">
        <f aca="false">H22+I23</f>
        <v>5776.2</v>
      </c>
      <c r="I23" s="149" t="n">
        <f aca="false">SUM(J23:AA23)</f>
        <v>462.59</v>
      </c>
      <c r="J23" s="150"/>
      <c r="K23" s="117"/>
      <c r="L23" s="118" t="n">
        <f aca="false">10.84+2.29+13.2</f>
        <v>26.33</v>
      </c>
      <c r="M23" s="118"/>
      <c r="N23" s="152" t="n">
        <f aca="false">17.69</f>
        <v>17.69</v>
      </c>
      <c r="O23" s="120" t="n">
        <f aca="false">5.9+5.9+62.49</f>
        <v>74.29</v>
      </c>
      <c r="P23" s="121" t="n">
        <f aca="false">36.95</f>
        <v>36.95</v>
      </c>
      <c r="Q23" s="122" t="n">
        <f aca="false">11.99</f>
        <v>11.99</v>
      </c>
      <c r="R23" s="123"/>
      <c r="S23" s="153" t="n">
        <f aca="false">245.35</f>
        <v>245.35</v>
      </c>
      <c r="T23" s="153"/>
      <c r="U23" s="123"/>
      <c r="V23" s="154"/>
      <c r="W23" s="240"/>
      <c r="X23" s="155" t="n">
        <f aca="false">9.99</f>
        <v>9.99</v>
      </c>
      <c r="Y23" s="155"/>
      <c r="Z23" s="140" t="n">
        <f aca="false">40</f>
        <v>40</v>
      </c>
      <c r="AA23" s="267"/>
      <c r="AB23" s="266" t="n">
        <f aca="false">39.9</f>
        <v>39.9</v>
      </c>
    </row>
    <row r="24" customFormat="false" ht="15" hidden="false" customHeight="false" outlineLevel="0" collapsed="false">
      <c r="A24" s="162" t="n">
        <v>16</v>
      </c>
      <c r="B24" s="272" t="n">
        <v>43267</v>
      </c>
      <c r="C24" s="164"/>
      <c r="D24" s="242" t="n">
        <f aca="false">D23+F24</f>
        <v>-2074.96466666667</v>
      </c>
      <c r="E24" s="164" t="n">
        <f aca="false">E23+G24</f>
        <v>4466.00533333333</v>
      </c>
      <c r="F24" s="146" t="n">
        <f aca="false">G24-I24</f>
        <v>-485.644666666667</v>
      </c>
      <c r="G24" s="165" t="n">
        <f aca="false">$C$6/$G$1</f>
        <v>279.125333333333</v>
      </c>
      <c r="H24" s="166" t="n">
        <f aca="false">H23+I24</f>
        <v>6540.97</v>
      </c>
      <c r="I24" s="149" t="n">
        <f aca="false">SUM(J24:AA24)</f>
        <v>764.77</v>
      </c>
      <c r="J24" s="150"/>
      <c r="K24" s="117"/>
      <c r="L24" s="118"/>
      <c r="M24" s="118" t="n">
        <f aca="false">13.5+33+13.8+4.49</f>
        <v>64.79</v>
      </c>
      <c r="N24" s="152"/>
      <c r="O24" s="120" t="n">
        <f aca="false">300</f>
        <v>300</v>
      </c>
      <c r="P24" s="121"/>
      <c r="Q24" s="122"/>
      <c r="R24" s="123"/>
      <c r="S24" s="153" t="n">
        <f aca="false">158.04</f>
        <v>158.04</v>
      </c>
      <c r="T24" s="153" t="n">
        <f aca="false">3.2</f>
        <v>3.2</v>
      </c>
      <c r="U24" s="123"/>
      <c r="V24" s="154"/>
      <c r="W24" s="240" t="n">
        <f aca="false">200</f>
        <v>200</v>
      </c>
      <c r="X24" s="155"/>
      <c r="Y24" s="155" t="n">
        <f aca="false">35.94</f>
        <v>35.94</v>
      </c>
      <c r="Z24" s="140" t="n">
        <f aca="false">2.8</f>
        <v>2.8</v>
      </c>
      <c r="AA24" s="267"/>
      <c r="AB24" s="266"/>
    </row>
    <row r="25" customFormat="false" ht="15" hidden="false" customHeight="false" outlineLevel="0" collapsed="false">
      <c r="A25" s="167" t="n">
        <v>17</v>
      </c>
      <c r="B25" s="268" t="n">
        <v>43268</v>
      </c>
      <c r="C25" s="169"/>
      <c r="D25" s="242" t="n">
        <f aca="false">D24+F25</f>
        <v>-1795.83933333333</v>
      </c>
      <c r="E25" s="169" t="n">
        <f aca="false">E24+G25</f>
        <v>4745.13066666667</v>
      </c>
      <c r="F25" s="146" t="n">
        <f aca="false">G25-I25</f>
        <v>279.125333333333</v>
      </c>
      <c r="G25" s="170" t="n">
        <f aca="false">$C$6/$G$1</f>
        <v>279.125333333333</v>
      </c>
      <c r="H25" s="171" t="n">
        <f aca="false">H24+I25</f>
        <v>6540.97</v>
      </c>
      <c r="I25" s="149" t="n">
        <f aca="false">SUM(J25:AA25)</f>
        <v>0</v>
      </c>
      <c r="J25" s="150"/>
      <c r="K25" s="117"/>
      <c r="L25" s="202"/>
      <c r="M25" s="202"/>
      <c r="N25" s="203"/>
      <c r="O25" s="204"/>
      <c r="P25" s="205"/>
      <c r="Q25" s="206"/>
      <c r="R25" s="178"/>
      <c r="S25" s="173"/>
      <c r="T25" s="173"/>
      <c r="U25" s="178"/>
      <c r="V25" s="179"/>
      <c r="W25" s="46"/>
      <c r="X25" s="155"/>
      <c r="Y25" s="155"/>
      <c r="Z25" s="140"/>
      <c r="AA25" s="267"/>
      <c r="AB25" s="266"/>
    </row>
    <row r="26" customFormat="false" ht="15" hidden="false" customHeight="false" outlineLevel="0" collapsed="false">
      <c r="A26" s="141" t="n">
        <v>18</v>
      </c>
      <c r="B26" s="271" t="n">
        <v>43269</v>
      </c>
      <c r="C26" s="145"/>
      <c r="D26" s="242" t="n">
        <f aca="false">D25+F26</f>
        <v>-1631.374</v>
      </c>
      <c r="E26" s="145" t="n">
        <f aca="false">E25+G26</f>
        <v>5024.256</v>
      </c>
      <c r="F26" s="146" t="n">
        <f aca="false">G26-I26</f>
        <v>164.465333333333</v>
      </c>
      <c r="G26" s="147" t="n">
        <f aca="false">$C$6/$G$1</f>
        <v>279.125333333333</v>
      </c>
      <c r="H26" s="148" t="n">
        <f aca="false">H25+I26</f>
        <v>6655.63</v>
      </c>
      <c r="I26" s="149" t="n">
        <f aca="false">SUM(J26:AA26)</f>
        <v>114.66</v>
      </c>
      <c r="J26" s="150"/>
      <c r="K26" s="117"/>
      <c r="L26" s="244" t="n">
        <f aca="false">35.26-8.99-2.99</f>
        <v>23.28</v>
      </c>
      <c r="M26" s="244" t="n">
        <f aca="false">59.4</f>
        <v>59.4</v>
      </c>
      <c r="N26" s="245" t="n">
        <f aca="false">2.99+8.99</f>
        <v>11.98</v>
      </c>
      <c r="O26" s="246"/>
      <c r="P26" s="247"/>
      <c r="Q26" s="248"/>
      <c r="R26" s="249"/>
      <c r="S26" s="250"/>
      <c r="T26" s="250"/>
      <c r="U26" s="249"/>
      <c r="V26" s="251"/>
      <c r="W26" s="252"/>
      <c r="X26" s="155"/>
      <c r="Y26" s="155"/>
      <c r="Z26" s="140" t="n">
        <f aca="false">15+5</f>
        <v>20</v>
      </c>
      <c r="AA26" s="269"/>
      <c r="AB26" s="270"/>
    </row>
    <row r="27" customFormat="false" ht="15" hidden="false" customHeight="false" outlineLevel="0" collapsed="false">
      <c r="A27" s="157" t="n">
        <v>19</v>
      </c>
      <c r="B27" s="271" t="n">
        <v>43270</v>
      </c>
      <c r="C27" s="159"/>
      <c r="D27" s="242" t="n">
        <f aca="false">D26+F27</f>
        <v>-1508.15866666667</v>
      </c>
      <c r="E27" s="159" t="n">
        <f aca="false">E26+G27</f>
        <v>5303.38133333333</v>
      </c>
      <c r="F27" s="146" t="n">
        <f aca="false">G27-I27</f>
        <v>123.215333333333</v>
      </c>
      <c r="G27" s="160" t="n">
        <f aca="false">$C$6/$G$1</f>
        <v>279.125333333333</v>
      </c>
      <c r="H27" s="161" t="n">
        <f aca="false">H26+I27</f>
        <v>6811.54</v>
      </c>
      <c r="I27" s="149" t="n">
        <f aca="false">SUM(J27:AA27)</f>
        <v>155.91</v>
      </c>
      <c r="J27" s="150"/>
      <c r="K27" s="117"/>
      <c r="L27" s="254"/>
      <c r="M27" s="254" t="n">
        <f aca="false">2</f>
        <v>2</v>
      </c>
      <c r="N27" s="255"/>
      <c r="O27" s="256"/>
      <c r="P27" s="257"/>
      <c r="Q27" s="258"/>
      <c r="R27" s="259"/>
      <c r="S27" s="176" t="n">
        <f aca="false">126.91</f>
        <v>126.91</v>
      </c>
      <c r="T27" s="176"/>
      <c r="U27" s="259"/>
      <c r="V27" s="260"/>
      <c r="W27" s="261"/>
      <c r="X27" s="155"/>
      <c r="Y27" s="155" t="n">
        <f aca="false">27</f>
        <v>27</v>
      </c>
      <c r="Z27" s="140"/>
      <c r="AA27" s="267"/>
      <c r="AB27" s="266"/>
    </row>
    <row r="28" customFormat="false" ht="15" hidden="false" customHeight="false" outlineLevel="0" collapsed="false">
      <c r="A28" s="167" t="n">
        <v>20</v>
      </c>
      <c r="B28" s="271" t="n">
        <v>43271</v>
      </c>
      <c r="C28" s="169"/>
      <c r="D28" s="242" t="n">
        <f aca="false">D27+F28</f>
        <v>-1360.37333333333</v>
      </c>
      <c r="E28" s="169" t="n">
        <f aca="false">E27+G28</f>
        <v>5582.50666666667</v>
      </c>
      <c r="F28" s="146" t="n">
        <f aca="false">G28-I28</f>
        <v>147.785333333333</v>
      </c>
      <c r="G28" s="170" t="n">
        <f aca="false">$C$6/$G$1</f>
        <v>279.125333333333</v>
      </c>
      <c r="H28" s="171" t="n">
        <f aca="false">H27+I28</f>
        <v>6942.88</v>
      </c>
      <c r="I28" s="149" t="n">
        <f aca="false">SUM(J28:AA28)</f>
        <v>131.34</v>
      </c>
      <c r="J28" s="150" t="n">
        <v>13</v>
      </c>
      <c r="K28" s="135" t="s">
        <v>91</v>
      </c>
      <c r="L28" s="118" t="n">
        <f aca="false">28.4+27.72</f>
        <v>56.12</v>
      </c>
      <c r="M28" s="118" t="n">
        <f aca="false">35</f>
        <v>35</v>
      </c>
      <c r="N28" s="152"/>
      <c r="O28" s="120"/>
      <c r="P28" s="121"/>
      <c r="Q28" s="122" t="n">
        <f aca="false">27.22</f>
        <v>27.22</v>
      </c>
      <c r="R28" s="123"/>
      <c r="S28" s="153"/>
      <c r="T28" s="153"/>
      <c r="U28" s="123"/>
      <c r="V28" s="154"/>
      <c r="W28" s="240"/>
      <c r="X28" s="155"/>
      <c r="Y28" s="155"/>
      <c r="Z28" s="140"/>
      <c r="AA28" s="267"/>
      <c r="AB28" s="266"/>
    </row>
    <row r="29" s="156" customFormat="true" ht="15" hidden="false" customHeight="false" outlineLevel="0" collapsed="false">
      <c r="A29" s="141" t="n">
        <v>21</v>
      </c>
      <c r="B29" s="271" t="n">
        <v>43272</v>
      </c>
      <c r="C29" s="145"/>
      <c r="D29" s="242" t="n">
        <f aca="false">D28+F29</f>
        <v>-1200.028</v>
      </c>
      <c r="E29" s="145" t="n">
        <f aca="false">E28+G29</f>
        <v>5861.632</v>
      </c>
      <c r="F29" s="146" t="n">
        <f aca="false">G29-I29</f>
        <v>160.345333333333</v>
      </c>
      <c r="G29" s="147" t="n">
        <f aca="false">$C$6/$G$1</f>
        <v>279.125333333333</v>
      </c>
      <c r="H29" s="148" t="n">
        <f aca="false">H28+I29</f>
        <v>7061.66</v>
      </c>
      <c r="I29" s="149" t="n">
        <f aca="false">SUM(J29:AA29)</f>
        <v>118.78</v>
      </c>
      <c r="J29" s="150"/>
      <c r="K29" s="117"/>
      <c r="L29" s="118" t="n">
        <f aca="false">1.9+34.12</f>
        <v>36.02</v>
      </c>
      <c r="M29" s="118" t="n">
        <f aca="false">53+2.76</f>
        <v>55.76</v>
      </c>
      <c r="N29" s="152"/>
      <c r="O29" s="120"/>
      <c r="P29" s="121"/>
      <c r="Q29" s="122"/>
      <c r="R29" s="123"/>
      <c r="S29" s="153"/>
      <c r="T29" s="153"/>
      <c r="U29" s="123"/>
      <c r="V29" s="154"/>
      <c r="W29" s="240"/>
      <c r="X29" s="155"/>
      <c r="Y29" s="155"/>
      <c r="Z29" s="140" t="n">
        <f aca="false">17+10</f>
        <v>27</v>
      </c>
      <c r="AA29" s="269"/>
      <c r="AB29" s="270"/>
    </row>
    <row r="30" customFormat="false" ht="15" hidden="false" customHeight="false" outlineLevel="0" collapsed="false">
      <c r="A30" s="157" t="n">
        <v>22</v>
      </c>
      <c r="B30" s="271" t="n">
        <v>43273</v>
      </c>
      <c r="C30" s="159"/>
      <c r="D30" s="242" t="n">
        <f aca="false">D29+F30</f>
        <v>-1109.93266666667</v>
      </c>
      <c r="E30" s="159" t="n">
        <f aca="false">E29+G30</f>
        <v>6140.75733333333</v>
      </c>
      <c r="F30" s="146" t="n">
        <f aca="false">G30-I30</f>
        <v>90.0953333333334</v>
      </c>
      <c r="G30" s="160" t="n">
        <f aca="false">$C$6/$G$1</f>
        <v>279.125333333333</v>
      </c>
      <c r="H30" s="161" t="n">
        <f aca="false">H29+I30</f>
        <v>7250.69</v>
      </c>
      <c r="I30" s="149" t="n">
        <f aca="false">SUM(J30:AA30)</f>
        <v>189.03</v>
      </c>
      <c r="J30" s="150"/>
      <c r="K30" s="117"/>
      <c r="L30" s="118" t="n">
        <f aca="false">49.08</f>
        <v>49.08</v>
      </c>
      <c r="M30" s="118" t="n">
        <f aca="false">7+47.95</f>
        <v>54.95</v>
      </c>
      <c r="N30" s="152"/>
      <c r="O30" s="120"/>
      <c r="P30" s="121"/>
      <c r="Q30" s="122"/>
      <c r="R30" s="123"/>
      <c r="S30" s="153"/>
      <c r="T30" s="153"/>
      <c r="U30" s="123"/>
      <c r="V30" s="154" t="n">
        <f aca="false">85</f>
        <v>85</v>
      </c>
      <c r="W30" s="240"/>
      <c r="X30" s="155"/>
      <c r="Y30" s="155"/>
      <c r="Z30" s="140"/>
      <c r="AA30" s="267"/>
      <c r="AB30" s="266"/>
    </row>
    <row r="31" customFormat="false" ht="15" hidden="false" customHeight="false" outlineLevel="0" collapsed="false">
      <c r="A31" s="162" t="n">
        <v>23</v>
      </c>
      <c r="B31" s="272" t="n">
        <v>43274</v>
      </c>
      <c r="C31" s="164"/>
      <c r="D31" s="242" t="n">
        <f aca="false">D30+F31</f>
        <v>-1167.65733333333</v>
      </c>
      <c r="E31" s="164" t="n">
        <f aca="false">E30+G31</f>
        <v>6419.88266666667</v>
      </c>
      <c r="F31" s="146" t="n">
        <f aca="false">G31-I31</f>
        <v>-57.7246666666666</v>
      </c>
      <c r="G31" s="165" t="n">
        <f aca="false">$C$6/$G$1</f>
        <v>279.125333333333</v>
      </c>
      <c r="H31" s="166" t="n">
        <f aca="false">H30+I31</f>
        <v>7587.54</v>
      </c>
      <c r="I31" s="149" t="n">
        <f aca="false">SUM(J31:AA31)</f>
        <v>336.85</v>
      </c>
      <c r="J31" s="150"/>
      <c r="K31" s="117"/>
      <c r="L31" s="118" t="n">
        <f aca="false">6.95</f>
        <v>6.95</v>
      </c>
      <c r="M31" s="118" t="n">
        <f aca="false">46.5+3.6</f>
        <v>50.1</v>
      </c>
      <c r="N31" s="152"/>
      <c r="O31" s="120"/>
      <c r="P31" s="121"/>
      <c r="Q31" s="122"/>
      <c r="R31" s="123"/>
      <c r="S31" s="153" t="n">
        <f aca="false">151.8</f>
        <v>151.8</v>
      </c>
      <c r="T31" s="153"/>
      <c r="U31" s="123"/>
      <c r="V31" s="154"/>
      <c r="W31" s="240"/>
      <c r="X31" s="155"/>
      <c r="Y31" s="155"/>
      <c r="Z31" s="140" t="n">
        <f aca="false">128</f>
        <v>128</v>
      </c>
      <c r="AA31" s="267"/>
      <c r="AB31" s="266"/>
    </row>
    <row r="32" customFormat="false" ht="15" hidden="false" customHeight="false" outlineLevel="0" collapsed="false">
      <c r="A32" s="167" t="n">
        <v>24</v>
      </c>
      <c r="B32" s="268" t="n">
        <v>43275</v>
      </c>
      <c r="C32" s="169"/>
      <c r="D32" s="242" t="n">
        <f aca="false">D31+F32</f>
        <v>-973.531999999999</v>
      </c>
      <c r="E32" s="169" t="n">
        <f aca="false">E31+G32</f>
        <v>6699.008</v>
      </c>
      <c r="F32" s="146" t="n">
        <f aca="false">G32-I32</f>
        <v>194.125333333333</v>
      </c>
      <c r="G32" s="170" t="n">
        <f aca="false">$C$6/$G$1</f>
        <v>279.125333333333</v>
      </c>
      <c r="H32" s="171" t="n">
        <f aca="false">H31+I32</f>
        <v>7672.54</v>
      </c>
      <c r="I32" s="149" t="n">
        <f aca="false">SUM(J32:AA32)</f>
        <v>85</v>
      </c>
      <c r="J32" s="150"/>
      <c r="K32" s="117"/>
      <c r="L32" s="202"/>
      <c r="M32" s="202"/>
      <c r="N32" s="203"/>
      <c r="O32" s="204"/>
      <c r="P32" s="205"/>
      <c r="Q32" s="206"/>
      <c r="R32" s="178"/>
      <c r="S32" s="173"/>
      <c r="T32" s="173"/>
      <c r="U32" s="178"/>
      <c r="V32" s="179"/>
      <c r="W32" s="46" t="n">
        <f aca="false">63</f>
        <v>63</v>
      </c>
      <c r="X32" s="155"/>
      <c r="Y32" s="155" t="n">
        <v>22</v>
      </c>
      <c r="Z32" s="140"/>
      <c r="AA32" s="267"/>
      <c r="AB32" s="266"/>
    </row>
    <row r="33" customFormat="false" ht="15" hidden="false" customHeight="false" outlineLevel="0" collapsed="false">
      <c r="A33" s="141" t="n">
        <v>25</v>
      </c>
      <c r="B33" s="271" t="n">
        <v>43276</v>
      </c>
      <c r="C33" s="145"/>
      <c r="D33" s="242" t="n">
        <f aca="false">D32+F33</f>
        <v>-716.696666666666</v>
      </c>
      <c r="E33" s="145" t="n">
        <f aca="false">E32+G33</f>
        <v>6978.13333333333</v>
      </c>
      <c r="F33" s="146" t="n">
        <f aca="false">G33-I33</f>
        <v>256.835333333333</v>
      </c>
      <c r="G33" s="147" t="n">
        <f aca="false">$C$6/$G$1</f>
        <v>279.125333333333</v>
      </c>
      <c r="H33" s="148" t="n">
        <f aca="false">H32+I33</f>
        <v>7694.83</v>
      </c>
      <c r="I33" s="149" t="n">
        <f aca="false">SUM(J33:AA33)</f>
        <v>22.29</v>
      </c>
      <c r="J33" s="150"/>
      <c r="K33" s="117"/>
      <c r="L33" s="244" t="n">
        <f aca="false">22.29</f>
        <v>22.29</v>
      </c>
      <c r="M33" s="244"/>
      <c r="N33" s="245"/>
      <c r="O33" s="246"/>
      <c r="P33" s="247"/>
      <c r="Q33" s="248"/>
      <c r="R33" s="249"/>
      <c r="S33" s="250"/>
      <c r="T33" s="250"/>
      <c r="U33" s="249"/>
      <c r="V33" s="251"/>
      <c r="W33" s="252"/>
      <c r="X33" s="155"/>
      <c r="Y33" s="155"/>
      <c r="Z33" s="140"/>
      <c r="AA33" s="269"/>
      <c r="AB33" s="270"/>
    </row>
    <row r="34" customFormat="false" ht="15" hidden="false" customHeight="false" outlineLevel="0" collapsed="false">
      <c r="A34" s="157" t="n">
        <v>26</v>
      </c>
      <c r="B34" s="271" t="n">
        <v>43277</v>
      </c>
      <c r="C34" s="159"/>
      <c r="D34" s="242" t="n">
        <f aca="false">D33+F34</f>
        <v>-437.571333333333</v>
      </c>
      <c r="E34" s="159" t="n">
        <f aca="false">E33+G34</f>
        <v>7257.25866666667</v>
      </c>
      <c r="F34" s="146" t="n">
        <f aca="false">G34-I34</f>
        <v>279.125333333333</v>
      </c>
      <c r="G34" s="160" t="n">
        <f aca="false">$C$6/$G$1</f>
        <v>279.125333333333</v>
      </c>
      <c r="H34" s="161" t="n">
        <f aca="false">H33+I34</f>
        <v>7694.83</v>
      </c>
      <c r="I34" s="149" t="n">
        <f aca="false">SUM(J34:AA34)</f>
        <v>0</v>
      </c>
      <c r="J34" s="150"/>
      <c r="K34" s="117"/>
      <c r="L34" s="254"/>
      <c r="M34" s="254"/>
      <c r="N34" s="255"/>
      <c r="O34" s="256"/>
      <c r="P34" s="257"/>
      <c r="Q34" s="258"/>
      <c r="R34" s="259"/>
      <c r="S34" s="176"/>
      <c r="T34" s="176"/>
      <c r="U34" s="259"/>
      <c r="V34" s="260"/>
      <c r="W34" s="261"/>
      <c r="X34" s="155"/>
      <c r="Y34" s="155"/>
      <c r="Z34" s="140"/>
      <c r="AA34" s="267"/>
      <c r="AB34" s="266"/>
    </row>
    <row r="35" customFormat="false" ht="15" hidden="false" customHeight="false" outlineLevel="0" collapsed="false">
      <c r="A35" s="167" t="n">
        <v>27</v>
      </c>
      <c r="B35" s="271" t="n">
        <v>43278</v>
      </c>
      <c r="C35" s="169"/>
      <c r="D35" s="242" t="n">
        <f aca="false">D34+F35</f>
        <v>-230.765999999999</v>
      </c>
      <c r="E35" s="169" t="n">
        <f aca="false">E34+G35</f>
        <v>7536.384</v>
      </c>
      <c r="F35" s="146" t="n">
        <f aca="false">G35-I35</f>
        <v>206.805333333333</v>
      </c>
      <c r="G35" s="170" t="n">
        <f aca="false">$C$6/$G$1</f>
        <v>279.125333333333</v>
      </c>
      <c r="H35" s="171" t="n">
        <f aca="false">H34+I35</f>
        <v>7767.15</v>
      </c>
      <c r="I35" s="149" t="n">
        <f aca="false">SUM(J35:AA35)</f>
        <v>72.32</v>
      </c>
      <c r="J35" s="150"/>
      <c r="K35" s="117"/>
      <c r="L35" s="118" t="n">
        <f aca="false">54.8+3.84+9.84</f>
        <v>68.48</v>
      </c>
      <c r="M35" s="118" t="n">
        <f aca="false">3.84</f>
        <v>3.84</v>
      </c>
      <c r="N35" s="152"/>
      <c r="O35" s="120"/>
      <c r="P35" s="121"/>
      <c r="Q35" s="122"/>
      <c r="R35" s="123"/>
      <c r="S35" s="153"/>
      <c r="T35" s="153"/>
      <c r="U35" s="123"/>
      <c r="V35" s="154"/>
      <c r="W35" s="240"/>
      <c r="X35" s="155"/>
      <c r="Y35" s="155"/>
      <c r="Z35" s="140"/>
      <c r="AA35" s="267"/>
      <c r="AB35" s="266"/>
    </row>
    <row r="36" s="156" customFormat="true" ht="15" hidden="false" customHeight="false" outlineLevel="0" collapsed="false">
      <c r="A36" s="141" t="n">
        <v>28</v>
      </c>
      <c r="B36" s="271" t="n">
        <v>43279</v>
      </c>
      <c r="C36" s="145"/>
      <c r="D36" s="242" t="n">
        <f aca="false">D35+F36</f>
        <v>-113.600666666666</v>
      </c>
      <c r="E36" s="145" t="n">
        <f aca="false">E35+G36</f>
        <v>7815.50933333334</v>
      </c>
      <c r="F36" s="146" t="n">
        <f aca="false">G36-I36</f>
        <v>117.165333333333</v>
      </c>
      <c r="G36" s="147" t="n">
        <f aca="false">$C$6/$G$1</f>
        <v>279.125333333333</v>
      </c>
      <c r="H36" s="148" t="n">
        <f aca="false">H35+I36</f>
        <v>7929.11</v>
      </c>
      <c r="I36" s="149" t="n">
        <f aca="false">SUM(J36:AA36)</f>
        <v>161.96</v>
      </c>
      <c r="J36" s="201" t="n">
        <v>29.99</v>
      </c>
      <c r="K36" s="117" t="s">
        <v>97</v>
      </c>
      <c r="L36" s="118" t="n">
        <f aca="false">17.5+54.47-7.99</f>
        <v>63.98</v>
      </c>
      <c r="M36" s="118"/>
      <c r="N36" s="152" t="n">
        <f aca="false">7.99</f>
        <v>7.99</v>
      </c>
      <c r="O36" s="120"/>
      <c r="P36" s="121"/>
      <c r="Q36" s="122"/>
      <c r="R36" s="123"/>
      <c r="S36" s="153"/>
      <c r="T36" s="153"/>
      <c r="U36" s="123"/>
      <c r="V36" s="154"/>
      <c r="W36" s="240"/>
      <c r="X36" s="155"/>
      <c r="Y36" s="155"/>
      <c r="Z36" s="209" t="n">
        <v>20</v>
      </c>
      <c r="AA36" s="269" t="n">
        <v>40</v>
      </c>
      <c r="AB36" s="270"/>
    </row>
    <row r="37" customFormat="false" ht="15" hidden="false" customHeight="false" outlineLevel="0" collapsed="false">
      <c r="A37" s="157" t="n">
        <v>29</v>
      </c>
      <c r="B37" s="271" t="n">
        <v>43280</v>
      </c>
      <c r="C37" s="159"/>
      <c r="D37" s="242" t="n">
        <f aca="false">D36+F37</f>
        <v>-19.7153333333325</v>
      </c>
      <c r="E37" s="159" t="n">
        <f aca="false">E36+G37</f>
        <v>8094.63466666667</v>
      </c>
      <c r="F37" s="146" t="n">
        <f aca="false">G37-I37</f>
        <v>93.8853333333334</v>
      </c>
      <c r="G37" s="160" t="n">
        <f aca="false">$C$6/$G$1</f>
        <v>279.125333333333</v>
      </c>
      <c r="H37" s="161" t="n">
        <f aca="false">H36+I37</f>
        <v>8114.35</v>
      </c>
      <c r="I37" s="149" t="n">
        <f aca="false">SUM(J37:AA37)</f>
        <v>185.24</v>
      </c>
      <c r="J37" s="150"/>
      <c r="K37" s="117"/>
      <c r="L37" s="118" t="n">
        <f aca="false">5.49</f>
        <v>5.49</v>
      </c>
      <c r="M37" s="118"/>
      <c r="N37" s="152"/>
      <c r="O37" s="120"/>
      <c r="P37" s="121" t="n">
        <v>100.8</v>
      </c>
      <c r="Q37" s="122"/>
      <c r="R37" s="123"/>
      <c r="S37" s="153"/>
      <c r="T37" s="153"/>
      <c r="U37" s="123"/>
      <c r="V37" s="154"/>
      <c r="W37" s="240" t="n">
        <f aca="false">37.98+18.99+7+3</f>
        <v>66.97</v>
      </c>
      <c r="X37" s="155" t="n">
        <f aca="false">5.99+5.99</f>
        <v>11.98</v>
      </c>
      <c r="Y37" s="155"/>
      <c r="Z37" s="209"/>
      <c r="AA37" s="267"/>
      <c r="AB37" s="266"/>
    </row>
    <row r="38" customFormat="false" ht="15" hidden="false" customHeight="false" outlineLevel="0" collapsed="false">
      <c r="A38" s="162" t="n">
        <v>30</v>
      </c>
      <c r="B38" s="272" t="n">
        <v>43281</v>
      </c>
      <c r="C38" s="164"/>
      <c r="D38" s="242" t="n">
        <f aca="false">D37+F38</f>
        <v>-163.859999999999</v>
      </c>
      <c r="E38" s="164" t="n">
        <f aca="false">E37+G38</f>
        <v>8373.76</v>
      </c>
      <c r="F38" s="146" t="n">
        <f aca="false">G38-I38</f>
        <v>-144.144666666667</v>
      </c>
      <c r="G38" s="165" t="n">
        <f aca="false">$C$6/$G$1</f>
        <v>279.125333333333</v>
      </c>
      <c r="H38" s="166" t="n">
        <f aca="false">H37+I38</f>
        <v>8537.62</v>
      </c>
      <c r="I38" s="149" t="n">
        <f aca="false">SUM(J38:AA38)</f>
        <v>423.27</v>
      </c>
      <c r="J38" s="150"/>
      <c r="K38" s="117"/>
      <c r="L38" s="118" t="n">
        <f aca="false">23.56</f>
        <v>23.56</v>
      </c>
      <c r="M38" s="118" t="n">
        <f aca="false">9.98+65.98</f>
        <v>75.96</v>
      </c>
      <c r="N38" s="152"/>
      <c r="O38" s="120" t="n">
        <v>50</v>
      </c>
      <c r="P38" s="121" t="n">
        <f aca="false">19.99</f>
        <v>19.99</v>
      </c>
      <c r="Q38" s="122" t="n">
        <f aca="false">50</f>
        <v>50</v>
      </c>
      <c r="R38" s="123"/>
      <c r="S38" s="153" t="n">
        <f aca="false">170.76</f>
        <v>170.76</v>
      </c>
      <c r="T38" s="153"/>
      <c r="U38" s="123"/>
      <c r="V38" s="154"/>
      <c r="W38" s="240" t="n">
        <f aca="false">30</f>
        <v>30</v>
      </c>
      <c r="X38" s="155" t="n">
        <v>3</v>
      </c>
      <c r="Y38" s="155"/>
      <c r="Z38" s="209"/>
      <c r="AA38" s="267"/>
      <c r="AB38" s="266" t="n">
        <f aca="false">109.8</f>
        <v>109.8</v>
      </c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2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4.57"/>
    <col collapsed="false" customWidth="true" hidden="false" outlineLevel="0" max="10" min="10" style="65" width="16.43"/>
    <col collapsed="false" customWidth="true" hidden="false" outlineLevel="0" max="11" min="11" style="65" width="21.71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2.57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26" min="24" style="65" width="9.14"/>
    <col collapsed="false" customWidth="true" hidden="false" outlineLevel="0" max="27" min="27" style="65" width="10.57"/>
    <col collapsed="false" customWidth="true" hidden="false" outlineLevel="0" max="1025" min="28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31</v>
      </c>
    </row>
    <row r="2" customFormat="false" ht="13.8" hidden="false" customHeight="false" outlineLevel="0" collapsed="false">
      <c r="B2" s="71" t="s">
        <v>50</v>
      </c>
      <c r="C2" s="277" t="n">
        <v>7211.6</v>
      </c>
      <c r="D2" s="72" t="n">
        <v>2807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/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 t="n">
        <f aca="false">100</f>
        <v>100</v>
      </c>
      <c r="D4" s="72"/>
      <c r="E4" s="72"/>
      <c r="F4" s="181" t="n">
        <v>3000</v>
      </c>
      <c r="G4" s="182" t="n">
        <f aca="false">C6-F4</f>
        <v>8528.6</v>
      </c>
      <c r="H4" s="183" t="n">
        <f aca="false">G4-H6</f>
        <v>-1792.62</v>
      </c>
      <c r="I4" s="217" t="n">
        <f aca="false">C6-H6</f>
        <v>1207.38</v>
      </c>
    </row>
    <row r="5" customFormat="false" ht="18" hidden="false" customHeight="false" outlineLevel="0" collapsed="false">
      <c r="B5" s="83" t="s">
        <v>53</v>
      </c>
      <c r="C5" s="84" t="n">
        <f aca="false">200+10</f>
        <v>210</v>
      </c>
      <c r="D5" s="84"/>
      <c r="E5" s="84" t="n">
        <f aca="false">1200</f>
        <v>1200</v>
      </c>
      <c r="J5" s="218" t="n">
        <f aca="false">J7/H6</f>
        <v>0.169061409407027</v>
      </c>
      <c r="K5" s="218"/>
      <c r="L5" s="219" t="n">
        <f aca="false">(L7+M7)/H6</f>
        <v>0.183705995996597</v>
      </c>
      <c r="M5" s="219"/>
      <c r="N5" s="220" t="n">
        <f aca="false">N7/H6</f>
        <v>0.0655658924041925</v>
      </c>
      <c r="O5" s="221" t="n">
        <f aca="false">O7/H6</f>
        <v>0.0150747682928956</v>
      </c>
      <c r="P5" s="222" t="n">
        <f aca="false">P7/H6</f>
        <v>0.00972656333262928</v>
      </c>
      <c r="Q5" s="223" t="n">
        <f aca="false">Q7/H6</f>
        <v>0.0241143973289979</v>
      </c>
      <c r="R5" s="224" t="n">
        <f aca="false">R7/H6</f>
        <v>0.0192186582593918</v>
      </c>
      <c r="S5" s="225" t="n">
        <f aca="false">(S7+T7)/H6</f>
        <v>0.164715992876811</v>
      </c>
      <c r="T5" s="225"/>
      <c r="U5" s="226" t="n">
        <f aca="false">(U7+V7)/H6</f>
        <v>0.00948918829363196</v>
      </c>
      <c r="V5" s="226"/>
      <c r="W5" s="227" t="n">
        <f aca="false">W7/H6</f>
        <v>0.0978547109740903</v>
      </c>
      <c r="X5" s="228" t="n">
        <f aca="false">(X7+Y7)/H6</f>
        <v>0.0489108845659719</v>
      </c>
      <c r="Y5" s="228"/>
      <c r="Z5" s="229" t="n">
        <f aca="false">Z7/H6</f>
        <v>0.159428827212287</v>
      </c>
      <c r="AA5" s="263" t="n">
        <f aca="false">AA7/H6</f>
        <v>0.0155020433630908</v>
      </c>
      <c r="AB5" s="264" t="n">
        <f aca="false">AB7/H6</f>
        <v>0.0176306676923852</v>
      </c>
    </row>
    <row r="6" customFormat="false" ht="57" hidden="false" customHeight="true" outlineLevel="0" collapsed="false">
      <c r="B6" s="98" t="s">
        <v>56</v>
      </c>
      <c r="C6" s="230" t="n">
        <f aca="false">SUM(C2:C5)+SUM(D2:D5)+SUM(E2:E5)</f>
        <v>11528.6</v>
      </c>
      <c r="D6" s="100"/>
      <c r="E6" s="101"/>
      <c r="G6" s="102" t="s">
        <v>57</v>
      </c>
      <c r="H6" s="103" t="n">
        <f aca="false">SUM(J7:AB7)</f>
        <v>10321.22</v>
      </c>
      <c r="J6" s="278" t="s">
        <v>58</v>
      </c>
      <c r="K6" s="278"/>
      <c r="L6" s="279" t="s">
        <v>6</v>
      </c>
      <c r="M6" s="279"/>
      <c r="N6" s="280" t="s">
        <v>7</v>
      </c>
      <c r="O6" s="281" t="s">
        <v>8</v>
      </c>
      <c r="P6" s="282" t="s">
        <v>59</v>
      </c>
      <c r="Q6" s="283" t="s">
        <v>10</v>
      </c>
      <c r="R6" s="284" t="s">
        <v>11</v>
      </c>
      <c r="S6" s="285" t="s">
        <v>12</v>
      </c>
      <c r="T6" s="285"/>
      <c r="U6" s="286" t="s">
        <v>13</v>
      </c>
      <c r="V6" s="286"/>
      <c r="W6" s="287" t="s">
        <v>14</v>
      </c>
      <c r="X6" s="288" t="s">
        <v>15</v>
      </c>
      <c r="Y6" s="288"/>
      <c r="Z6" s="289" t="s">
        <v>16</v>
      </c>
      <c r="AA6" s="265" t="s">
        <v>99</v>
      </c>
      <c r="AB6" s="266" t="s">
        <v>18</v>
      </c>
    </row>
    <row r="7" customFormat="false" ht="15.75" hidden="false" customHeight="false" outlineLevel="0" collapsed="false">
      <c r="B7" s="116"/>
      <c r="J7" s="117" t="n">
        <f aca="false">SUM(J9:J39)</f>
        <v>1744.92</v>
      </c>
      <c r="K7" s="117"/>
      <c r="L7" s="118" t="n">
        <f aca="false">SUM(L9:L39)</f>
        <v>1487.85</v>
      </c>
      <c r="M7" s="118" t="n">
        <f aca="false">SUM(M9:M39)</f>
        <v>408.22</v>
      </c>
      <c r="N7" s="119" t="n">
        <f aca="false">SUM(N9:N39)</f>
        <v>676.72</v>
      </c>
      <c r="O7" s="120" t="n">
        <f aca="false">SUM(O9:O39)</f>
        <v>155.59</v>
      </c>
      <c r="P7" s="290" t="n">
        <f aca="false">SUM(P9:P39)</f>
        <v>100.39</v>
      </c>
      <c r="Q7" s="291" t="n">
        <f aca="false">SUM(Q9:Q39)</f>
        <v>248.89</v>
      </c>
      <c r="R7" s="292" t="n">
        <f aca="false">SUM(R9:R39)</f>
        <v>198.36</v>
      </c>
      <c r="S7" s="37" t="n">
        <f aca="false">SUM(S9:S39)</f>
        <v>972.07</v>
      </c>
      <c r="T7" s="37" t="n">
        <f aca="false">SUM(T9:T39)</f>
        <v>728</v>
      </c>
      <c r="U7" s="36" t="n">
        <f aca="false">SUM(U9:U39)</f>
        <v>0</v>
      </c>
      <c r="V7" s="36" t="n">
        <f aca="false">SUM(V9:V39)</f>
        <v>97.94</v>
      </c>
      <c r="W7" s="293" t="n">
        <f aca="false">SUM(W9:W39)</f>
        <v>1009.98</v>
      </c>
      <c r="X7" s="294" t="n">
        <f aca="false">SUM(X9:X39)</f>
        <v>435.87</v>
      </c>
      <c r="Y7" s="294" t="n">
        <f aca="false">SUM(Y9:Y39)</f>
        <v>68.95</v>
      </c>
      <c r="Z7" s="140" t="n">
        <f aca="false">SUM(Z9:Z39)</f>
        <v>1645.5</v>
      </c>
      <c r="AA7" s="295" t="n">
        <f aca="false">SUM(AA9:AA39)</f>
        <v>160</v>
      </c>
      <c r="AB7" s="290" t="n">
        <f aca="false">SUM(AB9:AB39)</f>
        <v>181.97</v>
      </c>
    </row>
    <row r="8" customFormat="false" ht="69.75" hidden="false" customHeight="false" outlineLevel="0" collapsed="false">
      <c r="A8" s="126" t="s">
        <v>61</v>
      </c>
      <c r="B8" s="127" t="s">
        <v>62</v>
      </c>
      <c r="C8" s="128" t="s">
        <v>63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296" t="s">
        <v>70</v>
      </c>
      <c r="K8" s="297" t="s">
        <v>71</v>
      </c>
      <c r="L8" s="298" t="s">
        <v>26</v>
      </c>
      <c r="M8" s="298" t="s">
        <v>72</v>
      </c>
      <c r="N8" s="299"/>
      <c r="O8" s="256"/>
      <c r="P8" s="257"/>
      <c r="Q8" s="258"/>
      <c r="R8" s="259"/>
      <c r="S8" s="300" t="s">
        <v>28</v>
      </c>
      <c r="T8" s="300" t="s">
        <v>73</v>
      </c>
      <c r="U8" s="301" t="s">
        <v>30</v>
      </c>
      <c r="V8" s="302" t="s">
        <v>74</v>
      </c>
      <c r="W8" s="261"/>
      <c r="X8" s="303" t="s">
        <v>26</v>
      </c>
      <c r="Y8" s="304" t="s">
        <v>32</v>
      </c>
      <c r="Z8" s="305"/>
      <c r="AA8" s="267"/>
      <c r="AB8" s="266"/>
    </row>
    <row r="9" s="156" customFormat="true" ht="15" hidden="false" customHeight="false" outlineLevel="0" collapsed="false">
      <c r="A9" s="141" t="n">
        <v>1</v>
      </c>
      <c r="B9" s="268" t="n">
        <v>43282</v>
      </c>
      <c r="C9" s="145" t="n">
        <f aca="false">H9/E9</f>
        <v>0.193605468140104</v>
      </c>
      <c r="D9" s="144" t="n">
        <f aca="false">F9</f>
        <v>299.890322580645</v>
      </c>
      <c r="E9" s="145" t="n">
        <f aca="false">G9</f>
        <v>371.890322580645</v>
      </c>
      <c r="F9" s="146" t="n">
        <f aca="false">G9-I9</f>
        <v>299.890322580645</v>
      </c>
      <c r="G9" s="147" t="n">
        <f aca="false">$C$6/$G$1</f>
        <v>371.890322580645</v>
      </c>
      <c r="H9" s="148" t="n">
        <f aca="false">I9</f>
        <v>72</v>
      </c>
      <c r="I9" s="149" t="n">
        <f aca="false">SUM(J9:AA9)</f>
        <v>72</v>
      </c>
      <c r="J9" s="150"/>
      <c r="K9" s="117"/>
      <c r="L9" s="118"/>
      <c r="M9" s="118" t="n">
        <f aca="false">14+112-80+16</f>
        <v>62</v>
      </c>
      <c r="N9" s="152"/>
      <c r="O9" s="120" t="n">
        <f aca="false">10</f>
        <v>10</v>
      </c>
      <c r="P9" s="121"/>
      <c r="Q9" s="122"/>
      <c r="R9" s="123"/>
      <c r="S9" s="153"/>
      <c r="T9" s="153"/>
      <c r="U9" s="123"/>
      <c r="V9" s="154"/>
      <c r="W9" s="240"/>
      <c r="X9" s="155"/>
      <c r="Y9" s="155"/>
      <c r="Z9" s="140"/>
      <c r="AA9" s="269"/>
      <c r="AB9" s="270"/>
    </row>
    <row r="10" customFormat="false" ht="15" hidden="false" customHeight="false" outlineLevel="0" collapsed="false">
      <c r="A10" s="157" t="n">
        <v>2</v>
      </c>
      <c r="B10" s="271" t="n">
        <v>43283</v>
      </c>
      <c r="C10" s="159" t="n">
        <f aca="false">H10/E10</f>
        <v>1.15610698610412</v>
      </c>
      <c r="D10" s="242" t="n">
        <f aca="false">D9+F10</f>
        <v>-116.10935483871</v>
      </c>
      <c r="E10" s="159" t="n">
        <f aca="false">E9+G10</f>
        <v>743.78064516129</v>
      </c>
      <c r="F10" s="146" t="n">
        <f aca="false">G10-I10</f>
        <v>-415.999677419355</v>
      </c>
      <c r="G10" s="160" t="n">
        <f aca="false">$C$6/$G$1</f>
        <v>371.890322580645</v>
      </c>
      <c r="H10" s="161" t="n">
        <f aca="false">H9+I10</f>
        <v>859.89</v>
      </c>
      <c r="I10" s="149" t="n">
        <f aca="false">SUM(J10:AA10)</f>
        <v>787.89</v>
      </c>
      <c r="J10" s="150"/>
      <c r="K10" s="135"/>
      <c r="L10" s="118"/>
      <c r="M10" s="118" t="n">
        <f aca="false">24.9+27+17.99</f>
        <v>69.89</v>
      </c>
      <c r="N10" s="152"/>
      <c r="O10" s="120"/>
      <c r="P10" s="121"/>
      <c r="Q10" s="122"/>
      <c r="R10" s="123"/>
      <c r="S10" s="153"/>
      <c r="T10" s="153" t="n">
        <f aca="false">2</f>
        <v>2</v>
      </c>
      <c r="U10" s="123"/>
      <c r="V10" s="154"/>
      <c r="W10" s="240"/>
      <c r="X10" s="155" t="n">
        <f aca="false">16</f>
        <v>16</v>
      </c>
      <c r="Y10" s="155"/>
      <c r="Z10" s="140" t="n">
        <f aca="false">700</f>
        <v>700</v>
      </c>
      <c r="AA10" s="267"/>
      <c r="AB10" s="266"/>
    </row>
    <row r="11" customFormat="false" ht="15" hidden="false" customHeight="false" outlineLevel="0" collapsed="false">
      <c r="A11" s="167" t="n">
        <v>3</v>
      </c>
      <c r="B11" s="271" t="n">
        <v>43284</v>
      </c>
      <c r="C11" s="169" t="n">
        <f aca="false">H11/E11</f>
        <v>1.57911252594996</v>
      </c>
      <c r="D11" s="242" t="n">
        <f aca="false">D10+F11</f>
        <v>-646.099032258065</v>
      </c>
      <c r="E11" s="169" t="n">
        <f aca="false">E10+G11</f>
        <v>1115.67096774194</v>
      </c>
      <c r="F11" s="146" t="n">
        <f aca="false">G11-I11</f>
        <v>-529.989677419355</v>
      </c>
      <c r="G11" s="170" t="n">
        <f aca="false">$C$6/$G$1</f>
        <v>371.890322580645</v>
      </c>
      <c r="H11" s="171" t="n">
        <f aca="false">H10+I11</f>
        <v>1761.77</v>
      </c>
      <c r="I11" s="149" t="n">
        <f aca="false">SUM(J11:AA11)</f>
        <v>901.88</v>
      </c>
      <c r="J11" s="150"/>
      <c r="K11" s="117"/>
      <c r="L11" s="202"/>
      <c r="M11" s="202" t="n">
        <f aca="false">12.98+50+30</f>
        <v>92.98</v>
      </c>
      <c r="N11" s="203"/>
      <c r="O11" s="204"/>
      <c r="P11" s="205"/>
      <c r="Q11" s="206" t="n">
        <f aca="false">8.9</f>
        <v>8.9</v>
      </c>
      <c r="R11" s="178"/>
      <c r="S11" s="173"/>
      <c r="T11" s="173"/>
      <c r="U11" s="178"/>
      <c r="V11" s="179"/>
      <c r="W11" s="46"/>
      <c r="X11" s="155"/>
      <c r="Y11" s="155"/>
      <c r="Z11" s="140" t="n">
        <f aca="false">20+50+80+250+400</f>
        <v>800</v>
      </c>
      <c r="AA11" s="267"/>
      <c r="AB11" s="266"/>
    </row>
    <row r="12" s="156" customFormat="true" ht="15" hidden="false" customHeight="false" outlineLevel="0" collapsed="false">
      <c r="A12" s="141" t="n">
        <v>4</v>
      </c>
      <c r="B12" s="271" t="n">
        <v>43285</v>
      </c>
      <c r="C12" s="145" t="n">
        <f aca="false">H12/E12</f>
        <v>1.47326366601322</v>
      </c>
      <c r="D12" s="242" t="n">
        <f aca="false">D11+F12</f>
        <v>-704.008709677419</v>
      </c>
      <c r="E12" s="145" t="n">
        <f aca="false">E11+G12</f>
        <v>1487.56129032258</v>
      </c>
      <c r="F12" s="146" t="n">
        <f aca="false">G12-I12</f>
        <v>-57.9096774193549</v>
      </c>
      <c r="G12" s="147" t="n">
        <f aca="false">$C$6/$G$1</f>
        <v>371.890322580645</v>
      </c>
      <c r="H12" s="148" t="n">
        <f aca="false">H11+I12</f>
        <v>2191.57</v>
      </c>
      <c r="I12" s="149" t="n">
        <f aca="false">SUM(J12:AA12)</f>
        <v>429.8</v>
      </c>
      <c r="J12" s="150"/>
      <c r="K12" s="117"/>
      <c r="L12" s="244" t="n">
        <f aca="false">12.63+53.37+9.84+15.11</f>
        <v>90.95</v>
      </c>
      <c r="M12" s="244" t="n">
        <f aca="false">3</f>
        <v>3</v>
      </c>
      <c r="N12" s="245" t="n">
        <f aca="false">97.82</f>
        <v>97.82</v>
      </c>
      <c r="O12" s="246"/>
      <c r="P12" s="247"/>
      <c r="Q12" s="248" t="n">
        <f aca="false">190</f>
        <v>190</v>
      </c>
      <c r="R12" s="249"/>
      <c r="S12" s="250" t="n">
        <f aca="false">48.03</f>
        <v>48.03</v>
      </c>
      <c r="T12" s="250"/>
      <c r="U12" s="249"/>
      <c r="V12" s="251"/>
      <c r="W12" s="252"/>
      <c r="X12" s="155"/>
      <c r="Y12" s="155"/>
      <c r="Z12" s="140"/>
      <c r="AA12" s="269"/>
      <c r="AB12" s="270"/>
    </row>
    <row r="13" customFormat="false" ht="15" hidden="false" customHeight="false" outlineLevel="0" collapsed="false">
      <c r="A13" s="157" t="n">
        <v>5</v>
      </c>
      <c r="B13" s="271" t="n">
        <v>43286</v>
      </c>
      <c r="C13" s="159" t="n">
        <f aca="false">H13/E13</f>
        <v>1.48618548652915</v>
      </c>
      <c r="D13" s="242" t="n">
        <f aca="false">D12+F13</f>
        <v>-904.038387096774</v>
      </c>
      <c r="E13" s="159" t="n">
        <f aca="false">E12+G13</f>
        <v>1859.45161290323</v>
      </c>
      <c r="F13" s="146" t="n">
        <f aca="false">G13-I13</f>
        <v>-200.029677419355</v>
      </c>
      <c r="G13" s="160" t="n">
        <f aca="false">$C$6/$G$1</f>
        <v>371.890322580645</v>
      </c>
      <c r="H13" s="161" t="n">
        <f aca="false">H12+I13</f>
        <v>2763.49</v>
      </c>
      <c r="I13" s="149" t="n">
        <f aca="false">SUM(J13:AA13)</f>
        <v>571.92</v>
      </c>
      <c r="J13" s="150"/>
      <c r="K13" s="117"/>
      <c r="L13" s="254" t="n">
        <f aca="false">5.99+3.21+1.95+1.95+4.4</f>
        <v>17.5</v>
      </c>
      <c r="M13" s="254" t="n">
        <f aca="false">10.6</f>
        <v>10.6</v>
      </c>
      <c r="N13" s="255" t="n">
        <f aca="false">232.37</f>
        <v>232.37</v>
      </c>
      <c r="O13" s="256"/>
      <c r="P13" s="257"/>
      <c r="Q13" s="258"/>
      <c r="R13" s="259"/>
      <c r="S13" s="176" t="n">
        <f aca="false">255.49</f>
        <v>255.49</v>
      </c>
      <c r="T13" s="176"/>
      <c r="U13" s="259"/>
      <c r="V13" s="260"/>
      <c r="W13" s="261"/>
      <c r="X13" s="155" t="n">
        <f aca="false">21.99+21.99+5.99+5.99</f>
        <v>55.96</v>
      </c>
      <c r="Y13" s="155"/>
      <c r="Z13" s="140"/>
      <c r="AA13" s="267"/>
      <c r="AB13" s="266"/>
    </row>
    <row r="14" customFormat="false" ht="15" hidden="false" customHeight="false" outlineLevel="0" collapsed="false">
      <c r="A14" s="167" t="n">
        <v>6</v>
      </c>
      <c r="B14" s="271" t="n">
        <v>43287</v>
      </c>
      <c r="C14" s="169" t="n">
        <f aca="false">H14/E14</f>
        <v>1.27326070236918</v>
      </c>
      <c r="D14" s="242" t="n">
        <f aca="false">D13+F14</f>
        <v>-609.738064516129</v>
      </c>
      <c r="E14" s="169" t="n">
        <f aca="false">E13+G14</f>
        <v>2231.34193548387</v>
      </c>
      <c r="F14" s="146" t="n">
        <f aca="false">G14-I14</f>
        <v>294.300322580645</v>
      </c>
      <c r="G14" s="170" t="n">
        <f aca="false">$C$6/$G$1</f>
        <v>371.890322580645</v>
      </c>
      <c r="H14" s="171" t="n">
        <f aca="false">H13+I14</f>
        <v>2841.08</v>
      </c>
      <c r="I14" s="149" t="n">
        <f aca="false">SUM(J14:AA14)</f>
        <v>77.59</v>
      </c>
      <c r="J14" s="150" t="n">
        <v>75</v>
      </c>
      <c r="K14" s="135" t="s">
        <v>75</v>
      </c>
      <c r="L14" s="118"/>
      <c r="M14" s="118" t="n">
        <f aca="false">2.59</f>
        <v>2.59</v>
      </c>
      <c r="N14" s="152"/>
      <c r="O14" s="120"/>
      <c r="P14" s="121"/>
      <c r="Q14" s="122"/>
      <c r="R14" s="123"/>
      <c r="S14" s="153"/>
      <c r="T14" s="153"/>
      <c r="U14" s="123"/>
      <c r="V14" s="154"/>
      <c r="W14" s="240"/>
      <c r="X14" s="155"/>
      <c r="Y14" s="155"/>
      <c r="Z14" s="140"/>
      <c r="AA14" s="267"/>
      <c r="AB14" s="266"/>
    </row>
    <row r="15" s="156" customFormat="true" ht="15" hidden="false" customHeight="false" outlineLevel="0" collapsed="false">
      <c r="A15" s="141" t="n">
        <v>7</v>
      </c>
      <c r="B15" s="272" t="n">
        <v>43288</v>
      </c>
      <c r="C15" s="145" t="n">
        <f aca="false">H15/E15</f>
        <v>1.17704826010344</v>
      </c>
      <c r="D15" s="242" t="n">
        <f aca="false">D14+F15</f>
        <v>-460.897741935484</v>
      </c>
      <c r="E15" s="145" t="n">
        <f aca="false">E14+G15</f>
        <v>2603.23225806452</v>
      </c>
      <c r="F15" s="146" t="n">
        <f aca="false">G15-I15</f>
        <v>148.840322580645</v>
      </c>
      <c r="G15" s="147" t="n">
        <f aca="false">$C$6/$G$1</f>
        <v>371.890322580645</v>
      </c>
      <c r="H15" s="148" t="n">
        <f aca="false">H14+I15</f>
        <v>3064.13</v>
      </c>
      <c r="I15" s="149" t="n">
        <f aca="false">SUM(J15:AA15)</f>
        <v>223.05</v>
      </c>
      <c r="J15" s="150" t="n">
        <v>142.12</v>
      </c>
      <c r="K15" s="117" t="s">
        <v>101</v>
      </c>
      <c r="L15" s="118" t="n">
        <f aca="false">80.93</f>
        <v>80.93</v>
      </c>
      <c r="M15" s="118"/>
      <c r="N15" s="152"/>
      <c r="O15" s="120"/>
      <c r="P15" s="121"/>
      <c r="Q15" s="122"/>
      <c r="R15" s="123"/>
      <c r="S15" s="153"/>
      <c r="T15" s="153"/>
      <c r="U15" s="123"/>
      <c r="V15" s="154"/>
      <c r="W15" s="240"/>
      <c r="X15" s="155"/>
      <c r="Y15" s="155"/>
      <c r="Z15" s="140"/>
      <c r="AA15" s="269"/>
      <c r="AB15" s="270" t="n">
        <f aca="false">129.99</f>
        <v>129.99</v>
      </c>
    </row>
    <row r="16" customFormat="false" ht="15" hidden="false" customHeight="false" outlineLevel="0" collapsed="false">
      <c r="A16" s="157" t="n">
        <v>8</v>
      </c>
      <c r="B16" s="268" t="n">
        <v>43289</v>
      </c>
      <c r="C16" s="159" t="n">
        <f aca="false">H16/E16</f>
        <v>1.31272910414101</v>
      </c>
      <c r="D16" s="242" t="n">
        <f aca="false">D15+F16</f>
        <v>-930.407419354839</v>
      </c>
      <c r="E16" s="159" t="n">
        <f aca="false">E15+G16</f>
        <v>2975.12258064516</v>
      </c>
      <c r="F16" s="146" t="n">
        <f aca="false">G16-I16</f>
        <v>-469.509677419355</v>
      </c>
      <c r="G16" s="160" t="n">
        <f aca="false">$C$6/$G$1</f>
        <v>371.890322580645</v>
      </c>
      <c r="H16" s="161" t="n">
        <f aca="false">H15+I16</f>
        <v>3905.53</v>
      </c>
      <c r="I16" s="149" t="n">
        <f aca="false">SUM(J16:AA16)</f>
        <v>841.4</v>
      </c>
      <c r="J16" s="150" t="n">
        <v>607.4</v>
      </c>
      <c r="K16" s="135" t="s">
        <v>86</v>
      </c>
      <c r="L16" s="118"/>
      <c r="M16" s="118" t="n">
        <f aca="false">24</f>
        <v>24</v>
      </c>
      <c r="N16" s="152"/>
      <c r="O16" s="120"/>
      <c r="P16" s="121"/>
      <c r="Q16" s="122"/>
      <c r="R16" s="123"/>
      <c r="S16" s="153"/>
      <c r="T16" s="153"/>
      <c r="U16" s="123"/>
      <c r="V16" s="154"/>
      <c r="W16" s="240" t="n">
        <v>50</v>
      </c>
      <c r="X16" s="155" t="n">
        <f aca="false">120</f>
        <v>120</v>
      </c>
      <c r="Y16" s="155"/>
      <c r="Z16" s="140"/>
      <c r="AA16" s="267" t="n">
        <v>40</v>
      </c>
      <c r="AB16" s="266"/>
    </row>
    <row r="17" customFormat="false" ht="15" hidden="false" customHeight="false" outlineLevel="0" collapsed="false">
      <c r="A17" s="162" t="n">
        <v>9</v>
      </c>
      <c r="B17" s="271" t="n">
        <v>43290</v>
      </c>
      <c r="C17" s="164" t="n">
        <f aca="false">H17/E17</f>
        <v>1.38822590003219</v>
      </c>
      <c r="D17" s="242" t="n">
        <f aca="false">D16+F17</f>
        <v>-1299.39709677419</v>
      </c>
      <c r="E17" s="164" t="n">
        <f aca="false">E16+G17</f>
        <v>3347.01290322581</v>
      </c>
      <c r="F17" s="146" t="n">
        <f aca="false">G17-I17</f>
        <v>-368.989677419355</v>
      </c>
      <c r="G17" s="165" t="n">
        <f aca="false">$C$6/$G$1</f>
        <v>371.890322580645</v>
      </c>
      <c r="H17" s="166" t="n">
        <f aca="false">H16+I17</f>
        <v>4646.41</v>
      </c>
      <c r="I17" s="149" t="n">
        <f aca="false">SUM(J17:AA17)</f>
        <v>740.88</v>
      </c>
      <c r="J17" s="150" t="n">
        <v>574.77</v>
      </c>
      <c r="K17" s="135" t="s">
        <v>87</v>
      </c>
      <c r="L17" s="118" t="n">
        <f aca="false">15.98+14.13</f>
        <v>30.11</v>
      </c>
      <c r="M17" s="118"/>
      <c r="N17" s="152"/>
      <c r="O17" s="120"/>
      <c r="P17" s="121"/>
      <c r="Q17" s="122"/>
      <c r="R17" s="123"/>
      <c r="S17" s="153" t="n">
        <f aca="false">50</f>
        <v>50</v>
      </c>
      <c r="T17" s="153" t="n">
        <f aca="false">14+30+42</f>
        <v>86</v>
      </c>
      <c r="U17" s="123"/>
      <c r="V17" s="154"/>
      <c r="W17" s="240"/>
      <c r="X17" s="155"/>
      <c r="Y17" s="155"/>
      <c r="Z17" s="140"/>
      <c r="AA17" s="267"/>
      <c r="AB17" s="266"/>
    </row>
    <row r="18" customFormat="false" ht="15" hidden="false" customHeight="false" outlineLevel="0" collapsed="false">
      <c r="A18" s="167" t="n">
        <v>10</v>
      </c>
      <c r="B18" s="271" t="n">
        <v>43291</v>
      </c>
      <c r="C18" s="169" t="n">
        <f aca="false">H18/E18</f>
        <v>1.26023177142064</v>
      </c>
      <c r="D18" s="242" t="n">
        <f aca="false">D17+F18</f>
        <v>-967.776774193549</v>
      </c>
      <c r="E18" s="169" t="n">
        <f aca="false">E17+G18</f>
        <v>3718.90322580645</v>
      </c>
      <c r="F18" s="146" t="n">
        <f aca="false">G18-I18</f>
        <v>331.620322580645</v>
      </c>
      <c r="G18" s="170" t="n">
        <f aca="false">$C$6/$G$1</f>
        <v>371.890322580645</v>
      </c>
      <c r="H18" s="171" t="n">
        <f aca="false">H17+I18</f>
        <v>4686.68</v>
      </c>
      <c r="I18" s="149" t="n">
        <f aca="false">SUM(J18:AA18)</f>
        <v>40.27</v>
      </c>
      <c r="J18" s="150"/>
      <c r="K18" s="117"/>
      <c r="L18" s="202" t="n">
        <f aca="false">27.22+13.05</f>
        <v>40.27</v>
      </c>
      <c r="M18" s="202"/>
      <c r="N18" s="203"/>
      <c r="O18" s="204"/>
      <c r="P18" s="205"/>
      <c r="Q18" s="206"/>
      <c r="R18" s="178"/>
      <c r="S18" s="173"/>
      <c r="T18" s="173"/>
      <c r="U18" s="178"/>
      <c r="V18" s="179"/>
      <c r="W18" s="46"/>
      <c r="X18" s="155"/>
      <c r="Y18" s="155"/>
      <c r="Z18" s="140"/>
      <c r="AA18" s="267"/>
      <c r="AB18" s="266"/>
    </row>
    <row r="19" s="156" customFormat="true" ht="15" hidden="false" customHeight="false" outlineLevel="0" collapsed="false">
      <c r="A19" s="141" t="n">
        <v>11</v>
      </c>
      <c r="B19" s="271" t="n">
        <v>43292</v>
      </c>
      <c r="C19" s="145" t="n">
        <f aca="false">H19/E19</f>
        <v>1.15373214125187</v>
      </c>
      <c r="D19" s="242" t="n">
        <f aca="false">D18+F19</f>
        <v>-628.886451612903</v>
      </c>
      <c r="E19" s="145" t="n">
        <f aca="false">E18+G19</f>
        <v>4090.7935483871</v>
      </c>
      <c r="F19" s="146" t="n">
        <f aca="false">G19-I19</f>
        <v>338.890322580645</v>
      </c>
      <c r="G19" s="147" t="n">
        <f aca="false">$C$6/$G$1</f>
        <v>371.890322580645</v>
      </c>
      <c r="H19" s="148" t="n">
        <f aca="false">H18+I19</f>
        <v>4719.68</v>
      </c>
      <c r="I19" s="149" t="n">
        <f aca="false">SUM(J19:AA19)</f>
        <v>33</v>
      </c>
      <c r="J19" s="135"/>
      <c r="K19" s="135"/>
      <c r="L19" s="244"/>
      <c r="M19" s="244"/>
      <c r="N19" s="245"/>
      <c r="O19" s="246"/>
      <c r="P19" s="262"/>
      <c r="Q19" s="248"/>
      <c r="R19" s="249"/>
      <c r="S19" s="250"/>
      <c r="T19" s="250"/>
      <c r="U19" s="249"/>
      <c r="V19" s="251"/>
      <c r="W19" s="252"/>
      <c r="X19" s="155"/>
      <c r="Y19" s="155"/>
      <c r="Z19" s="140" t="n">
        <f aca="false">33</f>
        <v>33</v>
      </c>
      <c r="AA19" s="269"/>
      <c r="AB19" s="270" t="n">
        <f aca="false">11.99</f>
        <v>11.99</v>
      </c>
    </row>
    <row r="20" customFormat="false" ht="15" hidden="false" customHeight="false" outlineLevel="0" collapsed="false">
      <c r="A20" s="157" t="n">
        <v>12</v>
      </c>
      <c r="B20" s="271" t="n">
        <v>43293</v>
      </c>
      <c r="C20" s="159" t="n">
        <f aca="false">H20/E20</f>
        <v>1.16515759357887</v>
      </c>
      <c r="D20" s="242" t="n">
        <f aca="false">D19+F20</f>
        <v>-737.046129032258</v>
      </c>
      <c r="E20" s="159" t="n">
        <f aca="false">E19+G20</f>
        <v>4462.68387096774</v>
      </c>
      <c r="F20" s="146" t="n">
        <f aca="false">G20-I20</f>
        <v>-108.159677419355</v>
      </c>
      <c r="G20" s="160" t="n">
        <f aca="false">$C$6/$G$1</f>
        <v>371.890322580645</v>
      </c>
      <c r="H20" s="161" t="n">
        <f aca="false">H19+I20</f>
        <v>5199.73</v>
      </c>
      <c r="I20" s="149" t="n">
        <f aca="false">SUM(J20:AA20)</f>
        <v>480.05</v>
      </c>
      <c r="J20" s="150"/>
      <c r="K20" s="117"/>
      <c r="L20" s="254" t="n">
        <f aca="false">4.98+34.05+28.1</f>
        <v>67.13</v>
      </c>
      <c r="M20" s="254"/>
      <c r="N20" s="255" t="n">
        <f aca="false">12.97+6.99+163.97</f>
        <v>183.93</v>
      </c>
      <c r="O20" s="256"/>
      <c r="P20" s="257"/>
      <c r="Q20" s="258" t="n">
        <f aca="false">49.99</f>
        <v>49.99</v>
      </c>
      <c r="R20" s="259"/>
      <c r="S20" s="176"/>
      <c r="T20" s="176" t="n">
        <f aca="false">150+26+3</f>
        <v>179</v>
      </c>
      <c r="U20" s="259"/>
      <c r="V20" s="260"/>
      <c r="W20" s="261"/>
      <c r="X20" s="155"/>
      <c r="Y20" s="155"/>
      <c r="Z20" s="140"/>
      <c r="AA20" s="267"/>
      <c r="AB20" s="266"/>
    </row>
    <row r="21" customFormat="false" ht="15" hidden="false" customHeight="false" outlineLevel="0" collapsed="false">
      <c r="A21" s="167" t="n">
        <v>13</v>
      </c>
      <c r="B21" s="271" t="n">
        <v>43294</v>
      </c>
      <c r="C21" s="169" t="n">
        <f aca="false">H21/E21</f>
        <v>1.12872608456027</v>
      </c>
      <c r="D21" s="242" t="n">
        <f aca="false">D20+F21</f>
        <v>-622.335806451613</v>
      </c>
      <c r="E21" s="169" t="n">
        <f aca="false">E20+G21</f>
        <v>4834.57419354839</v>
      </c>
      <c r="F21" s="146" t="n">
        <f aca="false">G21-I21</f>
        <v>114.710322580645</v>
      </c>
      <c r="G21" s="170" t="n">
        <f aca="false">$C$6/$G$1</f>
        <v>371.890322580645</v>
      </c>
      <c r="H21" s="171" t="n">
        <f aca="false">H20+I21</f>
        <v>5456.91</v>
      </c>
      <c r="I21" s="149" t="n">
        <f aca="false">SUM(J21:AA21)</f>
        <v>257.18</v>
      </c>
      <c r="J21" s="150"/>
      <c r="K21" s="135"/>
      <c r="L21" s="118" t="n">
        <f aca="false">9.23+24.47+89.4</f>
        <v>123.1</v>
      </c>
      <c r="M21" s="118" t="n">
        <f aca="false">82.01-41.98-26.97</f>
        <v>13.06</v>
      </c>
      <c r="N21" s="152" t="n">
        <f aca="false">52.07</f>
        <v>52.07</v>
      </c>
      <c r="O21" s="120"/>
      <c r="P21" s="121"/>
      <c r="Q21" s="122"/>
      <c r="R21" s="123"/>
      <c r="S21" s="153"/>
      <c r="T21" s="153"/>
      <c r="U21" s="123"/>
      <c r="V21" s="154"/>
      <c r="W21" s="240"/>
      <c r="X21" s="155"/>
      <c r="Y21" s="155" t="n">
        <f aca="false">41.98+26.97</f>
        <v>68.95</v>
      </c>
      <c r="Z21" s="140"/>
      <c r="AA21" s="267"/>
      <c r="AB21" s="266"/>
    </row>
    <row r="22" s="156" customFormat="true" ht="15" hidden="false" customHeight="false" outlineLevel="0" collapsed="false">
      <c r="A22" s="141" t="n">
        <v>14</v>
      </c>
      <c r="B22" s="272" t="n">
        <v>43295</v>
      </c>
      <c r="C22" s="145" t="n">
        <f aca="false">H22/E22</f>
        <v>1.09194444375603</v>
      </c>
      <c r="D22" s="242" t="n">
        <f aca="false">D21+F22</f>
        <v>-478.705483870968</v>
      </c>
      <c r="E22" s="145" t="n">
        <f aca="false">E21+G22</f>
        <v>5206.46451612903</v>
      </c>
      <c r="F22" s="146" t="n">
        <f aca="false">G22-I22</f>
        <v>143.630322580645</v>
      </c>
      <c r="G22" s="147" t="n">
        <f aca="false">$C$6/$G$1</f>
        <v>371.890322580645</v>
      </c>
      <c r="H22" s="148" t="n">
        <f aca="false">H21+I22</f>
        <v>5685.17</v>
      </c>
      <c r="I22" s="149" t="n">
        <f aca="false">SUM(J22:AA22)</f>
        <v>228.26</v>
      </c>
      <c r="J22" s="150" t="n">
        <v>52</v>
      </c>
      <c r="K22" s="135" t="s">
        <v>89</v>
      </c>
      <c r="L22" s="118" t="n">
        <f aca="false">12.3</f>
        <v>12.3</v>
      </c>
      <c r="M22" s="118"/>
      <c r="N22" s="152" t="n">
        <f aca="false">1.99+9.99+5.99</f>
        <v>17.97</v>
      </c>
      <c r="O22" s="120" t="n">
        <f aca="false">24</f>
        <v>24</v>
      </c>
      <c r="P22" s="121"/>
      <c r="Q22" s="122"/>
      <c r="R22" s="123"/>
      <c r="S22" s="153" t="n">
        <f aca="false">100</f>
        <v>100</v>
      </c>
      <c r="T22" s="153"/>
      <c r="U22" s="123"/>
      <c r="V22" s="154"/>
      <c r="W22" s="240"/>
      <c r="X22" s="155" t="n">
        <f aca="false">21.99</f>
        <v>21.99</v>
      </c>
      <c r="Y22" s="155"/>
      <c r="Z22" s="140"/>
      <c r="AA22" s="269"/>
      <c r="AB22" s="270"/>
    </row>
    <row r="23" customFormat="false" ht="15" hidden="false" customHeight="false" outlineLevel="0" collapsed="false">
      <c r="A23" s="157" t="n">
        <v>15</v>
      </c>
      <c r="B23" s="268" t="n">
        <v>43296</v>
      </c>
      <c r="C23" s="159" t="n">
        <f aca="false">H23/E23</f>
        <v>1.02129931937385</v>
      </c>
      <c r="D23" s="242" t="n">
        <f aca="false">D22+F23</f>
        <v>-118.815161290323</v>
      </c>
      <c r="E23" s="159" t="n">
        <f aca="false">E22+G23</f>
        <v>5578.35483870968</v>
      </c>
      <c r="F23" s="146" t="n">
        <f aca="false">G23-I23</f>
        <v>359.890322580645</v>
      </c>
      <c r="G23" s="160" t="n">
        <f aca="false">$C$6/$G$1</f>
        <v>371.890322580645</v>
      </c>
      <c r="H23" s="161" t="n">
        <f aca="false">H22+I23</f>
        <v>5697.17</v>
      </c>
      <c r="I23" s="149" t="n">
        <f aca="false">SUM(J23:AA23)</f>
        <v>12</v>
      </c>
      <c r="J23" s="150"/>
      <c r="K23" s="117"/>
      <c r="L23" s="118"/>
      <c r="M23" s="118"/>
      <c r="N23" s="152"/>
      <c r="O23" s="120" t="n">
        <f aca="false">12</f>
        <v>12</v>
      </c>
      <c r="P23" s="121"/>
      <c r="Q23" s="122"/>
      <c r="R23" s="123"/>
      <c r="S23" s="153"/>
      <c r="T23" s="153"/>
      <c r="U23" s="123"/>
      <c r="V23" s="154"/>
      <c r="W23" s="240"/>
      <c r="X23" s="155"/>
      <c r="Y23" s="155"/>
      <c r="Z23" s="140"/>
      <c r="AA23" s="267"/>
      <c r="AB23" s="266"/>
    </row>
    <row r="24" customFormat="false" ht="15" hidden="false" customHeight="false" outlineLevel="0" collapsed="false">
      <c r="A24" s="162" t="n">
        <v>16</v>
      </c>
      <c r="B24" s="271" t="n">
        <v>43297</v>
      </c>
      <c r="C24" s="164" t="n">
        <f aca="false">H24/E24</f>
        <v>0.980598251305449</v>
      </c>
      <c r="D24" s="242" t="n">
        <f aca="false">D23+F24</f>
        <v>115.445161290322</v>
      </c>
      <c r="E24" s="164" t="n">
        <f aca="false">E23+G24</f>
        <v>5950.24516129032</v>
      </c>
      <c r="F24" s="146" t="n">
        <f aca="false">G24-I24</f>
        <v>234.260322580645</v>
      </c>
      <c r="G24" s="165" t="n">
        <f aca="false">$C$6/$G$1</f>
        <v>371.890322580645</v>
      </c>
      <c r="H24" s="166" t="n">
        <f aca="false">H23+I24</f>
        <v>5834.8</v>
      </c>
      <c r="I24" s="149" t="n">
        <f aca="false">SUM(J24:AA24)</f>
        <v>137.63</v>
      </c>
      <c r="J24" s="150"/>
      <c r="K24" s="117"/>
      <c r="L24" s="118" t="n">
        <f aca="false">54.81+6.99</f>
        <v>61.8</v>
      </c>
      <c r="M24" s="118"/>
      <c r="N24" s="152" t="n">
        <f aca="false">35.83</f>
        <v>35.83</v>
      </c>
      <c r="O24" s="120"/>
      <c r="P24" s="121"/>
      <c r="Q24" s="122"/>
      <c r="R24" s="123"/>
      <c r="S24" s="153"/>
      <c r="T24" s="153"/>
      <c r="U24" s="123"/>
      <c r="V24" s="154"/>
      <c r="W24" s="240"/>
      <c r="X24" s="155"/>
      <c r="Y24" s="155"/>
      <c r="Z24" s="140"/>
      <c r="AA24" s="267" t="n">
        <v>40</v>
      </c>
      <c r="AB24" s="266"/>
    </row>
    <row r="25" customFormat="false" ht="15" hidden="false" customHeight="false" outlineLevel="0" collapsed="false">
      <c r="A25" s="167" t="n">
        <v>17</v>
      </c>
      <c r="B25" s="271" t="n">
        <v>43298</v>
      </c>
      <c r="C25" s="169" t="n">
        <f aca="false">H25/E25</f>
        <v>0.935255186334548</v>
      </c>
      <c r="D25" s="242" t="n">
        <f aca="false">D24+F25</f>
        <v>409.325483870968</v>
      </c>
      <c r="E25" s="169" t="n">
        <f aca="false">E24+G25</f>
        <v>6322.13548387097</v>
      </c>
      <c r="F25" s="146" t="n">
        <f aca="false">G25-I25</f>
        <v>293.880322580645</v>
      </c>
      <c r="G25" s="170" t="n">
        <f aca="false">$C$6/$G$1</f>
        <v>371.890322580645</v>
      </c>
      <c r="H25" s="171" t="n">
        <f aca="false">H24+I25</f>
        <v>5912.81</v>
      </c>
      <c r="I25" s="149" t="n">
        <f aca="false">SUM(J25:AA25)</f>
        <v>78.01</v>
      </c>
      <c r="J25" s="150"/>
      <c r="K25" s="117"/>
      <c r="L25" s="202" t="n">
        <f aca="false">56.51+16</f>
        <v>72.51</v>
      </c>
      <c r="M25" s="202" t="n">
        <f aca="false">5.5</f>
        <v>5.5</v>
      </c>
      <c r="N25" s="203"/>
      <c r="O25" s="204"/>
      <c r="P25" s="205"/>
      <c r="Q25" s="206"/>
      <c r="R25" s="178"/>
      <c r="S25" s="173"/>
      <c r="T25" s="173"/>
      <c r="U25" s="178"/>
      <c r="V25" s="179"/>
      <c r="W25" s="46"/>
      <c r="X25" s="155"/>
      <c r="Y25" s="155"/>
      <c r="Z25" s="140"/>
      <c r="AA25" s="267"/>
      <c r="AB25" s="266"/>
    </row>
    <row r="26" s="156" customFormat="true" ht="15" hidden="false" customHeight="false" outlineLevel="0" collapsed="false">
      <c r="A26" s="141" t="n">
        <v>18</v>
      </c>
      <c r="B26" s="271" t="n">
        <v>43299</v>
      </c>
      <c r="C26" s="145" t="n">
        <f aca="false">H26/E26</f>
        <v>0.924388429162643</v>
      </c>
      <c r="D26" s="242" t="n">
        <f aca="false">D25+F26</f>
        <v>506.145806451613</v>
      </c>
      <c r="E26" s="145" t="n">
        <f aca="false">E25+G26</f>
        <v>6694.02580645161</v>
      </c>
      <c r="F26" s="146" t="n">
        <f aca="false">G26-I26</f>
        <v>96.8203225806452</v>
      </c>
      <c r="G26" s="147" t="n">
        <f aca="false">$C$6/$G$1</f>
        <v>371.890322580645</v>
      </c>
      <c r="H26" s="148" t="n">
        <f aca="false">H25+I26</f>
        <v>6187.88</v>
      </c>
      <c r="I26" s="149" t="n">
        <f aca="false">SUM(J26:AA26)</f>
        <v>275.07</v>
      </c>
      <c r="J26" s="150"/>
      <c r="K26" s="117"/>
      <c r="L26" s="244" t="n">
        <f aca="false">6.82</f>
        <v>6.82</v>
      </c>
      <c r="M26" s="244"/>
      <c r="N26" s="245"/>
      <c r="O26" s="246"/>
      <c r="P26" s="247"/>
      <c r="Q26" s="248"/>
      <c r="R26" s="249"/>
      <c r="S26" s="250" t="n">
        <f aca="false">268.25</f>
        <v>268.25</v>
      </c>
      <c r="T26" s="250"/>
      <c r="U26" s="249"/>
      <c r="V26" s="251"/>
      <c r="W26" s="252"/>
      <c r="X26" s="155"/>
      <c r="Y26" s="155"/>
      <c r="Z26" s="140"/>
      <c r="AA26" s="269"/>
      <c r="AB26" s="270"/>
    </row>
    <row r="27" customFormat="false" ht="15" hidden="false" customHeight="false" outlineLevel="0" collapsed="false">
      <c r="A27" s="157" t="n">
        <v>19</v>
      </c>
      <c r="B27" s="271" t="n">
        <v>43300</v>
      </c>
      <c r="C27" s="159" t="n">
        <f aca="false">H27/E27</f>
        <v>0.900101258472065</v>
      </c>
      <c r="D27" s="242" t="n">
        <f aca="false">D26+F27</f>
        <v>705.876129032258</v>
      </c>
      <c r="E27" s="159" t="n">
        <f aca="false">E26+G27</f>
        <v>7065.91612903226</v>
      </c>
      <c r="F27" s="146" t="n">
        <f aca="false">G27-I27</f>
        <v>199.730322580645</v>
      </c>
      <c r="G27" s="160" t="n">
        <f aca="false">$C$6/$G$1</f>
        <v>371.890322580645</v>
      </c>
      <c r="H27" s="161" t="n">
        <f aca="false">H26+I27</f>
        <v>6360.04</v>
      </c>
      <c r="I27" s="149" t="n">
        <f aca="false">SUM(J27:AA27)</f>
        <v>172.16</v>
      </c>
      <c r="J27" s="150"/>
      <c r="K27" s="117"/>
      <c r="L27" s="254" t="n">
        <f aca="false">121.19</f>
        <v>121.19</v>
      </c>
      <c r="M27" s="254"/>
      <c r="N27" s="255"/>
      <c r="O27" s="256"/>
      <c r="P27" s="257"/>
      <c r="Q27" s="258"/>
      <c r="R27" s="259"/>
      <c r="S27" s="176"/>
      <c r="T27" s="176"/>
      <c r="U27" s="259"/>
      <c r="V27" s="260" t="n">
        <f aca="false">40.97</f>
        <v>40.97</v>
      </c>
      <c r="W27" s="261" t="n">
        <f aca="false">10</f>
        <v>10</v>
      </c>
      <c r="X27" s="155"/>
      <c r="Y27" s="155"/>
      <c r="Z27" s="140"/>
      <c r="AA27" s="267"/>
      <c r="AB27" s="266"/>
    </row>
    <row r="28" customFormat="false" ht="15" hidden="false" customHeight="false" outlineLevel="0" collapsed="false">
      <c r="A28" s="167" t="n">
        <v>20</v>
      </c>
      <c r="B28" s="271" t="n">
        <v>43301</v>
      </c>
      <c r="C28" s="169" t="n">
        <f aca="false">H28/E28</f>
        <v>0.874708160574571</v>
      </c>
      <c r="D28" s="242" t="n">
        <f aca="false">D27+F28</f>
        <v>931.896451612903</v>
      </c>
      <c r="E28" s="169" t="n">
        <f aca="false">E27+G28</f>
        <v>7437.8064516129</v>
      </c>
      <c r="F28" s="146" t="n">
        <f aca="false">G28-I28</f>
        <v>226.020322580645</v>
      </c>
      <c r="G28" s="170" t="n">
        <f aca="false">$C$6/$G$1</f>
        <v>371.890322580645</v>
      </c>
      <c r="H28" s="171" t="n">
        <f aca="false">H27+I28</f>
        <v>6505.91</v>
      </c>
      <c r="I28" s="149" t="n">
        <f aca="false">SUM(J28:AA28)</f>
        <v>145.87</v>
      </c>
      <c r="J28" s="150" t="n">
        <v>13</v>
      </c>
      <c r="K28" s="135" t="s">
        <v>91</v>
      </c>
      <c r="L28" s="118" t="n">
        <f aca="false">10.79+3</f>
        <v>13.79</v>
      </c>
      <c r="M28" s="118"/>
      <c r="N28" s="152" t="n">
        <f aca="false">11.88</f>
        <v>11.88</v>
      </c>
      <c r="O28" s="120"/>
      <c r="P28" s="121" t="n">
        <f aca="false">89.9</f>
        <v>89.9</v>
      </c>
      <c r="Q28" s="122"/>
      <c r="R28" s="123"/>
      <c r="S28" s="153"/>
      <c r="T28" s="153"/>
      <c r="U28" s="123"/>
      <c r="V28" s="154"/>
      <c r="W28" s="240"/>
      <c r="X28" s="155" t="n">
        <f aca="false">17.3</f>
        <v>17.3</v>
      </c>
      <c r="Y28" s="155"/>
      <c r="Z28" s="140"/>
      <c r="AA28" s="267"/>
      <c r="AB28" s="266"/>
    </row>
    <row r="29" s="156" customFormat="true" ht="15" hidden="false" customHeight="false" outlineLevel="0" collapsed="false">
      <c r="A29" s="141" t="n">
        <v>21</v>
      </c>
      <c r="B29" s="272" t="n">
        <v>43302</v>
      </c>
      <c r="C29" s="145" t="n">
        <f aca="false">H29/E29</f>
        <v>0.997137305731584</v>
      </c>
      <c r="D29" s="242" t="n">
        <f aca="false">D28+F29</f>
        <v>22.3567741935481</v>
      </c>
      <c r="E29" s="145" t="n">
        <f aca="false">E28+G29</f>
        <v>7809.69677419355</v>
      </c>
      <c r="F29" s="146" t="n">
        <f aca="false">G29-I29</f>
        <v>-909.539677419355</v>
      </c>
      <c r="G29" s="147" t="n">
        <f aca="false">$C$6/$G$1</f>
        <v>371.890322580645</v>
      </c>
      <c r="H29" s="148" t="n">
        <f aca="false">H28+I29</f>
        <v>7787.34</v>
      </c>
      <c r="I29" s="149" t="n">
        <f aca="false">SUM(J29:AA29)</f>
        <v>1281.43</v>
      </c>
      <c r="J29" s="150"/>
      <c r="K29" s="117"/>
      <c r="L29" s="118" t="n">
        <f aca="false">7.2+1.6+131.67</f>
        <v>140.47</v>
      </c>
      <c r="M29" s="118" t="n">
        <f aca="false">70</f>
        <v>70</v>
      </c>
      <c r="N29" s="152"/>
      <c r="O29" s="120" t="n">
        <f aca="false">10.6+64</f>
        <v>74.6</v>
      </c>
      <c r="P29" s="121"/>
      <c r="Q29" s="122"/>
      <c r="R29" s="123" t="n">
        <f aca="false">5.09+39.14+154.13</f>
        <v>198.36</v>
      </c>
      <c r="S29" s="153"/>
      <c r="T29" s="153" t="n">
        <f aca="false">18</f>
        <v>18</v>
      </c>
      <c r="U29" s="123"/>
      <c r="V29" s="154"/>
      <c r="W29" s="240" t="n">
        <f aca="false">780</f>
        <v>780</v>
      </c>
      <c r="X29" s="155"/>
      <c r="Y29" s="155"/>
      <c r="Z29" s="140"/>
      <c r="AA29" s="269"/>
      <c r="AB29" s="270"/>
    </row>
    <row r="30" customFormat="false" ht="15" hidden="false" customHeight="false" outlineLevel="0" collapsed="false">
      <c r="A30" s="157" t="n">
        <v>22</v>
      </c>
      <c r="B30" s="268" t="n">
        <v>43303</v>
      </c>
      <c r="C30" s="159" t="n">
        <f aca="false">H30/E30</f>
        <v>0.978169627156495</v>
      </c>
      <c r="D30" s="242" t="n">
        <f aca="false">D29+F30</f>
        <v>178.607096774193</v>
      </c>
      <c r="E30" s="159" t="n">
        <f aca="false">E29+G30</f>
        <v>8181.58709677419</v>
      </c>
      <c r="F30" s="146" t="n">
        <f aca="false">G30-I30</f>
        <v>156.250322580645</v>
      </c>
      <c r="G30" s="160" t="n">
        <f aca="false">$C$6/$G$1</f>
        <v>371.890322580645</v>
      </c>
      <c r="H30" s="161" t="n">
        <f aca="false">H29+I30</f>
        <v>8002.98</v>
      </c>
      <c r="I30" s="149" t="n">
        <f aca="false">SUM(J30:AA30)</f>
        <v>215.64</v>
      </c>
      <c r="J30" s="150" t="n">
        <v>175.64</v>
      </c>
      <c r="K30" s="117" t="s">
        <v>106</v>
      </c>
      <c r="L30" s="118"/>
      <c r="M30" s="118"/>
      <c r="N30" s="152"/>
      <c r="O30" s="120"/>
      <c r="P30" s="121"/>
      <c r="Q30" s="122"/>
      <c r="R30" s="123"/>
      <c r="S30" s="153"/>
      <c r="T30" s="153"/>
      <c r="U30" s="123"/>
      <c r="V30" s="154"/>
      <c r="W30" s="240"/>
      <c r="X30" s="155"/>
      <c r="Y30" s="155"/>
      <c r="Z30" s="140"/>
      <c r="AA30" s="267" t="n">
        <v>40</v>
      </c>
      <c r="AB30" s="266"/>
    </row>
    <row r="31" customFormat="false" ht="15" hidden="false" customHeight="false" outlineLevel="0" collapsed="false">
      <c r="A31" s="162" t="n">
        <v>23</v>
      </c>
      <c r="B31" s="271" t="n">
        <v>43304</v>
      </c>
      <c r="C31" s="164" t="n">
        <f aca="false">H31/E31</f>
        <v>0.936457724419195</v>
      </c>
      <c r="D31" s="242" t="n">
        <f aca="false">D30+F31</f>
        <v>543.507419354838</v>
      </c>
      <c r="E31" s="164" t="n">
        <f aca="false">E30+G31</f>
        <v>8553.47741935484</v>
      </c>
      <c r="F31" s="146" t="n">
        <f aca="false">G31-I31</f>
        <v>364.900322580645</v>
      </c>
      <c r="G31" s="165" t="n">
        <f aca="false">$C$6/$G$1</f>
        <v>371.890322580645</v>
      </c>
      <c r="H31" s="166" t="n">
        <f aca="false">H30+I31</f>
        <v>8009.97</v>
      </c>
      <c r="I31" s="149" t="n">
        <f aca="false">SUM(J31:AA31)</f>
        <v>6.99</v>
      </c>
      <c r="J31" s="150"/>
      <c r="K31" s="117"/>
      <c r="L31" s="118" t="n">
        <f aca="false">6.99</f>
        <v>6.99</v>
      </c>
      <c r="M31" s="118"/>
      <c r="N31" s="152"/>
      <c r="O31" s="120"/>
      <c r="P31" s="121"/>
      <c r="Q31" s="122"/>
      <c r="R31" s="123"/>
      <c r="S31" s="153"/>
      <c r="T31" s="153"/>
      <c r="U31" s="123"/>
      <c r="V31" s="154"/>
      <c r="W31" s="240"/>
      <c r="X31" s="155"/>
      <c r="Y31" s="155"/>
      <c r="Z31" s="140"/>
      <c r="AA31" s="267"/>
      <c r="AB31" s="266"/>
    </row>
    <row r="32" customFormat="false" ht="15" hidden="false" customHeight="false" outlineLevel="0" collapsed="false">
      <c r="A32" s="167" t="n">
        <v>24</v>
      </c>
      <c r="B32" s="271" t="n">
        <v>43305</v>
      </c>
      <c r="C32" s="169" t="n">
        <f aca="false">H32/E32</f>
        <v>0.91954418431842</v>
      </c>
      <c r="D32" s="242" t="n">
        <f aca="false">D31+F32</f>
        <v>718.097741935484</v>
      </c>
      <c r="E32" s="169" t="n">
        <f aca="false">E31+G32</f>
        <v>8925.36774193549</v>
      </c>
      <c r="F32" s="146" t="n">
        <f aca="false">G32-I32</f>
        <v>174.590322580645</v>
      </c>
      <c r="G32" s="170" t="n">
        <f aca="false">$C$6/$G$1</f>
        <v>371.890322580645</v>
      </c>
      <c r="H32" s="171" t="n">
        <f aca="false">H31+I32</f>
        <v>8207.27</v>
      </c>
      <c r="I32" s="149" t="n">
        <f aca="false">SUM(J32:AA32)</f>
        <v>197.3</v>
      </c>
      <c r="J32" s="150"/>
      <c r="K32" s="117"/>
      <c r="L32" s="202" t="n">
        <f aca="false">1.7+155.6-34.99</f>
        <v>122.31</v>
      </c>
      <c r="M32" s="202"/>
      <c r="N32" s="203"/>
      <c r="O32" s="204" t="n">
        <f aca="false">34.99</f>
        <v>34.99</v>
      </c>
      <c r="P32" s="205"/>
      <c r="Q32" s="206"/>
      <c r="R32" s="178"/>
      <c r="S32" s="173"/>
      <c r="T32" s="173"/>
      <c r="U32" s="178"/>
      <c r="V32" s="179"/>
      <c r="W32" s="46"/>
      <c r="X32" s="155"/>
      <c r="Y32" s="155"/>
      <c r="Z32" s="140"/>
      <c r="AA32" s="267" t="n">
        <v>40</v>
      </c>
      <c r="AB32" s="266"/>
    </row>
    <row r="33" s="156" customFormat="true" ht="15" hidden="false" customHeight="false" outlineLevel="0" collapsed="false">
      <c r="A33" s="141" t="n">
        <v>25</v>
      </c>
      <c r="B33" s="271" t="n">
        <v>43306</v>
      </c>
      <c r="C33" s="145" t="n">
        <f aca="false">H33/E33</f>
        <v>0.884229516159811</v>
      </c>
      <c r="D33" s="242" t="n">
        <f aca="false">D32+F33</f>
        <v>1076.34806451613</v>
      </c>
      <c r="E33" s="145" t="n">
        <f aca="false">E32+G33</f>
        <v>9297.25806451613</v>
      </c>
      <c r="F33" s="146" t="n">
        <f aca="false">G33-I33</f>
        <v>358.250322580645</v>
      </c>
      <c r="G33" s="147" t="n">
        <f aca="false">$C$6/$G$1</f>
        <v>371.890322580645</v>
      </c>
      <c r="H33" s="148" t="n">
        <f aca="false">H32+I33</f>
        <v>8220.91</v>
      </c>
      <c r="I33" s="149" t="n">
        <f aca="false">SUM(J33:AA33)</f>
        <v>13.64</v>
      </c>
      <c r="J33" s="150"/>
      <c r="K33" s="117"/>
      <c r="L33" s="244" t="n">
        <f aca="false">3.75</f>
        <v>3.75</v>
      </c>
      <c r="M33" s="244"/>
      <c r="N33" s="245" t="n">
        <f aca="false">9.49</f>
        <v>9.49</v>
      </c>
      <c r="O33" s="246"/>
      <c r="P33" s="247"/>
      <c r="Q33" s="248"/>
      <c r="R33" s="249"/>
      <c r="S33" s="250"/>
      <c r="T33" s="250"/>
      <c r="U33" s="249"/>
      <c r="V33" s="251" t="n">
        <v>0.4</v>
      </c>
      <c r="W33" s="252"/>
      <c r="X33" s="155"/>
      <c r="Y33" s="155"/>
      <c r="Z33" s="140"/>
      <c r="AA33" s="269"/>
      <c r="AB33" s="270"/>
    </row>
    <row r="34" customFormat="false" ht="15" hidden="false" customHeight="false" outlineLevel="0" collapsed="false">
      <c r="A34" s="157" t="n">
        <v>26</v>
      </c>
      <c r="B34" s="271" t="n">
        <v>43307</v>
      </c>
      <c r="C34" s="159" t="n">
        <f aca="false">H34/E34</f>
        <v>0.89598066480819</v>
      </c>
      <c r="D34" s="242" t="n">
        <f aca="false">D33+F34</f>
        <v>1005.77838709677</v>
      </c>
      <c r="E34" s="159" t="n">
        <f aca="false">E33+G34</f>
        <v>9669.14838709677</v>
      </c>
      <c r="F34" s="146" t="n">
        <f aca="false">G34-I34</f>
        <v>-70.5696774193548</v>
      </c>
      <c r="G34" s="160" t="n">
        <f aca="false">$C$6/$G$1</f>
        <v>371.890322580645</v>
      </c>
      <c r="H34" s="161" t="n">
        <f aca="false">H33+I34</f>
        <v>8663.37</v>
      </c>
      <c r="I34" s="149" t="n">
        <f aca="false">SUM(J34:AA34)</f>
        <v>442.46</v>
      </c>
      <c r="J34" s="150"/>
      <c r="K34" s="117"/>
      <c r="L34" s="254" t="n">
        <f aca="false">23.63+29.01+53.22+50.9+53.33+4.1+4.79+143.11-X34-N34+13.2</f>
        <v>293.44</v>
      </c>
      <c r="M34" s="254" t="n">
        <f aca="false">10.6</f>
        <v>10.6</v>
      </c>
      <c r="N34" s="255" t="n">
        <f aca="false">19.99</f>
        <v>19.99</v>
      </c>
      <c r="O34" s="256"/>
      <c r="P34" s="257"/>
      <c r="Q34" s="258"/>
      <c r="R34" s="259"/>
      <c r="S34" s="176"/>
      <c r="T34" s="176"/>
      <c r="U34" s="259"/>
      <c r="V34" s="260" t="n">
        <f aca="false">32.99+23.58</f>
        <v>56.57</v>
      </c>
      <c r="W34" s="261"/>
      <c r="X34" s="155" t="n">
        <f aca="false">(3*3.29)+(6*4.49)-6.94+31.99</f>
        <v>61.86</v>
      </c>
      <c r="Y34" s="155"/>
      <c r="Z34" s="140"/>
      <c r="AA34" s="267"/>
      <c r="AB34" s="266"/>
    </row>
    <row r="35" customFormat="false" ht="15" hidden="false" customHeight="false" outlineLevel="0" collapsed="false">
      <c r="A35" s="167" t="n">
        <v>27</v>
      </c>
      <c r="B35" s="271" t="n">
        <v>43308</v>
      </c>
      <c r="C35" s="169" t="n">
        <f aca="false">H35/E35</f>
        <v>0.885473132518741</v>
      </c>
      <c r="D35" s="242" t="n">
        <f aca="false">D34+F35</f>
        <v>1149.96870967742</v>
      </c>
      <c r="E35" s="169" t="n">
        <f aca="false">E34+G35</f>
        <v>10041.0387096774</v>
      </c>
      <c r="F35" s="146" t="n">
        <f aca="false">G35-I35</f>
        <v>144.190322580645</v>
      </c>
      <c r="G35" s="170" t="n">
        <f aca="false">$C$6/$G$1</f>
        <v>371.890322580645</v>
      </c>
      <c r="H35" s="171" t="n">
        <f aca="false">H34+I35</f>
        <v>8891.07</v>
      </c>
      <c r="I35" s="149" t="n">
        <f aca="false">SUM(J35:AA35)</f>
        <v>227.7</v>
      </c>
      <c r="J35" s="150"/>
      <c r="K35" s="117"/>
      <c r="L35" s="118" t="n">
        <f aca="false">14.26+0.99+4.35+3.49+3.49</f>
        <v>26.58</v>
      </c>
      <c r="M35" s="118"/>
      <c r="N35" s="152" t="n">
        <f aca="false">15.37</f>
        <v>15.37</v>
      </c>
      <c r="O35" s="120"/>
      <c r="P35" s="121" t="n">
        <f aca="false">10.49</f>
        <v>10.49</v>
      </c>
      <c r="Q35" s="122"/>
      <c r="R35" s="123"/>
      <c r="S35" s="153"/>
      <c r="T35" s="153"/>
      <c r="U35" s="123"/>
      <c r="V35" s="154"/>
      <c r="W35" s="240"/>
      <c r="X35" s="155" t="n">
        <f aca="false">45.99+45.99+25.39+25.39</f>
        <v>142.76</v>
      </c>
      <c r="Y35" s="155"/>
      <c r="Z35" s="140" t="n">
        <f aca="false">32.5</f>
        <v>32.5</v>
      </c>
      <c r="AA35" s="267"/>
      <c r="AB35" s="266"/>
    </row>
    <row r="36" s="156" customFormat="true" ht="15" hidden="false" customHeight="false" outlineLevel="0" collapsed="false">
      <c r="A36" s="141" t="n">
        <v>28</v>
      </c>
      <c r="B36" s="272" t="n">
        <v>43309</v>
      </c>
      <c r="C36" s="145" t="n">
        <f aca="false">H36/E36</f>
        <v>0.898653008294899</v>
      </c>
      <c r="D36" s="242" t="n">
        <f aca="false">D35+F36</f>
        <v>1055.31903225806</v>
      </c>
      <c r="E36" s="145" t="n">
        <f aca="false">E35+G36</f>
        <v>10412.9290322581</v>
      </c>
      <c r="F36" s="146" t="n">
        <f aca="false">G36-I36</f>
        <v>-94.6496774193549</v>
      </c>
      <c r="G36" s="147" t="n">
        <f aca="false">$C$6/$G$1</f>
        <v>371.890322580645</v>
      </c>
      <c r="H36" s="148" t="n">
        <f aca="false">H35+I36</f>
        <v>9357.61</v>
      </c>
      <c r="I36" s="149" t="n">
        <f aca="false">SUM(J36:AA36)</f>
        <v>466.54</v>
      </c>
      <c r="J36" s="201" t="n">
        <v>29.99</v>
      </c>
      <c r="K36" s="117" t="s">
        <v>97</v>
      </c>
      <c r="L36" s="118" t="n">
        <f aca="false">12.48+3.79</f>
        <v>16.27</v>
      </c>
      <c r="M36" s="118"/>
      <c r="N36" s="152"/>
      <c r="O36" s="120"/>
      <c r="P36" s="121"/>
      <c r="Q36" s="122"/>
      <c r="R36" s="123"/>
      <c r="S36" s="153" t="n">
        <f aca="false">250.3</f>
        <v>250.3</v>
      </c>
      <c r="T36" s="153"/>
      <c r="U36" s="123"/>
      <c r="V36" s="154"/>
      <c r="W36" s="240" t="n">
        <f aca="false">69.98+100</f>
        <v>169.98</v>
      </c>
      <c r="X36" s="155"/>
      <c r="Y36" s="155"/>
      <c r="Z36" s="209"/>
      <c r="AA36" s="269"/>
      <c r="AB36" s="270" t="n">
        <f aca="false">39.99</f>
        <v>39.99</v>
      </c>
    </row>
    <row r="37" customFormat="false" ht="15" hidden="false" customHeight="false" outlineLevel="0" collapsed="false">
      <c r="A37" s="157" t="n">
        <v>29</v>
      </c>
      <c r="B37" s="268" t="n">
        <v>43310</v>
      </c>
      <c r="C37" s="159" t="n">
        <f aca="false">H37/E37</f>
        <v>0.92277206252277</v>
      </c>
      <c r="D37" s="242" t="n">
        <f aca="false">D36+F37</f>
        <v>832.88935483871</v>
      </c>
      <c r="E37" s="159" t="n">
        <f aca="false">E36+G37</f>
        <v>10784.8193548387</v>
      </c>
      <c r="F37" s="146" t="n">
        <f aca="false">G37-I37</f>
        <v>-222.429677419355</v>
      </c>
      <c r="G37" s="160" t="n">
        <f aca="false">$C$6/$G$1</f>
        <v>371.890322580645</v>
      </c>
      <c r="H37" s="161" t="n">
        <f aca="false">H36+I37</f>
        <v>9951.93</v>
      </c>
      <c r="I37" s="149" t="n">
        <f aca="false">SUM(J37:AA37)</f>
        <v>594.32</v>
      </c>
      <c r="J37" s="150" t="n">
        <v>75</v>
      </c>
      <c r="K37" s="117" t="s">
        <v>107</v>
      </c>
      <c r="L37" s="118" t="n">
        <f aca="false">81.28+14.04</f>
        <v>95.32</v>
      </c>
      <c r="M37" s="118" t="n">
        <f aca="false">44</f>
        <v>44</v>
      </c>
      <c r="N37" s="152"/>
      <c r="O37" s="120"/>
      <c r="P37" s="121"/>
      <c r="Q37" s="122"/>
      <c r="R37" s="123"/>
      <c r="S37" s="153"/>
      <c r="T37" s="153" t="n">
        <v>380</v>
      </c>
      <c r="U37" s="123"/>
      <c r="V37" s="154"/>
      <c r="W37" s="240"/>
      <c r="X37" s="155"/>
      <c r="Y37" s="155"/>
      <c r="Z37" s="209"/>
      <c r="AA37" s="267"/>
      <c r="AB37" s="266"/>
    </row>
    <row r="38" customFormat="false" ht="15" hidden="false" customHeight="false" outlineLevel="0" collapsed="false">
      <c r="A38" s="162" t="n">
        <v>30</v>
      </c>
      <c r="B38" s="271" t="n">
        <v>43311</v>
      </c>
      <c r="C38" s="164" t="n">
        <f aca="false">H38/E38</f>
        <v>0.897659819926097</v>
      </c>
      <c r="D38" s="242" t="n">
        <f aca="false">D37+F38</f>
        <v>1141.77967741935</v>
      </c>
      <c r="E38" s="164" t="n">
        <f aca="false">E37+G38</f>
        <v>11156.7096774194</v>
      </c>
      <c r="F38" s="146" t="n">
        <f aca="false">G38-I38</f>
        <v>308.890322580645</v>
      </c>
      <c r="G38" s="165" t="n">
        <f aca="false">$C$6/$G$1</f>
        <v>371.890322580645</v>
      </c>
      <c r="H38" s="166" t="n">
        <f aca="false">H37+I38</f>
        <v>10014.93</v>
      </c>
      <c r="I38" s="149" t="n">
        <f aca="false">SUM(J38:AA38)</f>
        <v>63</v>
      </c>
      <c r="J38" s="150"/>
      <c r="K38" s="117"/>
      <c r="L38" s="118"/>
      <c r="M38" s="118"/>
      <c r="N38" s="152"/>
      <c r="O38" s="120"/>
      <c r="P38" s="121"/>
      <c r="Q38" s="122"/>
      <c r="R38" s="123"/>
      <c r="S38" s="153"/>
      <c r="T38" s="153" t="n">
        <f aca="false">63</f>
        <v>63</v>
      </c>
      <c r="U38" s="123"/>
      <c r="V38" s="154"/>
      <c r="W38" s="240"/>
      <c r="X38" s="155"/>
      <c r="Y38" s="155"/>
      <c r="Z38" s="209"/>
      <c r="AA38" s="267"/>
      <c r="AB38" s="266"/>
    </row>
    <row r="39" customFormat="false" ht="15" hidden="false" customHeight="false" outlineLevel="0" collapsed="false">
      <c r="A39" s="162" t="n">
        <v>31</v>
      </c>
      <c r="B39" s="271" t="n">
        <v>43312</v>
      </c>
      <c r="C39" s="164" t="n">
        <f aca="false">H39/E39</f>
        <v>0.879486667938866</v>
      </c>
      <c r="D39" s="242" t="n">
        <f aca="false">D38+F39</f>
        <v>1389.35</v>
      </c>
      <c r="E39" s="164" t="n">
        <f aca="false">E38+G39</f>
        <v>11528.6</v>
      </c>
      <c r="F39" s="146" t="n">
        <f aca="false">G39-I39</f>
        <v>247.570322580645</v>
      </c>
      <c r="G39" s="165" t="n">
        <f aca="false">$C$6/$G$1</f>
        <v>371.890322580645</v>
      </c>
      <c r="H39" s="166" t="n">
        <f aca="false">H38+I39</f>
        <v>10139.25</v>
      </c>
      <c r="I39" s="149" t="n">
        <f aca="false">SUM(J39:AA39)</f>
        <v>124.32</v>
      </c>
      <c r="J39" s="150"/>
      <c r="K39" s="117"/>
      <c r="L39" s="118" t="n">
        <f aca="false">4.1+30.19+10.03</f>
        <v>44.32</v>
      </c>
      <c r="M39" s="118"/>
      <c r="N39" s="152"/>
      <c r="O39" s="120"/>
      <c r="P39" s="121"/>
      <c r="Q39" s="122"/>
      <c r="R39" s="123"/>
      <c r="S39" s="153"/>
      <c r="T39" s="153"/>
      <c r="U39" s="123"/>
      <c r="V39" s="154"/>
      <c r="W39" s="240"/>
      <c r="X39" s="155"/>
      <c r="Y39" s="155"/>
      <c r="Z39" s="209" t="n">
        <v>80</v>
      </c>
      <c r="AA39" s="267"/>
      <c r="AB39" s="266"/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47" activeCellId="0" sqref="G47"/>
    </sheetView>
  </sheetViews>
  <sheetFormatPr defaultRowHeight="15" zeroHeight="false" outlineLevelRow="0" outlineLevelCol="0"/>
  <cols>
    <col collapsed="false" customWidth="true" hidden="false" outlineLevel="0" max="1" min="1" style="65" width="4.14"/>
    <col collapsed="false" customWidth="true" hidden="false" outlineLevel="0" max="2" min="2" style="65" width="16.43"/>
    <col collapsed="false" customWidth="true" hidden="false" outlineLevel="0" max="3" min="3" style="65" width="14.57"/>
    <col collapsed="false" customWidth="true" hidden="false" outlineLevel="0" max="4" min="4" style="65" width="10.71"/>
    <col collapsed="false" customWidth="true" hidden="false" outlineLevel="0" max="5" min="5" style="65" width="12.43"/>
    <col collapsed="false" customWidth="true" hidden="false" outlineLevel="0" max="6" min="6" style="65" width="11.28"/>
    <col collapsed="false" customWidth="true" hidden="false" outlineLevel="0" max="7" min="7" style="65" width="18.57"/>
    <col collapsed="false" customWidth="true" hidden="false" outlineLevel="0" max="8" min="8" style="65" width="13.71"/>
    <col collapsed="false" customWidth="true" hidden="false" outlineLevel="0" max="9" min="9" style="65" width="13.14"/>
    <col collapsed="false" customWidth="true" hidden="false" outlineLevel="0" max="10" min="10" style="65" width="9.14"/>
    <col collapsed="false" customWidth="true" hidden="false" outlineLevel="0" max="11" min="11" style="65" width="20.85"/>
    <col collapsed="false" customWidth="true" hidden="false" outlineLevel="0" max="12" min="12" style="65" width="8"/>
    <col collapsed="false" customWidth="true" hidden="false" outlineLevel="0" max="13" min="13" style="65" width="14.14"/>
    <col collapsed="false" customWidth="true" hidden="false" outlineLevel="0" max="14" min="14" style="65" width="8.85"/>
    <col collapsed="false" customWidth="true" hidden="false" outlineLevel="0" max="15" min="15" style="65" width="10.71"/>
    <col collapsed="false" customWidth="true" hidden="false" outlineLevel="0" max="16" min="16" style="65" width="9.57"/>
    <col collapsed="false" customWidth="true" hidden="false" outlineLevel="0" max="17" min="17" style="65" width="11"/>
    <col collapsed="false" customWidth="false" hidden="false" outlineLevel="0" max="18" min="18" style="65" width="11.43"/>
    <col collapsed="false" customWidth="true" hidden="false" outlineLevel="0" max="19" min="19" style="65" width="12.57"/>
    <col collapsed="false" customWidth="true" hidden="false" outlineLevel="0" max="20" min="20" style="65" width="12"/>
    <col collapsed="false" customWidth="true" hidden="false" outlineLevel="0" max="21" min="21" style="65" width="9.14"/>
    <col collapsed="false" customWidth="true" hidden="false" outlineLevel="0" max="22" min="22" style="65" width="10.14"/>
    <col collapsed="false" customWidth="true" hidden="false" outlineLevel="0" max="23" min="23" style="65" width="10.57"/>
    <col collapsed="false" customWidth="true" hidden="false" outlineLevel="0" max="1025" min="24" style="65" width="9.14"/>
  </cols>
  <sheetData>
    <row r="1" customFormat="false" ht="33.75" hidden="false" customHeight="true" outlineLevel="0" collapsed="false">
      <c r="B1" s="68" t="s">
        <v>45</v>
      </c>
      <c r="C1" s="68" t="s">
        <v>46</v>
      </c>
      <c r="D1" s="68" t="s">
        <v>47</v>
      </c>
      <c r="E1" s="68" t="s">
        <v>48</v>
      </c>
      <c r="F1" s="69" t="s">
        <v>49</v>
      </c>
      <c r="G1" s="216" t="n">
        <v>31</v>
      </c>
    </row>
    <row r="2" customFormat="false" ht="13.8" hidden="false" customHeight="false" outlineLevel="0" collapsed="false">
      <c r="B2" s="71" t="s">
        <v>50</v>
      </c>
      <c r="C2" s="277" t="n">
        <v>4661.64</v>
      </c>
      <c r="D2" s="72" t="n">
        <v>2807</v>
      </c>
      <c r="E2" s="72"/>
    </row>
    <row r="3" customFormat="false" ht="60" hidden="false" customHeight="false" outlineLevel="0" collapsed="false">
      <c r="B3" s="71" t="s">
        <v>51</v>
      </c>
      <c r="C3" s="72"/>
      <c r="D3" s="72"/>
      <c r="E3" s="72" t="n">
        <f aca="false">75+25</f>
        <v>100</v>
      </c>
      <c r="F3" s="31" t="s">
        <v>81</v>
      </c>
      <c r="G3" s="31" t="s">
        <v>82</v>
      </c>
      <c r="H3" s="31" t="s">
        <v>83</v>
      </c>
      <c r="I3" s="41" t="s">
        <v>98</v>
      </c>
    </row>
    <row r="4" customFormat="false" ht="19.5" hidden="false" customHeight="false" outlineLevel="0" collapsed="false">
      <c r="B4" s="71" t="s">
        <v>52</v>
      </c>
      <c r="C4" s="72" t="n">
        <f aca="false">40+130+110+(597/2)</f>
        <v>578.5</v>
      </c>
      <c r="D4" s="72"/>
      <c r="E4" s="72"/>
      <c r="F4" s="181" t="n">
        <v>1500</v>
      </c>
      <c r="G4" s="182" t="n">
        <f aca="false">C6-F4</f>
        <v>6947.14</v>
      </c>
      <c r="H4" s="183" t="n">
        <f aca="false">G4-H6</f>
        <v>-1032.88</v>
      </c>
      <c r="I4" s="217" t="n">
        <f aca="false">C6-H6</f>
        <v>467.120000000001</v>
      </c>
    </row>
    <row r="5" customFormat="false" ht="18" hidden="false" customHeight="false" outlineLevel="0" collapsed="false">
      <c r="B5" s="83" t="s">
        <v>53</v>
      </c>
      <c r="C5" s="84" t="n">
        <v>300</v>
      </c>
      <c r="D5" s="84"/>
      <c r="E5" s="84"/>
      <c r="J5" s="218" t="n">
        <f aca="false">J7/H6</f>
        <v>0.177875494046381</v>
      </c>
      <c r="K5" s="218"/>
      <c r="L5" s="219" t="n">
        <f aca="false">(L7+M7)/H6</f>
        <v>0.190440625462092</v>
      </c>
      <c r="M5" s="219"/>
      <c r="N5" s="220" t="n">
        <f aca="false">N7/H6</f>
        <v>0.0410575412091699</v>
      </c>
      <c r="O5" s="221" t="n">
        <f aca="false">O7/H6</f>
        <v>0.0824346304896479</v>
      </c>
      <c r="P5" s="222" t="n">
        <f aca="false">P7/H6</f>
        <v>0.0171540923456332</v>
      </c>
      <c r="Q5" s="223" t="e">
        <f aca="false">Q7/K6</f>
        <v>#DIV/0!</v>
      </c>
      <c r="R5" s="224" t="n">
        <f aca="false">R7/H6</f>
        <v>0.00891225836526725</v>
      </c>
      <c r="S5" s="225" t="n">
        <f aca="false">(S7+T7)/H6</f>
        <v>0.144066054972293</v>
      </c>
      <c r="T5" s="225"/>
      <c r="U5" s="226" t="n">
        <f aca="false">(U7+V7)/H6</f>
        <v>0.0085137631234007</v>
      </c>
      <c r="V5" s="226"/>
      <c r="W5" s="227" t="n">
        <f aca="false">W7/H6</f>
        <v>0.0847692111047341</v>
      </c>
      <c r="X5" s="228" t="n">
        <f aca="false">(X7+Y7)/H6</f>
        <v>0.0239285114573648</v>
      </c>
      <c r="Y5" s="228"/>
      <c r="Z5" s="229" t="n">
        <f aca="false">Z7/H6</f>
        <v>0.0334573096308029</v>
      </c>
      <c r="AA5" s="263" t="n">
        <f aca="false">AA7/H6</f>
        <v>0.0800749872807337</v>
      </c>
      <c r="AB5" s="264" t="n">
        <f aca="false">AB7/H6</f>
        <v>0.0537367074267984</v>
      </c>
    </row>
    <row r="6" customFormat="false" ht="57" hidden="false" customHeight="true" outlineLevel="0" collapsed="false">
      <c r="B6" s="98" t="s">
        <v>56</v>
      </c>
      <c r="C6" s="230" t="n">
        <f aca="false">SUM(C2:C5)+SUM(D2:D5)+SUM(E2:E5)</f>
        <v>8447.14</v>
      </c>
      <c r="D6" s="100"/>
      <c r="E6" s="101"/>
      <c r="G6" s="102" t="s">
        <v>57</v>
      </c>
      <c r="H6" s="103" t="n">
        <f aca="false">SUM(J7:AB7)</f>
        <v>7980.02</v>
      </c>
      <c r="J6" s="231" t="s">
        <v>58</v>
      </c>
      <c r="K6" s="231"/>
      <c r="L6" s="232" t="s">
        <v>6</v>
      </c>
      <c r="M6" s="232"/>
      <c r="N6" s="233" t="s">
        <v>7</v>
      </c>
      <c r="O6" s="234" t="s">
        <v>8</v>
      </c>
      <c r="P6" s="235" t="s">
        <v>59</v>
      </c>
      <c r="Q6" s="236" t="s">
        <v>10</v>
      </c>
      <c r="R6" s="237" t="s">
        <v>11</v>
      </c>
      <c r="S6" s="238" t="s">
        <v>12</v>
      </c>
      <c r="T6" s="238"/>
      <c r="U6" s="112" t="s">
        <v>13</v>
      </c>
      <c r="V6" s="112"/>
      <c r="W6" s="239" t="s">
        <v>14</v>
      </c>
      <c r="X6" s="114" t="s">
        <v>15</v>
      </c>
      <c r="Y6" s="114"/>
      <c r="Z6" s="115" t="s">
        <v>16</v>
      </c>
      <c r="AA6" s="265" t="s">
        <v>99</v>
      </c>
      <c r="AB6" s="266" t="s">
        <v>18</v>
      </c>
    </row>
    <row r="7" customFormat="false" ht="15.75" hidden="false" customHeight="false" outlineLevel="0" collapsed="false">
      <c r="B7" s="116"/>
      <c r="J7" s="117" t="n">
        <f aca="false">SUM(J9:J39)</f>
        <v>1419.45</v>
      </c>
      <c r="K7" s="117"/>
      <c r="L7" s="118" t="n">
        <f aca="false">SUM(L9:L39)</f>
        <v>1130.83</v>
      </c>
      <c r="M7" s="118" t="n">
        <f aca="false">SUM(M9:M39)</f>
        <v>388.89</v>
      </c>
      <c r="N7" s="118" t="n">
        <f aca="false">SUM(N9:N39)</f>
        <v>327.64</v>
      </c>
      <c r="O7" s="118" t="n">
        <f aca="false">SUM(O9:O39)</f>
        <v>657.83</v>
      </c>
      <c r="P7" s="118" t="n">
        <f aca="false">SUM(P9:P39)</f>
        <v>136.89</v>
      </c>
      <c r="Q7" s="118" t="n">
        <f aca="false">SUM(Q9:Q39)</f>
        <v>427.56</v>
      </c>
      <c r="R7" s="118" t="n">
        <f aca="false">SUM(R9:R39)</f>
        <v>71.12</v>
      </c>
      <c r="S7" s="118" t="n">
        <f aca="false">SUM(S9:S39)</f>
        <v>929.69</v>
      </c>
      <c r="T7" s="118" t="n">
        <f aca="false">SUM(T9:T39)</f>
        <v>219.96</v>
      </c>
      <c r="U7" s="118" t="n">
        <f aca="false">SUM(U9:U39)</f>
        <v>0</v>
      </c>
      <c r="V7" s="118" t="n">
        <f aca="false">SUM(V9:V39)</f>
        <v>67.94</v>
      </c>
      <c r="W7" s="118" t="n">
        <f aca="false">SUM(W9:W39)</f>
        <v>676.46</v>
      </c>
      <c r="X7" s="118" t="n">
        <f aca="false">SUM(X9:X39)</f>
        <v>0</v>
      </c>
      <c r="Y7" s="118" t="n">
        <f aca="false">SUM(Y9:Y39)</f>
        <v>190.95</v>
      </c>
      <c r="Z7" s="118" t="n">
        <f aca="false">SUM(Z9:Z39)</f>
        <v>266.99</v>
      </c>
      <c r="AA7" s="118" t="n">
        <f aca="false">SUM(AA9:AA39)</f>
        <v>639</v>
      </c>
      <c r="AB7" s="118" t="n">
        <f aca="false">SUM(AB9:AB39)</f>
        <v>428.82</v>
      </c>
    </row>
    <row r="8" customFormat="false" ht="69.75" hidden="false" customHeight="false" outlineLevel="0" collapsed="false">
      <c r="A8" s="126" t="s">
        <v>61</v>
      </c>
      <c r="B8" s="127" t="s">
        <v>62</v>
      </c>
      <c r="C8" s="128" t="s">
        <v>103</v>
      </c>
      <c r="D8" s="129" t="s">
        <v>100</v>
      </c>
      <c r="E8" s="128" t="s">
        <v>65</v>
      </c>
      <c r="F8" s="130" t="s">
        <v>66</v>
      </c>
      <c r="G8" s="131" t="s">
        <v>67</v>
      </c>
      <c r="H8" s="132" t="s">
        <v>68</v>
      </c>
      <c r="I8" s="133" t="s">
        <v>69</v>
      </c>
      <c r="J8" s="134" t="s">
        <v>70</v>
      </c>
      <c r="K8" s="135" t="s">
        <v>71</v>
      </c>
      <c r="L8" s="136" t="s">
        <v>26</v>
      </c>
      <c r="M8" s="136" t="s">
        <v>72</v>
      </c>
      <c r="N8" s="119"/>
      <c r="O8" s="120"/>
      <c r="P8" s="121"/>
      <c r="Q8" s="122"/>
      <c r="R8" s="123"/>
      <c r="S8" s="37" t="s">
        <v>28</v>
      </c>
      <c r="T8" s="37" t="s">
        <v>73</v>
      </c>
      <c r="U8" s="36" t="s">
        <v>30</v>
      </c>
      <c r="V8" s="124" t="s">
        <v>74</v>
      </c>
      <c r="W8" s="240"/>
      <c r="X8" s="138" t="s">
        <v>26</v>
      </c>
      <c r="Y8" s="139" t="s">
        <v>32</v>
      </c>
      <c r="Z8" s="140"/>
      <c r="AA8" s="267"/>
      <c r="AB8" s="266"/>
    </row>
    <row r="9" s="156" customFormat="true" ht="15" hidden="false" customHeight="false" outlineLevel="0" collapsed="false">
      <c r="A9" s="141" t="n">
        <v>1</v>
      </c>
      <c r="B9" s="271" t="n">
        <v>43313</v>
      </c>
      <c r="C9" s="145"/>
      <c r="D9" s="144" t="n">
        <f aca="false">F9</f>
        <v>37.3083870967741</v>
      </c>
      <c r="E9" s="145" t="n">
        <f aca="false">G9</f>
        <v>272.488387096774</v>
      </c>
      <c r="F9" s="146" t="n">
        <f aca="false">G9-I9</f>
        <v>37.3083870967741</v>
      </c>
      <c r="G9" s="147" t="n">
        <f aca="false">$C$6/$G$1</f>
        <v>272.488387096774</v>
      </c>
      <c r="H9" s="148" t="n">
        <f aca="false">I9</f>
        <v>235.18</v>
      </c>
      <c r="I9" s="149" t="n">
        <f aca="false">SUM(J9:AA9)</f>
        <v>235.18</v>
      </c>
      <c r="J9" s="150"/>
      <c r="K9" s="117"/>
      <c r="L9" s="118" t="n">
        <f aca="false">120.17-7.99-2.99-9.99</f>
        <v>99.2</v>
      </c>
      <c r="M9" s="118"/>
      <c r="N9" s="152" t="n">
        <f aca="false">7.99</f>
        <v>7.99</v>
      </c>
      <c r="O9" s="120" t="n">
        <v>50</v>
      </c>
      <c r="P9" s="121"/>
      <c r="Q9" s="122"/>
      <c r="R9" s="123"/>
      <c r="S9" s="153"/>
      <c r="T9" s="153"/>
      <c r="U9" s="123"/>
      <c r="V9" s="154" t="n">
        <f aca="false">2.99</f>
        <v>2.99</v>
      </c>
      <c r="W9" s="240"/>
      <c r="X9" s="155"/>
      <c r="Y9" s="155"/>
      <c r="Z9" s="140" t="n">
        <v>75</v>
      </c>
      <c r="AA9" s="269"/>
      <c r="AB9" s="270" t="n">
        <f aca="false">9.99</f>
        <v>9.99</v>
      </c>
    </row>
    <row r="10" customFormat="false" ht="15" hidden="false" customHeight="false" outlineLevel="0" collapsed="false">
      <c r="A10" s="157" t="n">
        <v>2</v>
      </c>
      <c r="B10" s="271" t="n">
        <v>43314</v>
      </c>
      <c r="C10" s="159"/>
      <c r="D10" s="242" t="n">
        <f aca="false">D9+F10</f>
        <v>285.226774193548</v>
      </c>
      <c r="E10" s="159" t="n">
        <f aca="false">E9+G10</f>
        <v>544.976774193548</v>
      </c>
      <c r="F10" s="146" t="n">
        <f aca="false">G10-I10</f>
        <v>247.918387096774</v>
      </c>
      <c r="G10" s="160" t="n">
        <f aca="false">$C$6/$G$1</f>
        <v>272.488387096774</v>
      </c>
      <c r="H10" s="161" t="n">
        <f aca="false">H9+I10</f>
        <v>259.75</v>
      </c>
      <c r="I10" s="149" t="n">
        <f aca="false">SUM(J10:AA10)</f>
        <v>24.57</v>
      </c>
      <c r="J10" s="150"/>
      <c r="K10" s="135"/>
      <c r="L10" s="118" t="n">
        <f aca="false">6.77+1.8</f>
        <v>8.57</v>
      </c>
      <c r="M10" s="118"/>
      <c r="N10" s="152"/>
      <c r="O10" s="120" t="n">
        <f aca="false">16</f>
        <v>16</v>
      </c>
      <c r="P10" s="121"/>
      <c r="Q10" s="122"/>
      <c r="R10" s="123"/>
      <c r="S10" s="153"/>
      <c r="T10" s="153"/>
      <c r="U10" s="123"/>
      <c r="V10" s="154"/>
      <c r="W10" s="240"/>
      <c r="X10" s="155"/>
      <c r="Y10" s="155"/>
      <c r="Z10" s="140"/>
      <c r="AA10" s="267"/>
      <c r="AB10" s="266"/>
    </row>
    <row r="11" customFormat="false" ht="15" hidden="false" customHeight="false" outlineLevel="0" collapsed="false">
      <c r="A11" s="167" t="n">
        <v>3</v>
      </c>
      <c r="B11" s="271" t="n">
        <v>43315</v>
      </c>
      <c r="C11" s="169"/>
      <c r="D11" s="242" t="n">
        <f aca="false">D10+F11</f>
        <v>389.085161290322</v>
      </c>
      <c r="E11" s="169" t="n">
        <f aca="false">E10+G11</f>
        <v>817.465161290322</v>
      </c>
      <c r="F11" s="146" t="n">
        <f aca="false">G11-I11</f>
        <v>103.858387096774</v>
      </c>
      <c r="G11" s="170" t="n">
        <f aca="false">$C$6/$G$1</f>
        <v>272.488387096774</v>
      </c>
      <c r="H11" s="171" t="n">
        <f aca="false">H10+I11</f>
        <v>428.38</v>
      </c>
      <c r="I11" s="149" t="n">
        <f aca="false">SUM(J11:AA11)</f>
        <v>168.63</v>
      </c>
      <c r="J11" s="150"/>
      <c r="K11" s="117"/>
      <c r="L11" s="202"/>
      <c r="M11" s="202" t="n">
        <f aca="false">5</f>
        <v>5</v>
      </c>
      <c r="N11" s="203"/>
      <c r="O11" s="204"/>
      <c r="P11" s="205"/>
      <c r="Q11" s="206"/>
      <c r="R11" s="178"/>
      <c r="S11" s="173" t="n">
        <f aca="false">57.63-5</f>
        <v>52.63</v>
      </c>
      <c r="T11" s="173"/>
      <c r="U11" s="178"/>
      <c r="V11" s="179"/>
      <c r="W11" s="46" t="n">
        <f aca="false">93</f>
        <v>93</v>
      </c>
      <c r="X11" s="155"/>
      <c r="Y11" s="155"/>
      <c r="Z11" s="140" t="n">
        <f aca="false">18</f>
        <v>18</v>
      </c>
      <c r="AA11" s="267"/>
      <c r="AB11" s="266"/>
    </row>
    <row r="12" customFormat="false" ht="15" hidden="false" customHeight="false" outlineLevel="0" collapsed="false">
      <c r="A12" s="141" t="n">
        <v>4</v>
      </c>
      <c r="B12" s="272" t="n">
        <v>43316</v>
      </c>
      <c r="C12" s="145"/>
      <c r="D12" s="242" t="n">
        <f aca="false">D11+F12</f>
        <v>235.133548387097</v>
      </c>
      <c r="E12" s="145" t="n">
        <f aca="false">E11+G12</f>
        <v>1089.9535483871</v>
      </c>
      <c r="F12" s="146" t="n">
        <f aca="false">G12-I12</f>
        <v>-153.951612903226</v>
      </c>
      <c r="G12" s="147" t="n">
        <f aca="false">$C$6/$G$1</f>
        <v>272.488387096774</v>
      </c>
      <c r="H12" s="148" t="n">
        <f aca="false">H11+I12</f>
        <v>854.82</v>
      </c>
      <c r="I12" s="149" t="n">
        <f aca="false">SUM(J12:AA12)</f>
        <v>426.44</v>
      </c>
      <c r="J12" s="150"/>
      <c r="K12" s="117"/>
      <c r="L12" s="244" t="n">
        <f aca="false">18.86+15.65</f>
        <v>34.51</v>
      </c>
      <c r="M12" s="244" t="n">
        <f aca="false">6+78</f>
        <v>84</v>
      </c>
      <c r="N12" s="245"/>
      <c r="O12" s="246" t="n">
        <f aca="false">297.93</f>
        <v>297.93</v>
      </c>
      <c r="P12" s="247"/>
      <c r="Q12" s="248"/>
      <c r="R12" s="249"/>
      <c r="S12" s="250"/>
      <c r="T12" s="250"/>
      <c r="U12" s="249"/>
      <c r="V12" s="251"/>
      <c r="W12" s="252"/>
      <c r="X12" s="155"/>
      <c r="Y12" s="155"/>
      <c r="Z12" s="140" t="n">
        <v>10</v>
      </c>
      <c r="AA12" s="269"/>
      <c r="AB12" s="270"/>
    </row>
    <row r="13" customFormat="false" ht="15" hidden="false" customHeight="false" outlineLevel="0" collapsed="false">
      <c r="A13" s="157" t="n">
        <v>5</v>
      </c>
      <c r="B13" s="268" t="n">
        <v>43317</v>
      </c>
      <c r="C13" s="159"/>
      <c r="D13" s="242" t="n">
        <f aca="false">D12+F13</f>
        <v>461.841935483871</v>
      </c>
      <c r="E13" s="159" t="n">
        <f aca="false">E12+G13</f>
        <v>1362.44193548387</v>
      </c>
      <c r="F13" s="146" t="n">
        <f aca="false">G13-I13</f>
        <v>226.708387096774</v>
      </c>
      <c r="G13" s="160" t="n">
        <f aca="false">$C$6/$G$1</f>
        <v>272.488387096774</v>
      </c>
      <c r="H13" s="161" t="n">
        <f aca="false">H12+I13</f>
        <v>900.6</v>
      </c>
      <c r="I13" s="149" t="n">
        <f aca="false">SUM(J13:AA13)</f>
        <v>45.78</v>
      </c>
      <c r="J13" s="150"/>
      <c r="K13" s="117"/>
      <c r="L13" s="254" t="n">
        <f aca="false">45.78</f>
        <v>45.78</v>
      </c>
      <c r="M13" s="254"/>
      <c r="N13" s="255"/>
      <c r="O13" s="256"/>
      <c r="P13" s="257"/>
      <c r="Q13" s="258"/>
      <c r="R13" s="259"/>
      <c r="S13" s="176"/>
      <c r="T13" s="176"/>
      <c r="U13" s="259"/>
      <c r="V13" s="260"/>
      <c r="W13" s="261"/>
      <c r="X13" s="155"/>
      <c r="Y13" s="155"/>
      <c r="Z13" s="140"/>
      <c r="AA13" s="267"/>
      <c r="AB13" s="266"/>
    </row>
    <row r="14" customFormat="false" ht="15" hidden="false" customHeight="false" outlineLevel="0" collapsed="false">
      <c r="A14" s="167" t="n">
        <v>6</v>
      </c>
      <c r="B14" s="271" t="n">
        <v>43318</v>
      </c>
      <c r="C14" s="159"/>
      <c r="D14" s="242" t="n">
        <f aca="false">D13+F14</f>
        <v>557.680322580645</v>
      </c>
      <c r="E14" s="169" t="n">
        <f aca="false">E13+G14</f>
        <v>1634.93032258065</v>
      </c>
      <c r="F14" s="146" t="n">
        <f aca="false">G14-I14</f>
        <v>95.8383870967741</v>
      </c>
      <c r="G14" s="170" t="n">
        <f aca="false">$C$6/$G$1</f>
        <v>272.488387096774</v>
      </c>
      <c r="H14" s="171" t="n">
        <f aca="false">H13+I14</f>
        <v>1077.25</v>
      </c>
      <c r="I14" s="149" t="n">
        <f aca="false">SUM(J14:AA14)</f>
        <v>176.65</v>
      </c>
      <c r="J14" s="150"/>
      <c r="K14" s="135"/>
      <c r="L14" s="118" t="n">
        <f aca="false">93.08-17.99+9.46+13.31</f>
        <v>97.86</v>
      </c>
      <c r="M14" s="118" t="n">
        <f aca="false">15.8+3</f>
        <v>18.8</v>
      </c>
      <c r="N14" s="152" t="n">
        <f aca="false">17.99</f>
        <v>17.99</v>
      </c>
      <c r="O14" s="120"/>
      <c r="P14" s="121"/>
      <c r="Q14" s="122"/>
      <c r="R14" s="123"/>
      <c r="S14" s="153"/>
      <c r="T14" s="153"/>
      <c r="U14" s="123"/>
      <c r="V14" s="154"/>
      <c r="W14" s="240"/>
      <c r="X14" s="155"/>
      <c r="Y14" s="155"/>
      <c r="Z14" s="140"/>
      <c r="AA14" s="267" t="n">
        <v>42</v>
      </c>
      <c r="AB14" s="266"/>
    </row>
    <row r="15" s="156" customFormat="true" ht="16.5" hidden="false" customHeight="true" outlineLevel="0" collapsed="false">
      <c r="A15" s="141" t="n">
        <v>7</v>
      </c>
      <c r="B15" s="271" t="n">
        <v>43319</v>
      </c>
      <c r="C15" s="306"/>
      <c r="D15" s="242" t="n">
        <f aca="false">D14+F15</f>
        <v>437.758709677419</v>
      </c>
      <c r="E15" s="145" t="n">
        <f aca="false">E14+G15</f>
        <v>1907.41870967742</v>
      </c>
      <c r="F15" s="146" t="n">
        <f aca="false">G15-I15</f>
        <v>-119.921612903226</v>
      </c>
      <c r="G15" s="147" t="n">
        <f aca="false">$C$6/$G$1</f>
        <v>272.488387096774</v>
      </c>
      <c r="H15" s="148" t="n">
        <f aca="false">H14+I15</f>
        <v>1469.66</v>
      </c>
      <c r="I15" s="149" t="n">
        <f aca="false">SUM(J15:AA15)</f>
        <v>392.41</v>
      </c>
      <c r="J15" s="150" t="n">
        <v>67.29</v>
      </c>
      <c r="K15" s="117" t="s">
        <v>108</v>
      </c>
      <c r="L15" s="118"/>
      <c r="M15" s="118"/>
      <c r="N15" s="152"/>
      <c r="O15" s="120"/>
      <c r="P15" s="121"/>
      <c r="Q15" s="122"/>
      <c r="R15" s="123"/>
      <c r="S15" s="153" t="n">
        <f aca="false">255.12</f>
        <v>255.12</v>
      </c>
      <c r="T15" s="153"/>
      <c r="U15" s="123"/>
      <c r="V15" s="154"/>
      <c r="W15" s="240"/>
      <c r="X15" s="155"/>
      <c r="Y15" s="155"/>
      <c r="Z15" s="140" t="n">
        <v>70</v>
      </c>
      <c r="AA15" s="269"/>
      <c r="AB15" s="270"/>
    </row>
    <row r="16" customFormat="false" ht="15" hidden="false" customHeight="false" outlineLevel="0" collapsed="false">
      <c r="A16" s="157" t="n">
        <v>8</v>
      </c>
      <c r="B16" s="271" t="n">
        <v>43320</v>
      </c>
      <c r="C16" s="159"/>
      <c r="D16" s="242" t="n">
        <f aca="false">D15+F16</f>
        <v>30.6670967741932</v>
      </c>
      <c r="E16" s="159" t="n">
        <f aca="false">E15+G16</f>
        <v>2179.90709677419</v>
      </c>
      <c r="F16" s="146" t="n">
        <f aca="false">G16-I16</f>
        <v>-407.091612903226</v>
      </c>
      <c r="G16" s="160" t="n">
        <f aca="false">$C$6/$G$1</f>
        <v>272.488387096774</v>
      </c>
      <c r="H16" s="161" t="n">
        <f aca="false">H15+I16</f>
        <v>2149.24</v>
      </c>
      <c r="I16" s="149" t="n">
        <f aca="false">SUM(J16:AA16)</f>
        <v>679.58</v>
      </c>
      <c r="J16" s="150" t="n">
        <v>607.4</v>
      </c>
      <c r="K16" s="135" t="s">
        <v>86</v>
      </c>
      <c r="L16" s="118" t="n">
        <f aca="false">40.21</f>
        <v>40.21</v>
      </c>
      <c r="M16" s="118"/>
      <c r="N16" s="152"/>
      <c r="O16" s="120"/>
      <c r="P16" s="121"/>
      <c r="Q16" s="122"/>
      <c r="R16" s="123"/>
      <c r="S16" s="153"/>
      <c r="T16" s="153"/>
      <c r="U16" s="123"/>
      <c r="V16" s="154" t="n">
        <f aca="false">28.98</f>
        <v>28.98</v>
      </c>
      <c r="W16" s="240" t="n">
        <v>2.99</v>
      </c>
      <c r="X16" s="155"/>
      <c r="Y16" s="155"/>
      <c r="Z16" s="140"/>
      <c r="AA16" s="267"/>
      <c r="AB16" s="266"/>
    </row>
    <row r="17" customFormat="false" ht="15" hidden="false" customHeight="false" outlineLevel="0" collapsed="false">
      <c r="A17" s="162" t="n">
        <v>9</v>
      </c>
      <c r="B17" s="271" t="n">
        <v>43321</v>
      </c>
      <c r="C17" s="164"/>
      <c r="D17" s="242" t="n">
        <f aca="false">D16+F17</f>
        <v>-405.804516129033</v>
      </c>
      <c r="E17" s="164" t="n">
        <f aca="false">E16+G17</f>
        <v>2452.39548387097</v>
      </c>
      <c r="F17" s="146" t="n">
        <f aca="false">G17-I17</f>
        <v>-436.471612903226</v>
      </c>
      <c r="G17" s="165" t="n">
        <f aca="false">$C$6/$G$1</f>
        <v>272.488387096774</v>
      </c>
      <c r="H17" s="166" t="n">
        <f aca="false">H16+I17</f>
        <v>2858.2</v>
      </c>
      <c r="I17" s="149" t="n">
        <f aca="false">SUM(J17:AA17)</f>
        <v>708.96</v>
      </c>
      <c r="J17" s="150" t="n">
        <v>574.77</v>
      </c>
      <c r="K17" s="135" t="s">
        <v>87</v>
      </c>
      <c r="L17" s="118" t="n">
        <f aca="false">7.17+4.1</f>
        <v>11.27</v>
      </c>
      <c r="M17" s="118"/>
      <c r="N17" s="152" t="n">
        <f aca="false">3.99+34.99</f>
        <v>38.98</v>
      </c>
      <c r="O17" s="120"/>
      <c r="P17" s="121" t="n">
        <f aca="false">39.99</f>
        <v>39.99</v>
      </c>
      <c r="Q17" s="122"/>
      <c r="R17" s="123" t="n">
        <f aca="false">29.99</f>
        <v>29.99</v>
      </c>
      <c r="S17" s="153"/>
      <c r="T17" s="153" t="n">
        <f aca="false">13.96</f>
        <v>13.96</v>
      </c>
      <c r="U17" s="123"/>
      <c r="V17" s="154"/>
      <c r="W17" s="240"/>
      <c r="X17" s="155"/>
      <c r="Y17" s="155"/>
      <c r="Z17" s="140"/>
      <c r="AA17" s="267"/>
      <c r="AB17" s="266"/>
    </row>
    <row r="18" customFormat="false" ht="15" hidden="false" customHeight="false" outlineLevel="0" collapsed="false">
      <c r="A18" s="167" t="n">
        <v>10</v>
      </c>
      <c r="B18" s="271" t="n">
        <v>43322</v>
      </c>
      <c r="C18" s="169"/>
      <c r="D18" s="242" t="n">
        <f aca="false">D17+F18</f>
        <v>-266.316129032259</v>
      </c>
      <c r="E18" s="169" t="n">
        <f aca="false">E17+G18</f>
        <v>2724.88387096774</v>
      </c>
      <c r="F18" s="146" t="n">
        <f aca="false">G18-I18</f>
        <v>139.488387096774</v>
      </c>
      <c r="G18" s="170" t="n">
        <f aca="false">$C$6/$G$1</f>
        <v>272.488387096774</v>
      </c>
      <c r="H18" s="171" t="n">
        <f aca="false">H17+I18</f>
        <v>2991.2</v>
      </c>
      <c r="I18" s="149" t="n">
        <f aca="false">SUM(J18:AA18)</f>
        <v>133</v>
      </c>
      <c r="J18" s="150" t="n">
        <v>75</v>
      </c>
      <c r="K18" s="117" t="s">
        <v>92</v>
      </c>
      <c r="L18" s="202"/>
      <c r="M18" s="202"/>
      <c r="N18" s="203"/>
      <c r="O18" s="204" t="n">
        <f aca="false">5</f>
        <v>5</v>
      </c>
      <c r="P18" s="205"/>
      <c r="Q18" s="206"/>
      <c r="R18" s="178"/>
      <c r="S18" s="173"/>
      <c r="T18" s="173"/>
      <c r="U18" s="178"/>
      <c r="V18" s="179"/>
      <c r="W18" s="46"/>
      <c r="X18" s="155"/>
      <c r="Y18" s="155" t="n">
        <f aca="false">33+10+10</f>
        <v>53</v>
      </c>
      <c r="Z18" s="140"/>
      <c r="AA18" s="267"/>
      <c r="AB18" s="266"/>
    </row>
    <row r="19" customFormat="false" ht="15" hidden="false" customHeight="false" outlineLevel="0" collapsed="false">
      <c r="A19" s="141" t="n">
        <v>11</v>
      </c>
      <c r="B19" s="272" t="n">
        <v>43323</v>
      </c>
      <c r="C19" s="145"/>
      <c r="D19" s="242" t="n">
        <f aca="false">D18+F19</f>
        <v>-446.717741935484</v>
      </c>
      <c r="E19" s="145" t="n">
        <f aca="false">E18+G19</f>
        <v>2997.37225806452</v>
      </c>
      <c r="F19" s="146" t="n">
        <f aca="false">G19-I19</f>
        <v>-180.401612903226</v>
      </c>
      <c r="G19" s="147" t="n">
        <f aca="false">$C$6/$G$1</f>
        <v>272.488387096774</v>
      </c>
      <c r="H19" s="148" t="n">
        <f aca="false">H18+I19</f>
        <v>3444.09</v>
      </c>
      <c r="I19" s="149" t="n">
        <f aca="false">SUM(J19:AA19)</f>
        <v>452.89</v>
      </c>
      <c r="J19" s="135"/>
      <c r="K19" s="135"/>
      <c r="L19" s="244" t="n">
        <f aca="false">90.72-13.99-5.59</f>
        <v>71.14</v>
      </c>
      <c r="M19" s="244"/>
      <c r="N19" s="245" t="n">
        <f aca="false">57.45+13.99+5.59</f>
        <v>77.03</v>
      </c>
      <c r="O19" s="246"/>
      <c r="P19" s="262"/>
      <c r="Q19" s="248"/>
      <c r="R19" s="249"/>
      <c r="S19" s="250"/>
      <c r="T19" s="250"/>
      <c r="U19" s="249"/>
      <c r="V19" s="251"/>
      <c r="W19" s="252" t="n">
        <f aca="false">7.99+296.73</f>
        <v>304.72</v>
      </c>
      <c r="X19" s="155"/>
      <c r="Y19" s="155"/>
      <c r="Z19" s="140"/>
      <c r="AA19" s="269"/>
      <c r="AB19" s="270" t="n">
        <f aca="false">119.93</f>
        <v>119.93</v>
      </c>
    </row>
    <row r="20" customFormat="false" ht="15" hidden="false" customHeight="false" outlineLevel="0" collapsed="false">
      <c r="A20" s="157" t="n">
        <v>12</v>
      </c>
      <c r="B20" s="268" t="n">
        <v>43324</v>
      </c>
      <c r="C20" s="159"/>
      <c r="D20" s="242" t="n">
        <f aca="false">D19+F20</f>
        <v>-728.32935483871</v>
      </c>
      <c r="E20" s="159" t="n">
        <f aca="false">E19+G20</f>
        <v>3269.86064516129</v>
      </c>
      <c r="F20" s="146" t="n">
        <f aca="false">G20-I20</f>
        <v>-281.611612903226</v>
      </c>
      <c r="G20" s="160" t="n">
        <f aca="false">$C$6/$G$1</f>
        <v>272.488387096774</v>
      </c>
      <c r="H20" s="161" t="n">
        <f aca="false">H19+I20</f>
        <v>3998.19</v>
      </c>
      <c r="I20" s="149" t="n">
        <f aca="false">SUM(J20:AA20)</f>
        <v>554.1</v>
      </c>
      <c r="J20" s="150"/>
      <c r="K20" s="117"/>
      <c r="L20" s="254"/>
      <c r="M20" s="254" t="n">
        <f aca="false">24+85.1</f>
        <v>109.1</v>
      </c>
      <c r="N20" s="255"/>
      <c r="O20" s="256" t="n">
        <f aca="false">99+150</f>
        <v>249</v>
      </c>
      <c r="P20" s="257"/>
      <c r="Q20" s="258"/>
      <c r="R20" s="259"/>
      <c r="S20" s="176"/>
      <c r="T20" s="176" t="n">
        <v>196</v>
      </c>
      <c r="U20" s="259"/>
      <c r="V20" s="260"/>
      <c r="W20" s="261"/>
      <c r="X20" s="155"/>
      <c r="Y20" s="155"/>
      <c r="Z20" s="140"/>
      <c r="AA20" s="267"/>
      <c r="AB20" s="266"/>
    </row>
    <row r="21" customFormat="false" ht="15" hidden="false" customHeight="false" outlineLevel="0" collapsed="false">
      <c r="A21" s="167" t="n">
        <v>13</v>
      </c>
      <c r="B21" s="271" t="n">
        <v>43325</v>
      </c>
      <c r="C21" s="169"/>
      <c r="D21" s="242" t="n">
        <f aca="false">D20+F21</f>
        <v>-537.100967741936</v>
      </c>
      <c r="E21" s="169" t="n">
        <f aca="false">E20+G21</f>
        <v>3542.34903225806</v>
      </c>
      <c r="F21" s="146" t="n">
        <f aca="false">G21-I21</f>
        <v>191.228387096774</v>
      </c>
      <c r="G21" s="170" t="n">
        <f aca="false">$C$6/$G$1</f>
        <v>272.488387096774</v>
      </c>
      <c r="H21" s="171" t="n">
        <f aca="false">H20+I21</f>
        <v>4079.45</v>
      </c>
      <c r="I21" s="149" t="n">
        <f aca="false">SUM(J21:AA21)</f>
        <v>81.26</v>
      </c>
      <c r="J21" s="150"/>
      <c r="K21" s="135"/>
      <c r="L21" s="118" t="n">
        <f aca="false">30.84+19.77+19.5+11.15</f>
        <v>81.26</v>
      </c>
      <c r="M21" s="118"/>
      <c r="N21" s="152"/>
      <c r="O21" s="120"/>
      <c r="P21" s="121"/>
      <c r="Q21" s="122"/>
      <c r="R21" s="123"/>
      <c r="S21" s="153"/>
      <c r="T21" s="153"/>
      <c r="U21" s="123"/>
      <c r="V21" s="154"/>
      <c r="W21" s="240"/>
      <c r="X21" s="155"/>
      <c r="Y21" s="155"/>
      <c r="Z21" s="140"/>
      <c r="AA21" s="267"/>
      <c r="AB21" s="266"/>
    </row>
    <row r="22" s="156" customFormat="true" ht="15" hidden="false" customHeight="false" outlineLevel="0" collapsed="false">
      <c r="A22" s="141" t="n">
        <v>14</v>
      </c>
      <c r="B22" s="271" t="n">
        <v>43326</v>
      </c>
      <c r="C22" s="145"/>
      <c r="D22" s="242" t="n">
        <f aca="false">D21+F22</f>
        <v>-745.672580645162</v>
      </c>
      <c r="E22" s="145" t="n">
        <f aca="false">E21+G22</f>
        <v>3814.83741935484</v>
      </c>
      <c r="F22" s="146" t="n">
        <f aca="false">G22-I22</f>
        <v>-208.571612903226</v>
      </c>
      <c r="G22" s="147" t="n">
        <f aca="false">$C$6/$G$1</f>
        <v>272.488387096774</v>
      </c>
      <c r="H22" s="148" t="n">
        <f aca="false">H21+I22</f>
        <v>4560.51</v>
      </c>
      <c r="I22" s="149" t="n">
        <f aca="false">SUM(J22:AA22)</f>
        <v>481.06</v>
      </c>
      <c r="J22" s="150" t="n">
        <v>52</v>
      </c>
      <c r="K22" s="135" t="s">
        <v>89</v>
      </c>
      <c r="L22" s="118"/>
      <c r="M22" s="118" t="n">
        <f aca="false">34.43+15.8</f>
        <v>50.23</v>
      </c>
      <c r="N22" s="152"/>
      <c r="O22" s="120"/>
      <c r="P22" s="121"/>
      <c r="Q22" s="122" t="n">
        <f aca="false">342.86</f>
        <v>342.86</v>
      </c>
      <c r="R22" s="123"/>
      <c r="S22" s="153"/>
      <c r="T22" s="153"/>
      <c r="U22" s="123"/>
      <c r="V22" s="154" t="n">
        <f aca="false">35.97</f>
        <v>35.97</v>
      </c>
      <c r="W22" s="240"/>
      <c r="X22" s="155"/>
      <c r="Y22" s="155"/>
      <c r="Z22" s="140"/>
      <c r="AA22" s="269"/>
      <c r="AB22" s="270" t="n">
        <f aca="false">259</f>
        <v>259</v>
      </c>
    </row>
    <row r="23" customFormat="false" ht="15" hidden="false" customHeight="false" outlineLevel="0" collapsed="false">
      <c r="A23" s="157" t="n">
        <v>15</v>
      </c>
      <c r="B23" s="268" t="n">
        <v>43327</v>
      </c>
      <c r="C23" s="159"/>
      <c r="D23" s="242" t="n">
        <f aca="false">D22+F23</f>
        <v>-556.104193548388</v>
      </c>
      <c r="E23" s="159" t="n">
        <f aca="false">E22+G23</f>
        <v>4087.32580645161</v>
      </c>
      <c r="F23" s="146" t="n">
        <f aca="false">G23-I23</f>
        <v>189.568387096774</v>
      </c>
      <c r="G23" s="160" t="n">
        <f aca="false">$C$6/$G$1</f>
        <v>272.488387096774</v>
      </c>
      <c r="H23" s="161" t="n">
        <f aca="false">H22+I23</f>
        <v>4643.43</v>
      </c>
      <c r="I23" s="149" t="n">
        <f aca="false">SUM(J23:AA23)</f>
        <v>82.92</v>
      </c>
      <c r="J23" s="150"/>
      <c r="K23" s="117"/>
      <c r="L23" s="118"/>
      <c r="M23" s="118"/>
      <c r="N23" s="152"/>
      <c r="O23" s="120"/>
      <c r="P23" s="121"/>
      <c r="Q23" s="122"/>
      <c r="R23" s="123"/>
      <c r="S23" s="153" t="n">
        <f aca="false">82.92</f>
        <v>82.92</v>
      </c>
      <c r="T23" s="153"/>
      <c r="U23" s="123"/>
      <c r="V23" s="154"/>
      <c r="W23" s="240"/>
      <c r="X23" s="155"/>
      <c r="Y23" s="155"/>
      <c r="Z23" s="140"/>
      <c r="AA23" s="267"/>
      <c r="AB23" s="266"/>
    </row>
    <row r="24" customFormat="false" ht="15" hidden="false" customHeight="false" outlineLevel="0" collapsed="false">
      <c r="A24" s="162" t="n">
        <v>16</v>
      </c>
      <c r="B24" s="271" t="n">
        <v>43328</v>
      </c>
      <c r="C24" s="164"/>
      <c r="D24" s="242" t="n">
        <f aca="false">D23+F24</f>
        <v>-401.095806451614</v>
      </c>
      <c r="E24" s="164" t="n">
        <f aca="false">E23+G24</f>
        <v>4359.81419354839</v>
      </c>
      <c r="F24" s="146" t="n">
        <f aca="false">G24-I24</f>
        <v>155.008387096774</v>
      </c>
      <c r="G24" s="165" t="n">
        <f aca="false">$C$6/$G$1</f>
        <v>272.488387096774</v>
      </c>
      <c r="H24" s="166" t="n">
        <f aca="false">H23+I24</f>
        <v>4760.91</v>
      </c>
      <c r="I24" s="149" t="n">
        <f aca="false">SUM(J24:AA24)</f>
        <v>117.48</v>
      </c>
      <c r="J24" s="150"/>
      <c r="K24" s="117"/>
      <c r="L24" s="118" t="n">
        <f aca="false">110.61-57.9+6.87</f>
        <v>59.58</v>
      </c>
      <c r="M24" s="118"/>
      <c r="N24" s="152"/>
      <c r="O24" s="120"/>
      <c r="P24" s="121" t="n">
        <f aca="false">57.9</f>
        <v>57.9</v>
      </c>
      <c r="Q24" s="122"/>
      <c r="R24" s="123"/>
      <c r="S24" s="153"/>
      <c r="T24" s="153"/>
      <c r="U24" s="123"/>
      <c r="V24" s="154"/>
      <c r="W24" s="240"/>
      <c r="X24" s="155"/>
      <c r="Y24" s="155"/>
      <c r="Z24" s="140"/>
      <c r="AA24" s="267"/>
      <c r="AB24" s="266"/>
    </row>
    <row r="25" customFormat="false" ht="15" hidden="false" customHeight="false" outlineLevel="0" collapsed="false">
      <c r="A25" s="167" t="n">
        <v>17</v>
      </c>
      <c r="B25" s="271" t="n">
        <v>43329</v>
      </c>
      <c r="C25" s="169"/>
      <c r="D25" s="242" t="n">
        <f aca="false">D24+F25</f>
        <v>-389.05741935484</v>
      </c>
      <c r="E25" s="169" t="n">
        <f aca="false">E24+G25</f>
        <v>4632.30258064516</v>
      </c>
      <c r="F25" s="146" t="n">
        <f aca="false">G25-I25</f>
        <v>12.0383870967742</v>
      </c>
      <c r="G25" s="170" t="n">
        <f aca="false">$C$6/$G$1</f>
        <v>272.488387096774</v>
      </c>
      <c r="H25" s="171" t="n">
        <f aca="false">H24+I25</f>
        <v>5021.36</v>
      </c>
      <c r="I25" s="149" t="n">
        <f aca="false">SUM(J25:AA25)</f>
        <v>260.45</v>
      </c>
      <c r="J25" s="150"/>
      <c r="K25" s="117"/>
      <c r="L25" s="202" t="n">
        <f aca="false">4.1+13.2</f>
        <v>17.3</v>
      </c>
      <c r="M25" s="202" t="n">
        <f aca="false">28</f>
        <v>28</v>
      </c>
      <c r="N25" s="203"/>
      <c r="O25" s="204" t="n">
        <f aca="false">9.7</f>
        <v>9.7</v>
      </c>
      <c r="P25" s="205"/>
      <c r="Q25" s="206" t="n">
        <f aca="false">31.9</f>
        <v>31.9</v>
      </c>
      <c r="R25" s="178" t="n">
        <f aca="false">21.55</f>
        <v>21.55</v>
      </c>
      <c r="S25" s="173"/>
      <c r="T25" s="173" t="n">
        <f aca="false">10</f>
        <v>10</v>
      </c>
      <c r="U25" s="178"/>
      <c r="V25" s="179"/>
      <c r="W25" s="46"/>
      <c r="X25" s="155"/>
      <c r="Y25" s="155" t="n">
        <f aca="false">21+32+24</f>
        <v>77</v>
      </c>
      <c r="Z25" s="140" t="n">
        <f aca="false">65</f>
        <v>65</v>
      </c>
      <c r="AA25" s="267"/>
      <c r="AB25" s="266"/>
    </row>
    <row r="26" customFormat="false" ht="15" hidden="false" customHeight="false" outlineLevel="0" collapsed="false">
      <c r="A26" s="141" t="n">
        <v>18</v>
      </c>
      <c r="B26" s="272" t="n">
        <v>43330</v>
      </c>
      <c r="C26" s="145"/>
      <c r="D26" s="242" t="n">
        <f aca="false">D25+F26</f>
        <v>-707.459032258065</v>
      </c>
      <c r="E26" s="145" t="n">
        <f aca="false">E25+G26</f>
        <v>4904.79096774194</v>
      </c>
      <c r="F26" s="146" t="n">
        <f aca="false">G26-I26</f>
        <v>-318.401612903226</v>
      </c>
      <c r="G26" s="147" t="n">
        <f aca="false">$C$6/$G$1</f>
        <v>272.488387096774</v>
      </c>
      <c r="H26" s="148" t="n">
        <f aca="false">H25+I26</f>
        <v>5612.25</v>
      </c>
      <c r="I26" s="149" t="n">
        <f aca="false">SUM(J26:AA26)</f>
        <v>590.89</v>
      </c>
      <c r="J26" s="150"/>
      <c r="K26" s="117"/>
      <c r="L26" s="244" t="n">
        <f aca="false">125.69-15.99-53.99-12.99-7.99-5.99+12.81+40.35</f>
        <v>81.9</v>
      </c>
      <c r="M26" s="244" t="n">
        <f aca="false">11.9</f>
        <v>11.9</v>
      </c>
      <c r="N26" s="245" t="n">
        <f aca="false">15.99</f>
        <v>15.99</v>
      </c>
      <c r="O26" s="246"/>
      <c r="P26" s="247"/>
      <c r="Q26" s="248"/>
      <c r="R26" s="249" t="n">
        <f aca="false">19.58</f>
        <v>19.58</v>
      </c>
      <c r="S26" s="250" t="n">
        <f aca="false">235.77</f>
        <v>235.77</v>
      </c>
      <c r="T26" s="250"/>
      <c r="U26" s="249"/>
      <c r="V26" s="251"/>
      <c r="W26" s="252" t="n">
        <f aca="false">53.99+5.99+7.99+12.99+34.99+109.8</f>
        <v>225.75</v>
      </c>
      <c r="X26" s="155"/>
      <c r="Y26" s="155"/>
      <c r="Z26" s="140"/>
      <c r="AA26" s="269"/>
      <c r="AB26" s="270" t="n">
        <f aca="false">39.9</f>
        <v>39.9</v>
      </c>
    </row>
    <row r="27" customFormat="false" ht="15" hidden="false" customHeight="false" outlineLevel="0" collapsed="false">
      <c r="A27" s="157" t="n">
        <v>19</v>
      </c>
      <c r="B27" s="268" t="n">
        <v>43331</v>
      </c>
      <c r="C27" s="159"/>
      <c r="D27" s="242" t="n">
        <f aca="false">D26+F27</f>
        <v>-1041.46064516129</v>
      </c>
      <c r="E27" s="159" t="n">
        <f aca="false">E26+G27</f>
        <v>5177.27935483871</v>
      </c>
      <c r="F27" s="146" t="n">
        <f aca="false">G27-I27</f>
        <v>-334.001612903226</v>
      </c>
      <c r="G27" s="160" t="n">
        <f aca="false">$C$6/$G$1</f>
        <v>272.488387096774</v>
      </c>
      <c r="H27" s="161" t="n">
        <f aca="false">H26+I27</f>
        <v>6218.74</v>
      </c>
      <c r="I27" s="149" t="n">
        <f aca="false">SUM(J27:AA27)</f>
        <v>606.49</v>
      </c>
      <c r="J27" s="150"/>
      <c r="K27" s="117"/>
      <c r="L27" s="254" t="n">
        <f aca="false">6.49</f>
        <v>6.49</v>
      </c>
      <c r="M27" s="254"/>
      <c r="N27" s="255"/>
      <c r="O27" s="256"/>
      <c r="P27" s="257"/>
      <c r="Q27" s="258"/>
      <c r="R27" s="259"/>
      <c r="S27" s="176"/>
      <c r="T27" s="176"/>
      <c r="U27" s="259"/>
      <c r="V27" s="260"/>
      <c r="W27" s="261"/>
      <c r="X27" s="155"/>
      <c r="Y27" s="155"/>
      <c r="Z27" s="140" t="n">
        <v>3</v>
      </c>
      <c r="AA27" s="267" t="n">
        <v>597</v>
      </c>
      <c r="AB27" s="266"/>
    </row>
    <row r="28" customFormat="false" ht="15" hidden="false" customHeight="false" outlineLevel="0" collapsed="false">
      <c r="A28" s="167" t="n">
        <v>20</v>
      </c>
      <c r="B28" s="271" t="n">
        <v>43332</v>
      </c>
      <c r="C28" s="169"/>
      <c r="D28" s="242" t="n">
        <f aca="false">D27+F28</f>
        <v>-851.112258064517</v>
      </c>
      <c r="E28" s="169" t="n">
        <f aca="false">E27+G28</f>
        <v>5449.76774193548</v>
      </c>
      <c r="F28" s="146" t="n">
        <f aca="false">G28-I28</f>
        <v>190.348387096774</v>
      </c>
      <c r="G28" s="170" t="n">
        <f aca="false">$C$6/$G$1</f>
        <v>272.488387096774</v>
      </c>
      <c r="H28" s="171" t="n">
        <f aca="false">H27+I28</f>
        <v>6300.88</v>
      </c>
      <c r="I28" s="149" t="n">
        <f aca="false">SUM(J28:AA28)</f>
        <v>82.14</v>
      </c>
      <c r="J28" s="150" t="n">
        <v>13</v>
      </c>
      <c r="K28" s="135" t="s">
        <v>91</v>
      </c>
      <c r="L28" s="118" t="n">
        <f aca="false">25.14+39.6+4.4</f>
        <v>69.14</v>
      </c>
      <c r="M28" s="118"/>
      <c r="N28" s="152"/>
      <c r="O28" s="120"/>
      <c r="P28" s="121"/>
      <c r="Q28" s="122"/>
      <c r="R28" s="123"/>
      <c r="S28" s="153"/>
      <c r="T28" s="153"/>
      <c r="U28" s="123"/>
      <c r="V28" s="154"/>
      <c r="W28" s="240"/>
      <c r="X28" s="155"/>
      <c r="Y28" s="155"/>
      <c r="Z28" s="140"/>
      <c r="AA28" s="267"/>
      <c r="AB28" s="266"/>
    </row>
    <row r="29" s="156" customFormat="true" ht="15" hidden="false" customHeight="false" outlineLevel="0" collapsed="false">
      <c r="A29" s="141" t="n">
        <v>21</v>
      </c>
      <c r="B29" s="271" t="n">
        <v>43333</v>
      </c>
      <c r="C29" s="145"/>
      <c r="D29" s="242" t="n">
        <f aca="false">D28+F29</f>
        <v>-599.423870967743</v>
      </c>
      <c r="E29" s="145" t="n">
        <f aca="false">E28+G29</f>
        <v>5722.25612903226</v>
      </c>
      <c r="F29" s="146" t="n">
        <f aca="false">G29-I29</f>
        <v>251.688387096774</v>
      </c>
      <c r="G29" s="147" t="n">
        <f aca="false">$C$6/$G$1</f>
        <v>272.488387096774</v>
      </c>
      <c r="H29" s="148" t="n">
        <f aca="false">H28+I29</f>
        <v>6321.68</v>
      </c>
      <c r="I29" s="149" t="n">
        <f aca="false">SUM(J29:AA29)</f>
        <v>20.8</v>
      </c>
      <c r="J29" s="150"/>
      <c r="K29" s="117"/>
      <c r="L29" s="118"/>
      <c r="M29" s="118" t="n">
        <f aca="false">20.8</f>
        <v>20.8</v>
      </c>
      <c r="N29" s="152"/>
      <c r="O29" s="120"/>
      <c r="P29" s="121"/>
      <c r="Q29" s="122"/>
      <c r="R29" s="123"/>
      <c r="S29" s="153"/>
      <c r="T29" s="153"/>
      <c r="U29" s="123"/>
      <c r="V29" s="154"/>
      <c r="W29" s="240"/>
      <c r="X29" s="155"/>
      <c r="Y29" s="155"/>
      <c r="Z29" s="140"/>
      <c r="AA29" s="269"/>
      <c r="AB29" s="270"/>
    </row>
    <row r="30" customFormat="false" ht="15" hidden="false" customHeight="false" outlineLevel="0" collapsed="false">
      <c r="A30" s="157" t="n">
        <v>22</v>
      </c>
      <c r="B30" s="271" t="n">
        <v>43334</v>
      </c>
      <c r="C30" s="159"/>
      <c r="D30" s="242" t="n">
        <f aca="false">D29+F30</f>
        <v>-435.685483870969</v>
      </c>
      <c r="E30" s="159" t="n">
        <f aca="false">E29+G30</f>
        <v>5994.74451612903</v>
      </c>
      <c r="F30" s="146" t="n">
        <f aca="false">G30-I30</f>
        <v>163.738387096774</v>
      </c>
      <c r="G30" s="160" t="n">
        <f aca="false">$C$6/$G$1</f>
        <v>272.488387096774</v>
      </c>
      <c r="H30" s="161" t="n">
        <f aca="false">H29+I30</f>
        <v>6430.43</v>
      </c>
      <c r="I30" s="149" t="n">
        <f aca="false">SUM(J30:AA30)</f>
        <v>108.75</v>
      </c>
      <c r="J30" s="150"/>
      <c r="K30" s="117"/>
      <c r="L30" s="118" t="n">
        <f aca="false">6.48+4.49+49.33</f>
        <v>60.3</v>
      </c>
      <c r="M30" s="118"/>
      <c r="N30" s="152" t="n">
        <f aca="false">48.45</f>
        <v>48.45</v>
      </c>
      <c r="O30" s="120"/>
      <c r="P30" s="121"/>
      <c r="Q30" s="122"/>
      <c r="R30" s="123"/>
      <c r="S30" s="153"/>
      <c r="T30" s="153"/>
      <c r="U30" s="123"/>
      <c r="V30" s="154"/>
      <c r="W30" s="240"/>
      <c r="X30" s="155"/>
      <c r="Y30" s="155"/>
      <c r="Z30" s="140"/>
      <c r="AA30" s="267"/>
      <c r="AB30" s="266"/>
    </row>
    <row r="31" customFormat="false" ht="15" hidden="false" customHeight="false" outlineLevel="0" collapsed="false">
      <c r="A31" s="162" t="n">
        <v>23</v>
      </c>
      <c r="B31" s="271" t="n">
        <v>43335</v>
      </c>
      <c r="C31" s="164"/>
      <c r="D31" s="242" t="n">
        <f aca="false">D30+F31</f>
        <v>-334.507096774195</v>
      </c>
      <c r="E31" s="164" t="n">
        <f aca="false">E30+G31</f>
        <v>6267.23290322581</v>
      </c>
      <c r="F31" s="146" t="n">
        <f aca="false">G31-I31</f>
        <v>101.178387096774</v>
      </c>
      <c r="G31" s="165" t="n">
        <f aca="false">$C$6/$G$1</f>
        <v>272.488387096774</v>
      </c>
      <c r="H31" s="166" t="n">
        <f aca="false">H30+I31</f>
        <v>6601.74</v>
      </c>
      <c r="I31" s="149" t="n">
        <f aca="false">SUM(J31:AA31)</f>
        <v>171.31</v>
      </c>
      <c r="J31" s="150"/>
      <c r="K31" s="117"/>
      <c r="L31" s="118"/>
      <c r="M31" s="118" t="n">
        <f aca="false">2.29</f>
        <v>2.29</v>
      </c>
      <c r="N31" s="152" t="n">
        <f aca="false">116.22</f>
        <v>116.22</v>
      </c>
      <c r="O31" s="120"/>
      <c r="P31" s="121"/>
      <c r="Q31" s="122" t="n">
        <f aca="false">52.8</f>
        <v>52.8</v>
      </c>
      <c r="R31" s="123"/>
      <c r="S31" s="153"/>
      <c r="T31" s="153"/>
      <c r="U31" s="123"/>
      <c r="V31" s="154"/>
      <c r="W31" s="240"/>
      <c r="X31" s="155"/>
      <c r="Y31" s="155"/>
      <c r="Z31" s="140"/>
      <c r="AA31" s="267"/>
      <c r="AB31" s="266"/>
    </row>
    <row r="32" customFormat="false" ht="15" hidden="false" customHeight="false" outlineLevel="0" collapsed="false">
      <c r="A32" s="167" t="n">
        <v>24</v>
      </c>
      <c r="B32" s="271" t="n">
        <v>43336</v>
      </c>
      <c r="C32" s="169"/>
      <c r="D32" s="242" t="n">
        <f aca="false">D31+F32</f>
        <v>-194.918709677421</v>
      </c>
      <c r="E32" s="169" t="n">
        <f aca="false">E31+G32</f>
        <v>6539.72129032258</v>
      </c>
      <c r="F32" s="146" t="n">
        <f aca="false">G32-I32</f>
        <v>139.588387096774</v>
      </c>
      <c r="G32" s="170" t="n">
        <f aca="false">$C$6/$G$1</f>
        <v>272.488387096774</v>
      </c>
      <c r="H32" s="171" t="n">
        <f aca="false">H31+I32</f>
        <v>6734.64</v>
      </c>
      <c r="I32" s="149" t="n">
        <f aca="false">SUM(J32:AA32)</f>
        <v>132.9</v>
      </c>
      <c r="J32" s="150"/>
      <c r="K32" s="117"/>
      <c r="L32" s="202" t="n">
        <f aca="false">32.7+4.1</f>
        <v>36.8</v>
      </c>
      <c r="M32" s="202" t="n">
        <f aca="false">7.9+8</f>
        <v>15.9</v>
      </c>
      <c r="N32" s="203"/>
      <c r="O32" s="204" t="n">
        <f aca="false">5+25.2</f>
        <v>30.2</v>
      </c>
      <c r="P32" s="205"/>
      <c r="Q32" s="206"/>
      <c r="R32" s="178"/>
      <c r="S32" s="173"/>
      <c r="T32" s="173"/>
      <c r="U32" s="178"/>
      <c r="V32" s="179"/>
      <c r="W32" s="46"/>
      <c r="X32" s="155"/>
      <c r="Y32" s="155" t="n">
        <f aca="false">40+10</f>
        <v>50</v>
      </c>
      <c r="Z32" s="140"/>
      <c r="AA32" s="267"/>
      <c r="AB32" s="266"/>
    </row>
    <row r="33" customFormat="false" ht="15" hidden="false" customHeight="false" outlineLevel="0" collapsed="false">
      <c r="A33" s="141" t="n">
        <v>25</v>
      </c>
      <c r="B33" s="272" t="n">
        <v>43337</v>
      </c>
      <c r="C33" s="145"/>
      <c r="D33" s="242" t="n">
        <f aca="false">D32+F33</f>
        <v>-81.7003225806464</v>
      </c>
      <c r="E33" s="145" t="n">
        <f aca="false">E32+G33</f>
        <v>6812.20967741935</v>
      </c>
      <c r="F33" s="146" t="n">
        <f aca="false">G33-I33</f>
        <v>113.218387096774</v>
      </c>
      <c r="G33" s="147" t="n">
        <f aca="false">$C$6/$G$1</f>
        <v>272.488387096774</v>
      </c>
      <c r="H33" s="148" t="n">
        <f aca="false">H32+I33</f>
        <v>6893.91</v>
      </c>
      <c r="I33" s="149" t="n">
        <f aca="false">SUM(J33:AA33)</f>
        <v>159.27</v>
      </c>
      <c r="J33" s="150"/>
      <c r="K33" s="117"/>
      <c r="L33" s="244" t="n">
        <f aca="false">1.99+135.72-4.38</f>
        <v>133.33</v>
      </c>
      <c r="M33" s="244"/>
      <c r="N33" s="245"/>
      <c r="O33" s="246"/>
      <c r="P33" s="247"/>
      <c r="Q33" s="248"/>
      <c r="R33" s="249"/>
      <c r="S33" s="250"/>
      <c r="T33" s="250"/>
      <c r="U33" s="249"/>
      <c r="V33" s="251"/>
      <c r="W33" s="252"/>
      <c r="X33" s="155"/>
      <c r="Y33" s="155" t="n">
        <f aca="false">6.57+4.38</f>
        <v>10.95</v>
      </c>
      <c r="Z33" s="140" t="n">
        <f aca="false">14.99</f>
        <v>14.99</v>
      </c>
      <c r="AA33" s="269"/>
      <c r="AB33" s="270"/>
    </row>
    <row r="34" customFormat="false" ht="15" hidden="false" customHeight="false" outlineLevel="0" collapsed="false">
      <c r="A34" s="157" t="n">
        <v>26</v>
      </c>
      <c r="B34" s="268" t="n">
        <v>43338</v>
      </c>
      <c r="C34" s="159"/>
      <c r="D34" s="242" t="n">
        <f aca="false">D33+F34</f>
        <v>190.788064516128</v>
      </c>
      <c r="E34" s="159" t="n">
        <f aca="false">E33+G34</f>
        <v>7084.69806451613</v>
      </c>
      <c r="F34" s="146" t="n">
        <f aca="false">G34-I34</f>
        <v>272.488387096774</v>
      </c>
      <c r="G34" s="160" t="n">
        <f aca="false">$C$6/$G$1</f>
        <v>272.488387096774</v>
      </c>
      <c r="H34" s="161" t="n">
        <f aca="false">H33+I34</f>
        <v>6893.91</v>
      </c>
      <c r="I34" s="149" t="n">
        <f aca="false">SUM(J34:AA34)</f>
        <v>0</v>
      </c>
      <c r="J34" s="150"/>
      <c r="K34" s="117"/>
      <c r="L34" s="254"/>
      <c r="M34" s="254"/>
      <c r="N34" s="255"/>
      <c r="O34" s="256"/>
      <c r="P34" s="257"/>
      <c r="Q34" s="258"/>
      <c r="R34" s="259"/>
      <c r="S34" s="176"/>
      <c r="T34" s="176"/>
      <c r="U34" s="259"/>
      <c r="V34" s="260"/>
      <c r="W34" s="261"/>
      <c r="X34" s="155"/>
      <c r="Y34" s="155"/>
      <c r="Z34" s="140"/>
      <c r="AA34" s="267"/>
      <c r="AB34" s="266"/>
    </row>
    <row r="35" customFormat="false" ht="15" hidden="false" customHeight="false" outlineLevel="0" collapsed="false">
      <c r="A35" s="167" t="n">
        <v>27</v>
      </c>
      <c r="B35" s="271" t="n">
        <v>43339</v>
      </c>
      <c r="C35" s="169"/>
      <c r="D35" s="242" t="n">
        <f aca="false">D34+F35</f>
        <v>434.576451612902</v>
      </c>
      <c r="E35" s="169" t="n">
        <f aca="false">E34+G35</f>
        <v>7357.1864516129</v>
      </c>
      <c r="F35" s="146" t="n">
        <f aca="false">G35-I35</f>
        <v>243.788387096774</v>
      </c>
      <c r="G35" s="170" t="n">
        <f aca="false">$C$6/$G$1</f>
        <v>272.488387096774</v>
      </c>
      <c r="H35" s="171" t="n">
        <f aca="false">H34+I35</f>
        <v>6922.61</v>
      </c>
      <c r="I35" s="149" t="n">
        <f aca="false">SUM(J35:AA35)</f>
        <v>28.7</v>
      </c>
      <c r="J35" s="150"/>
      <c r="K35" s="117"/>
      <c r="L35" s="118" t="n">
        <f aca="false">1.9+9.11+2.99+14.7</f>
        <v>28.7</v>
      </c>
      <c r="M35" s="118"/>
      <c r="N35" s="152"/>
      <c r="O35" s="120"/>
      <c r="P35" s="121"/>
      <c r="Q35" s="122"/>
      <c r="R35" s="123"/>
      <c r="S35" s="153"/>
      <c r="T35" s="153"/>
      <c r="U35" s="123"/>
      <c r="V35" s="154"/>
      <c r="W35" s="240"/>
      <c r="X35" s="155"/>
      <c r="Y35" s="155"/>
      <c r="Z35" s="140"/>
      <c r="AA35" s="267"/>
      <c r="AB35" s="266"/>
    </row>
    <row r="36" s="156" customFormat="true" ht="15" hidden="false" customHeight="false" outlineLevel="0" collapsed="false">
      <c r="A36" s="141" t="n">
        <v>28</v>
      </c>
      <c r="B36" s="271" t="n">
        <v>43340</v>
      </c>
      <c r="C36" s="145"/>
      <c r="D36" s="242" t="n">
        <f aca="false">D35+F36</f>
        <v>577.074838709676</v>
      </c>
      <c r="E36" s="145" t="n">
        <f aca="false">E35+G36</f>
        <v>7629.67483870968</v>
      </c>
      <c r="F36" s="146" t="n">
        <f aca="false">G36-I36</f>
        <v>142.498387096774</v>
      </c>
      <c r="G36" s="147" t="n">
        <f aca="false">$C$6/$G$1</f>
        <v>272.488387096774</v>
      </c>
      <c r="H36" s="148" t="n">
        <f aca="false">H35+I36</f>
        <v>7052.6</v>
      </c>
      <c r="I36" s="149" t="n">
        <f aca="false">SUM(J36:AA36)</f>
        <v>129.99</v>
      </c>
      <c r="J36" s="201" t="n">
        <v>29.99</v>
      </c>
      <c r="K36" s="117" t="s">
        <v>97</v>
      </c>
      <c r="L36" s="118"/>
      <c r="M36" s="118"/>
      <c r="N36" s="152"/>
      <c r="O36" s="120"/>
      <c r="P36" s="121" t="n">
        <f aca="false">37+2</f>
        <v>39</v>
      </c>
      <c r="Q36" s="122"/>
      <c r="R36" s="123"/>
      <c r="S36" s="153"/>
      <c r="T36" s="153"/>
      <c r="U36" s="123"/>
      <c r="V36" s="154"/>
      <c r="W36" s="240" t="n">
        <f aca="false">50</f>
        <v>50</v>
      </c>
      <c r="X36" s="155"/>
      <c r="Y36" s="155"/>
      <c r="Z36" s="209" t="n">
        <f aca="false">11</f>
        <v>11</v>
      </c>
      <c r="AA36" s="269"/>
      <c r="AB36" s="270"/>
    </row>
    <row r="37" customFormat="false" ht="15" hidden="false" customHeight="false" outlineLevel="0" collapsed="false">
      <c r="A37" s="157" t="n">
        <v>29</v>
      </c>
      <c r="B37" s="271" t="n">
        <v>43341</v>
      </c>
      <c r="C37" s="159"/>
      <c r="D37" s="242" t="n">
        <f aca="false">D36+F37</f>
        <v>692.89322580645</v>
      </c>
      <c r="E37" s="159" t="n">
        <f aca="false">E36+G37</f>
        <v>7902.16322580645</v>
      </c>
      <c r="F37" s="146" t="n">
        <f aca="false">G37-I37</f>
        <v>115.818387096774</v>
      </c>
      <c r="G37" s="160" t="n">
        <f aca="false">$C$6/$G$1</f>
        <v>272.488387096774</v>
      </c>
      <c r="H37" s="161" t="n">
        <f aca="false">H36+I37</f>
        <v>7209.27</v>
      </c>
      <c r="I37" s="149" t="n">
        <f aca="false">SUM(J37:AA37)</f>
        <v>156.67</v>
      </c>
      <c r="J37" s="150"/>
      <c r="K37" s="117"/>
      <c r="L37" s="118" t="n">
        <f aca="false">11.65+20.71+41.76+8.1+27.84+6.4</f>
        <v>116.46</v>
      </c>
      <c r="M37" s="118"/>
      <c r="N37" s="152"/>
      <c r="O37" s="120"/>
      <c r="P37" s="121"/>
      <c r="Q37" s="122"/>
      <c r="R37" s="123"/>
      <c r="S37" s="153" t="n">
        <f aca="false">40.21</f>
        <v>40.21</v>
      </c>
      <c r="T37" s="153"/>
      <c r="U37" s="123"/>
      <c r="V37" s="154"/>
      <c r="W37" s="240"/>
      <c r="X37" s="155"/>
      <c r="Y37" s="155"/>
      <c r="Z37" s="209"/>
      <c r="AA37" s="267"/>
      <c r="AB37" s="266"/>
    </row>
    <row r="38" customFormat="false" ht="15" hidden="false" customHeight="false" outlineLevel="0" collapsed="false">
      <c r="A38" s="162" t="n">
        <v>30</v>
      </c>
      <c r="B38" s="271" t="n">
        <v>43342</v>
      </c>
      <c r="C38" s="164"/>
      <c r="D38" s="242" t="n">
        <f aca="false">D37+F38</f>
        <v>657.251612903224</v>
      </c>
      <c r="E38" s="164" t="n">
        <f aca="false">E37+G38</f>
        <v>8174.65161290323</v>
      </c>
      <c r="F38" s="146" t="n">
        <f aca="false">G38-I38</f>
        <v>-35.6416129032258</v>
      </c>
      <c r="G38" s="165" t="n">
        <f aca="false">$C$6/$G$1</f>
        <v>272.488387096774</v>
      </c>
      <c r="H38" s="166" t="n">
        <f aca="false">H37+I38</f>
        <v>7517.4</v>
      </c>
      <c r="I38" s="149" t="n">
        <f aca="false">SUM(J38:AA38)</f>
        <v>308.13</v>
      </c>
      <c r="J38" s="150"/>
      <c r="K38" s="117"/>
      <c r="L38" s="118" t="n">
        <f aca="false">13+18.03</f>
        <v>31.03</v>
      </c>
      <c r="M38" s="118" t="n">
        <f aca="false">9.07</f>
        <v>9.07</v>
      </c>
      <c r="N38" s="152" t="n">
        <f aca="false">4.99</f>
        <v>4.99</v>
      </c>
      <c r="O38" s="120"/>
      <c r="P38" s="121"/>
      <c r="Q38" s="122"/>
      <c r="R38" s="123"/>
      <c r="S38" s="153" t="n">
        <f aca="false">263.04</f>
        <v>263.04</v>
      </c>
      <c r="T38" s="153"/>
      <c r="U38" s="123"/>
      <c r="V38" s="154"/>
      <c r="W38" s="240"/>
      <c r="X38" s="155"/>
      <c r="Y38" s="155"/>
      <c r="Z38" s="209"/>
      <c r="AA38" s="267"/>
      <c r="AB38" s="266"/>
    </row>
    <row r="39" customFormat="false" ht="15" hidden="false" customHeight="false" outlineLevel="0" collapsed="false">
      <c r="A39" s="162" t="n">
        <v>31</v>
      </c>
      <c r="B39" s="271" t="n">
        <v>43343</v>
      </c>
      <c r="C39" s="164"/>
      <c r="D39" s="242" t="n">
        <f aca="false">D38+F39</f>
        <v>895.939999999998</v>
      </c>
      <c r="E39" s="164" t="n">
        <f aca="false">E38+G39</f>
        <v>8447.14</v>
      </c>
      <c r="F39" s="146" t="n">
        <f aca="false">G39-I39</f>
        <v>238.688387096774</v>
      </c>
      <c r="G39" s="165" t="n">
        <f aca="false">$C$6/$G$1</f>
        <v>272.488387096774</v>
      </c>
      <c r="H39" s="166" t="n">
        <f aca="false">H38+I39</f>
        <v>7551.2</v>
      </c>
      <c r="I39" s="149" t="n">
        <f aca="false">SUM(J39:AA39)</f>
        <v>33.8</v>
      </c>
      <c r="J39" s="150"/>
      <c r="K39" s="117"/>
      <c r="L39" s="118"/>
      <c r="M39" s="118" t="n">
        <f aca="false">33.8</f>
        <v>33.8</v>
      </c>
      <c r="N39" s="152"/>
      <c r="O39" s="120"/>
      <c r="P39" s="121"/>
      <c r="Q39" s="122"/>
      <c r="R39" s="123"/>
      <c r="S39" s="153"/>
      <c r="T39" s="153"/>
      <c r="U39" s="123"/>
      <c r="V39" s="154"/>
      <c r="W39" s="240"/>
      <c r="X39" s="155"/>
      <c r="Y39" s="155"/>
      <c r="Z39" s="209"/>
      <c r="AA39" s="267"/>
      <c r="AB39" s="266"/>
    </row>
  </sheetData>
  <mergeCells count="10">
    <mergeCell ref="J5:K5"/>
    <mergeCell ref="L5:M5"/>
    <mergeCell ref="S5:T5"/>
    <mergeCell ref="U5:V5"/>
    <mergeCell ref="X5:Y5"/>
    <mergeCell ref="J6:K6"/>
    <mergeCell ref="L6:M6"/>
    <mergeCell ref="S6:T6"/>
    <mergeCell ref="U6:V6"/>
    <mergeCell ref="X6:Y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2019-05-09T21:58:42Z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