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116" documentId="11_A0D99B6E00B73D0488965335787811ECD94A4043" xr6:coauthVersionLast="47" xr6:coauthVersionMax="47" xr10:uidLastSave="{E50CBC3B-1DC8-41F9-86F0-73C5BDD3E241}"/>
  <bookViews>
    <workbookView xWindow="-120" yWindow="-120" windowWidth="29040" windowHeight="15720" xr2:uid="{00000000-000D-0000-FFFF-FFFF00000000}"/>
  </bookViews>
  <sheets>
    <sheet name="info_glasses" sheetId="3" r:id="rId1"/>
    <sheet name="References_and_notes"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4" i="3" l="1"/>
  <c r="C145" i="3"/>
  <c r="C146" i="3"/>
  <c r="C147" i="3"/>
  <c r="C148" i="3"/>
  <c r="C149" i="3"/>
  <c r="C150" i="3"/>
  <c r="C142" i="3"/>
  <c r="C171" i="3"/>
  <c r="Y125" i="3"/>
  <c r="Y126" i="3"/>
  <c r="Y127" i="3"/>
  <c r="Y128" i="3"/>
  <c r="Y129" i="3"/>
  <c r="V130" i="3"/>
  <c r="V131" i="3"/>
  <c r="V132" i="3"/>
  <c r="V133" i="3"/>
  <c r="O143" i="3" l="1"/>
  <c r="O144" i="3"/>
  <c r="O145" i="3"/>
  <c r="O146" i="3"/>
  <c r="O147" i="3"/>
  <c r="O148" i="3"/>
  <c r="O149" i="3"/>
  <c r="O150" i="3"/>
  <c r="O151" i="3"/>
  <c r="O152" i="3"/>
  <c r="O153" i="3"/>
  <c r="O154" i="3"/>
  <c r="O155" i="3"/>
  <c r="O156" i="3"/>
  <c r="O157" i="3"/>
  <c r="O158" i="3"/>
  <c r="O159" i="3"/>
  <c r="O160" i="3"/>
  <c r="O161" i="3"/>
  <c r="O162" i="3"/>
  <c r="O163" i="3"/>
  <c r="O164" i="3"/>
  <c r="O165" i="3"/>
  <c r="O166"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142" i="3"/>
  <c r="O104" i="3" l="1"/>
  <c r="O105" i="3"/>
  <c r="O106" i="3"/>
  <c r="O107" i="3"/>
  <c r="O108" i="3"/>
  <c r="O109" i="3"/>
  <c r="O110" i="3"/>
  <c r="O111" i="3"/>
  <c r="O112" i="3"/>
  <c r="O115" i="3"/>
  <c r="O116" i="3"/>
  <c r="O117" i="3"/>
  <c r="O118" i="3"/>
  <c r="O119" i="3"/>
  <c r="O120" i="3"/>
  <c r="O121" i="3"/>
  <c r="O122" i="3"/>
  <c r="O123" i="3"/>
  <c r="O124" i="3"/>
  <c r="O103" i="3"/>
  <c r="C153" i="3"/>
  <c r="C152" i="3"/>
  <c r="C196" i="3"/>
  <c r="C195" i="3"/>
  <c r="C194" i="3"/>
  <c r="C193" i="3"/>
  <c r="C192" i="3"/>
  <c r="C191" i="3"/>
  <c r="C190" i="3"/>
  <c r="C18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88" i="3"/>
  <c r="C187" i="3"/>
  <c r="C186" i="3"/>
  <c r="C185" i="3"/>
  <c r="C184" i="3"/>
  <c r="C183" i="3"/>
  <c r="C182" i="3"/>
  <c r="C181" i="3"/>
  <c r="C180" i="3"/>
  <c r="C179" i="3"/>
  <c r="C178" i="3"/>
  <c r="C177" i="3"/>
  <c r="C176" i="3"/>
  <c r="C175" i="3"/>
  <c r="C174" i="3"/>
  <c r="C173" i="3"/>
  <c r="C172" i="3"/>
  <c r="C170" i="3"/>
  <c r="C169" i="3"/>
  <c r="C168" i="3"/>
  <c r="C167" i="3"/>
  <c r="C166" i="3"/>
  <c r="C165" i="3"/>
  <c r="C164" i="3"/>
  <c r="C163" i="3"/>
  <c r="C162" i="3"/>
  <c r="C161" i="3"/>
  <c r="C160" i="3"/>
  <c r="C159" i="3"/>
  <c r="C158" i="3"/>
  <c r="C157" i="3"/>
  <c r="C156" i="3"/>
  <c r="C155" i="3"/>
  <c r="C154" i="3"/>
  <c r="C143" i="3"/>
  <c r="C141" i="3"/>
  <c r="C138" i="3"/>
  <c r="C139" i="3"/>
  <c r="C137" i="3"/>
  <c r="C133" i="3"/>
  <c r="C140" i="3"/>
  <c r="C136" i="3"/>
  <c r="C135" i="3"/>
  <c r="C134" i="3"/>
  <c r="C132" i="3"/>
  <c r="C131" i="3"/>
  <c r="C130" i="3"/>
  <c r="C129" i="3"/>
  <c r="C128" i="3"/>
  <c r="C151"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99" i="3"/>
  <c r="C100" i="3"/>
  <c r="C101" i="3"/>
  <c r="C102" i="3"/>
  <c r="C98" i="3"/>
  <c r="C79" i="3"/>
  <c r="C80" i="3"/>
  <c r="C81" i="3"/>
  <c r="C82" i="3"/>
  <c r="C83" i="3"/>
  <c r="C84" i="3"/>
  <c r="C85" i="3"/>
  <c r="C86" i="3"/>
  <c r="C87" i="3"/>
  <c r="C88" i="3"/>
  <c r="C89" i="3"/>
  <c r="C90" i="3"/>
  <c r="C91" i="3"/>
  <c r="C92" i="3"/>
  <c r="C93" i="3"/>
  <c r="C94" i="3"/>
  <c r="C95" i="3"/>
  <c r="C96" i="3"/>
  <c r="C97" i="3"/>
  <c r="C78" i="3"/>
  <c r="B78" i="3"/>
  <c r="C67" i="3"/>
  <c r="C68" i="3"/>
  <c r="C69" i="3"/>
  <c r="C70" i="3"/>
  <c r="C71" i="3"/>
  <c r="C72" i="3"/>
  <c r="C73" i="3"/>
  <c r="C74" i="3"/>
  <c r="C75" i="3"/>
  <c r="C76" i="3"/>
  <c r="C77" i="3"/>
  <c r="C66" i="3"/>
  <c r="C39" i="3"/>
  <c r="C40" i="3"/>
  <c r="C41" i="3"/>
  <c r="C42" i="3"/>
  <c r="C43" i="3"/>
  <c r="C44" i="3"/>
  <c r="C45" i="3"/>
  <c r="C46" i="3"/>
  <c r="C47" i="3"/>
  <c r="C48" i="3"/>
  <c r="C49" i="3"/>
  <c r="C50" i="3"/>
  <c r="C51" i="3"/>
  <c r="C52" i="3"/>
  <c r="C53" i="3"/>
  <c r="C54" i="3"/>
  <c r="C55" i="3"/>
  <c r="C56" i="3"/>
  <c r="C57" i="3"/>
  <c r="C58" i="3"/>
  <c r="C59" i="3"/>
  <c r="C60" i="3"/>
  <c r="C61" i="3"/>
  <c r="C62" i="3"/>
  <c r="C63" i="3"/>
  <c r="C64" i="3"/>
  <c r="C65"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P222" i="3"/>
  <c r="P223" i="3"/>
  <c r="P224" i="3"/>
  <c r="P225" i="3"/>
  <c r="P226" i="3"/>
  <c r="P227" i="3"/>
  <c r="P228" i="3"/>
  <c r="P221" i="3"/>
  <c r="P213" i="3"/>
  <c r="P214" i="3"/>
  <c r="P215" i="3"/>
  <c r="P216" i="3"/>
  <c r="P217" i="3"/>
  <c r="P218" i="3"/>
  <c r="P219" i="3"/>
  <c r="P220" i="3"/>
  <c r="P206" i="3"/>
  <c r="P207" i="3"/>
  <c r="P208" i="3"/>
  <c r="P209" i="3"/>
  <c r="P210" i="3"/>
  <c r="P211" i="3"/>
  <c r="P212" i="3"/>
  <c r="P205" i="3"/>
  <c r="P197" i="3"/>
  <c r="P198" i="3"/>
  <c r="P199" i="3"/>
  <c r="P200" i="3"/>
  <c r="P201" i="3"/>
  <c r="P202" i="3"/>
  <c r="P203" i="3"/>
  <c r="P204" i="3"/>
  <c r="P189" i="3"/>
  <c r="P190" i="3"/>
  <c r="P191" i="3"/>
  <c r="P192" i="3"/>
  <c r="P193" i="3"/>
  <c r="P194" i="3"/>
  <c r="P195" i="3"/>
  <c r="P196" i="3"/>
  <c r="P183" i="3"/>
  <c r="P184" i="3"/>
  <c r="P185" i="3"/>
  <c r="P186" i="3"/>
  <c r="P187" i="3"/>
  <c r="P188" i="3"/>
  <c r="B188" i="3"/>
  <c r="B187" i="3"/>
  <c r="B186" i="3"/>
  <c r="B185" i="3"/>
  <c r="B184" i="3"/>
  <c r="B183" i="3"/>
  <c r="P175" i="3"/>
  <c r="P176" i="3"/>
  <c r="P177" i="3"/>
  <c r="P178" i="3"/>
  <c r="P179" i="3"/>
  <c r="P180" i="3"/>
  <c r="P181" i="3"/>
  <c r="P182" i="3"/>
  <c r="B182" i="3"/>
  <c r="B181" i="3"/>
  <c r="B180" i="3"/>
  <c r="B179" i="3"/>
  <c r="B178" i="3"/>
  <c r="B177" i="3"/>
  <c r="B176" i="3"/>
  <c r="B175" i="3"/>
  <c r="P174" i="3" l="1"/>
  <c r="P168" i="3"/>
  <c r="P169" i="3"/>
  <c r="P170" i="3"/>
  <c r="P171" i="3"/>
  <c r="P172" i="3"/>
  <c r="P173" i="3"/>
  <c r="B174" i="3"/>
  <c r="B173" i="3"/>
  <c r="B172" i="3"/>
  <c r="B171" i="3"/>
  <c r="B170" i="3"/>
  <c r="B169" i="3"/>
  <c r="B168" i="3"/>
  <c r="B167" i="3"/>
  <c r="P167" i="3"/>
  <c r="B166" i="3"/>
  <c r="B165" i="3"/>
  <c r="B164" i="3"/>
  <c r="B163" i="3"/>
  <c r="B162" i="3"/>
  <c r="B161" i="3"/>
  <c r="B160" i="3"/>
  <c r="B159" i="3"/>
  <c r="P160" i="3"/>
  <c r="P161" i="3"/>
  <c r="P162" i="3"/>
  <c r="P163" i="3"/>
  <c r="P164" i="3"/>
  <c r="P165" i="3"/>
  <c r="P166" i="3"/>
  <c r="P159" i="3"/>
  <c r="P151" i="3"/>
  <c r="P152" i="3"/>
  <c r="P153" i="3"/>
  <c r="P154" i="3"/>
  <c r="P155" i="3"/>
  <c r="P156" i="3"/>
  <c r="P157" i="3"/>
  <c r="P158" i="3"/>
  <c r="B158" i="3"/>
  <c r="B157" i="3"/>
  <c r="B156" i="3"/>
  <c r="B155" i="3"/>
  <c r="B154" i="3"/>
  <c r="B153" i="3"/>
  <c r="B152" i="3"/>
  <c r="B151" i="3"/>
  <c r="P144" i="3" l="1"/>
  <c r="P145" i="3"/>
  <c r="P146" i="3"/>
  <c r="P147" i="3"/>
  <c r="P148" i="3"/>
  <c r="P149" i="3"/>
  <c r="P150" i="3"/>
  <c r="P143" i="3"/>
  <c r="P142" i="3"/>
  <c r="V150" i="3" l="1"/>
  <c r="V148" i="3"/>
  <c r="V146" i="3"/>
  <c r="V145" i="3"/>
  <c r="V143" i="3"/>
  <c r="P125" i="3" l="1"/>
  <c r="P126" i="3"/>
  <c r="P127" i="3"/>
  <c r="P128" i="3"/>
  <c r="P129" i="3"/>
  <c r="P130" i="3"/>
  <c r="P131" i="3"/>
  <c r="P132" i="3"/>
  <c r="P133" i="3"/>
  <c r="P134" i="3"/>
  <c r="P135" i="3"/>
  <c r="P136" i="3"/>
  <c r="P137" i="3"/>
  <c r="P138" i="3"/>
  <c r="P139" i="3"/>
  <c r="P140" i="3"/>
  <c r="P141" i="3"/>
  <c r="B140" i="3" l="1"/>
  <c r="B136" i="3"/>
  <c r="B135" i="3"/>
  <c r="B132" i="3"/>
  <c r="B131" i="3"/>
  <c r="B128" i="3"/>
  <c r="B127" i="3"/>
  <c r="B126" i="3"/>
  <c r="B130" i="3"/>
  <c r="B134" i="3"/>
  <c r="B138" i="3"/>
  <c r="B125" i="3"/>
  <c r="P124" i="3" l="1"/>
  <c r="B124" i="3"/>
  <c r="P123" i="3"/>
  <c r="B123" i="3"/>
  <c r="P122" i="3"/>
  <c r="B122" i="3"/>
  <c r="P121" i="3"/>
  <c r="B121" i="3"/>
  <c r="P120" i="3" l="1"/>
  <c r="B120" i="3"/>
  <c r="P119" i="3"/>
  <c r="B119" i="3"/>
  <c r="V119" i="3"/>
  <c r="AB119" i="3"/>
  <c r="V118" i="3"/>
  <c r="P118" i="3"/>
  <c r="B118" i="3"/>
  <c r="AB118" i="3"/>
  <c r="V117" i="3"/>
  <c r="P117" i="3"/>
  <c r="B117" i="3"/>
  <c r="V105" i="3"/>
  <c r="V104"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2" i="3"/>
  <c r="B115" i="3" l="1"/>
  <c r="B112" i="3"/>
  <c r="B111" i="3"/>
  <c r="B114" i="3"/>
  <c r="B113" i="3"/>
  <c r="B110" i="3"/>
  <c r="B104" i="3"/>
  <c r="B109" i="3"/>
  <c r="B108" i="3"/>
  <c r="B107" i="3"/>
  <c r="B105" i="3"/>
  <c r="B106" i="3" l="1"/>
  <c r="B99" i="3"/>
  <c r="B100" i="3"/>
  <c r="B101" i="3"/>
  <c r="B102" i="3"/>
  <c r="B98" i="3"/>
  <c r="B79" i="3"/>
  <c r="B80" i="3"/>
  <c r="B81" i="3"/>
  <c r="B82" i="3"/>
  <c r="B83" i="3"/>
  <c r="B84" i="3"/>
  <c r="B85" i="3"/>
  <c r="B86" i="3"/>
  <c r="B87" i="3"/>
  <c r="B88" i="3"/>
  <c r="B89" i="3"/>
  <c r="B90" i="3"/>
  <c r="B91" i="3"/>
  <c r="B92" i="3"/>
  <c r="B93" i="3"/>
  <c r="B94" i="3"/>
  <c r="B95" i="3"/>
  <c r="B96" i="3"/>
  <c r="B97" i="3"/>
  <c r="B77" i="3" l="1"/>
  <c r="B103" i="3" l="1"/>
  <c r="T30" i="3"/>
  <c r="T31" i="3"/>
  <c r="T32" i="3"/>
  <c r="T33" i="3"/>
  <c r="T34" i="3"/>
  <c r="T35" i="3"/>
  <c r="T36" i="3"/>
  <c r="T37" i="3"/>
  <c r="T29" i="3"/>
  <c r="T12" i="3"/>
  <c r="T13" i="3"/>
  <c r="T14" i="3"/>
  <c r="T15" i="3"/>
  <c r="T16" i="3"/>
  <c r="T17" i="3"/>
  <c r="T18" i="3"/>
  <c r="T19" i="3"/>
  <c r="T11" i="3"/>
  <c r="T2" i="3"/>
  <c r="T3" i="3"/>
  <c r="T4" i="3"/>
  <c r="T5" i="3"/>
  <c r="T6" i="3"/>
  <c r="T7" i="3"/>
  <c r="T8" i="3"/>
  <c r="T9" i="3"/>
  <c r="T10" i="3"/>
  <c r="T21" i="3"/>
  <c r="T22" i="3"/>
  <c r="T23" i="3"/>
  <c r="T24" i="3"/>
  <c r="T25" i="3"/>
  <c r="T26" i="3"/>
  <c r="T27" i="3"/>
  <c r="T28" i="3"/>
  <c r="T20" i="3"/>
  <c r="B75" i="3"/>
  <c r="B74" i="3"/>
  <c r="B73" i="3"/>
  <c r="B72" i="3"/>
  <c r="B71" i="3"/>
  <c r="B70" i="3"/>
  <c r="B69" i="3"/>
  <c r="B68" i="3"/>
  <c r="B66" i="3"/>
  <c r="B67" i="3"/>
  <c r="B76" i="3"/>
  <c r="B42" i="3"/>
  <c r="B43" i="3"/>
  <c r="B44" i="3"/>
  <c r="B45" i="3"/>
  <c r="B46" i="3"/>
  <c r="B47" i="3"/>
  <c r="B48" i="3"/>
  <c r="B49" i="3"/>
  <c r="B50" i="3"/>
  <c r="B51" i="3"/>
  <c r="B52" i="3"/>
  <c r="B53" i="3"/>
  <c r="B54" i="3"/>
  <c r="B55" i="3"/>
  <c r="B56" i="3"/>
  <c r="B57" i="3"/>
  <c r="B58" i="3"/>
  <c r="B59" i="3"/>
  <c r="B60" i="3"/>
  <c r="B61" i="3"/>
  <c r="B62" i="3"/>
  <c r="B63" i="3"/>
  <c r="B64" i="3"/>
  <c r="B65" i="3"/>
  <c r="B41" i="3" l="1"/>
  <c r="B40" i="3"/>
  <c r="B39" i="3"/>
  <c r="B38" i="3"/>
  <c r="B37" i="3" l="1"/>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<sst xmlns="http://schemas.openxmlformats.org/spreadsheetml/2006/main" count="1082" uniqueCount="272">
  <si>
    <t>St18g_250-224</t>
  </si>
  <si>
    <t>St18g_224-200</t>
  </si>
  <si>
    <t>St18g_200-180</t>
  </si>
  <si>
    <t>St18g_180-150</t>
  </si>
  <si>
    <t>St18g_150-125</t>
  </si>
  <si>
    <t>St18g_125-100</t>
  </si>
  <si>
    <t>St18g_100-75</t>
  </si>
  <si>
    <t>St18g_75-50</t>
  </si>
  <si>
    <t>St18g_50-20</t>
  </si>
  <si>
    <t>GS_um</t>
  </si>
  <si>
    <t>SiO2</t>
  </si>
  <si>
    <t>TiO2</t>
  </si>
  <si>
    <t>Al2O3</t>
  </si>
  <si>
    <t>MnO</t>
  </si>
  <si>
    <t>MgO</t>
  </si>
  <si>
    <t>CaO</t>
  </si>
  <si>
    <t>Na2O</t>
  </si>
  <si>
    <t>K2O</t>
  </si>
  <si>
    <t>P2O5</t>
  </si>
  <si>
    <t>St14g_250_224</t>
  </si>
  <si>
    <t>St14g_224_200</t>
  </si>
  <si>
    <t>St14g_200_180</t>
  </si>
  <si>
    <t>St14g_180_150</t>
  </si>
  <si>
    <t>St14g_150_125</t>
  </si>
  <si>
    <t>St14g_125_100</t>
  </si>
  <si>
    <t>St14g_100_75</t>
  </si>
  <si>
    <t>St14g_75_50</t>
  </si>
  <si>
    <t>St14g_50_20</t>
  </si>
  <si>
    <t>sptr_name</t>
  </si>
  <si>
    <t>St8g_250_224</t>
  </si>
  <si>
    <t>St8g_224_200</t>
  </si>
  <si>
    <t>St8g_200_180</t>
  </si>
  <si>
    <t>St8g_180_150</t>
  </si>
  <si>
    <t>St8g_150_125</t>
  </si>
  <si>
    <t>St8g_125_100</t>
  </si>
  <si>
    <t>St8g_100_75</t>
  </si>
  <si>
    <t>St8g_75_50</t>
  </si>
  <si>
    <t>St8g_50_20</t>
  </si>
  <si>
    <t>Py7MMg_250_224</t>
  </si>
  <si>
    <t>Py7MMg_224_200</t>
  </si>
  <si>
    <t>Py7MMg_200_180</t>
  </si>
  <si>
    <t>Py7MMg_180_150</t>
  </si>
  <si>
    <t>Py7MMg_150_125</t>
  </si>
  <si>
    <t>Py7MMg_125_100</t>
  </si>
  <si>
    <t>Py7MMg_100_75</t>
  </si>
  <si>
    <t>Py7MMg_75_50</t>
  </si>
  <si>
    <t>Py7MMg_50_20</t>
  </si>
  <si>
    <t>sl_400_2200</t>
  </si>
  <si>
    <t>Cr2O3</t>
  </si>
  <si>
    <t>MARS_ALK-2</t>
  </si>
  <si>
    <t>MARS_ALK-1</t>
  </si>
  <si>
    <t>MARS_ALK+0</t>
  </si>
  <si>
    <t>MARS_VUL-1</t>
  </si>
  <si>
    <t>MARS_VUL-2</t>
  </si>
  <si>
    <t>MARS_VUL+0</t>
  </si>
  <si>
    <t>MARS_VUL+1</t>
  </si>
  <si>
    <t>MARS_VUL+2</t>
  </si>
  <si>
    <t>MARS_ALK+1</t>
  </si>
  <si>
    <t>MARS_BLK-2</t>
  </si>
  <si>
    <t>MARS_BLK-1</t>
  </si>
  <si>
    <t>MARS_ALK+2</t>
  </si>
  <si>
    <t>MARS_BLK+1</t>
  </si>
  <si>
    <t>MOON_CRUST</t>
  </si>
  <si>
    <t>MERCURY_Fe</t>
  </si>
  <si>
    <t>MOON_ORANGE</t>
  </si>
  <si>
    <t>MOON_RED</t>
  </si>
  <si>
    <t>MOON_YELLOW</t>
  </si>
  <si>
    <t>MARS_ALK1300</t>
  </si>
  <si>
    <t>MARS_ALK1400</t>
  </si>
  <si>
    <t>MARS_ALK1500</t>
  </si>
  <si>
    <t>MOON_GREEN</t>
  </si>
  <si>
    <t>MOON_MARE</t>
  </si>
  <si>
    <t>MERCURY</t>
  </si>
  <si>
    <t>MERCURY_Ti</t>
  </si>
  <si>
    <t>MERCURY_Cr</t>
  </si>
  <si>
    <t>FeO</t>
  </si>
  <si>
    <t xml:space="preserve">MARS_BLK+0 </t>
  </si>
  <si>
    <t xml:space="preserve">MARS_BLK+2 </t>
  </si>
  <si>
    <t>Fe3_Fe_tot</t>
  </si>
  <si>
    <t>B</t>
  </si>
  <si>
    <t>B8</t>
  </si>
  <si>
    <t>B6</t>
  </si>
  <si>
    <t>B4</t>
  </si>
  <si>
    <t>B2</t>
  </si>
  <si>
    <t>RB</t>
  </si>
  <si>
    <t>S</t>
  </si>
  <si>
    <t>S7</t>
  </si>
  <si>
    <t>S5</t>
  </si>
  <si>
    <t>S3</t>
  </si>
  <si>
    <t>RS</t>
  </si>
  <si>
    <t>M</t>
  </si>
  <si>
    <t>M5</t>
  </si>
  <si>
    <t>MST-25</t>
  </si>
  <si>
    <t>MST-1</t>
  </si>
  <si>
    <t>MST-16</t>
  </si>
  <si>
    <t>MST-26</t>
  </si>
  <si>
    <t>MST-28</t>
  </si>
  <si>
    <t>MST-14</t>
  </si>
  <si>
    <t>MST-12</t>
  </si>
  <si>
    <t>MST-19</t>
  </si>
  <si>
    <t>MST-13</t>
  </si>
  <si>
    <t>ND</t>
  </si>
  <si>
    <t>MST-25b</t>
  </si>
  <si>
    <t>Glass_vol%</t>
  </si>
  <si>
    <t>Pig_vol%</t>
  </si>
  <si>
    <t>Aug_vol%</t>
  </si>
  <si>
    <t>Plag_vol%</t>
  </si>
  <si>
    <t>Mag_vol%</t>
  </si>
  <si>
    <t>MST-25c</t>
  </si>
  <si>
    <t>InterH80a</t>
  </si>
  <si>
    <t>InterH80b</t>
  </si>
  <si>
    <t>c1mm76a</t>
  </si>
  <si>
    <t>R415_R750</t>
  </si>
  <si>
    <t>FeO+TiO2</t>
  </si>
  <si>
    <t>T_closure</t>
  </si>
  <si>
    <t>MST-16_ox1</t>
  </si>
  <si>
    <t>Oxdtn_durt_h</t>
  </si>
  <si>
    <t>MST-16_ox3</t>
  </si>
  <si>
    <t>MST-19_ox1</t>
  </si>
  <si>
    <t>MST-19_ox7</t>
  </si>
  <si>
    <t>MST-19_ox3</t>
  </si>
  <si>
    <t>MST-16_ox7</t>
  </si>
  <si>
    <t>MST-13_ox1</t>
  </si>
  <si>
    <t>MST-13_ox7</t>
  </si>
  <si>
    <t>JSC_40_80</t>
  </si>
  <si>
    <t>JSC_80_125</t>
  </si>
  <si>
    <t>JSC_125_200</t>
  </si>
  <si>
    <t>JSC_200_300</t>
  </si>
  <si>
    <t>F_glass_40</t>
  </si>
  <si>
    <t>F_glass_40_80</t>
  </si>
  <si>
    <t>F_glass_125_200</t>
  </si>
  <si>
    <t>F_glass_200_300</t>
  </si>
  <si>
    <t>S_glass_40</t>
  </si>
  <si>
    <t>S_glass_40_80</t>
  </si>
  <si>
    <t>S_glass_80_125</t>
  </si>
  <si>
    <t>S_glass_200_300</t>
  </si>
  <si>
    <t>L_glass_40</t>
  </si>
  <si>
    <t>L_glass_40_80</t>
  </si>
  <si>
    <t>L_glass_125_200</t>
  </si>
  <si>
    <t>L_glass_200_300</t>
  </si>
  <si>
    <t>JSC_40</t>
  </si>
  <si>
    <t>PB13-004A</t>
  </si>
  <si>
    <t>NMB12-01</t>
  </si>
  <si>
    <t>NMB12-09</t>
  </si>
  <si>
    <t>NMB12--14</t>
  </si>
  <si>
    <t>Hf-06</t>
  </si>
  <si>
    <t>Hf-07</t>
  </si>
  <si>
    <t>CH-08</t>
  </si>
  <si>
    <t>PB13-011B</t>
  </si>
  <si>
    <t>CH-02</t>
  </si>
  <si>
    <t>groundmass</t>
  </si>
  <si>
    <t>Glass 1_0_37um</t>
  </si>
  <si>
    <t>Glass 2_0_37um</t>
  </si>
  <si>
    <t>Glass 3_0_37um</t>
  </si>
  <si>
    <t>Glass 10_0_37um</t>
  </si>
  <si>
    <t>Glass 11_0_37um</t>
  </si>
  <si>
    <t>Glass 12_0_37um</t>
  </si>
  <si>
    <t>Glass 14_0_37um</t>
  </si>
  <si>
    <t>Glass 28_0_37um</t>
  </si>
  <si>
    <t>Glass 29_0_37um</t>
  </si>
  <si>
    <t>Glass 30_0_37um</t>
  </si>
  <si>
    <t>Glass 31_0_37um</t>
  </si>
  <si>
    <t>Glass 32_0_37um</t>
  </si>
  <si>
    <t>Glass 33_0_37um</t>
  </si>
  <si>
    <t>Glass 39_0_37um</t>
  </si>
  <si>
    <t>Glass 40_0_37um</t>
  </si>
  <si>
    <t>Glass 41_0_37um</t>
  </si>
  <si>
    <t>Glass 43_0_37um</t>
  </si>
  <si>
    <t>Glass 44_0_37um</t>
  </si>
  <si>
    <t>Glass 45_0_37um</t>
  </si>
  <si>
    <t>Glass 1_37_74um</t>
  </si>
  <si>
    <t>Glass 39_37_74um</t>
  </si>
  <si>
    <t>Glass 40_37_74um</t>
  </si>
  <si>
    <t>Glass 41_37_74um</t>
  </si>
  <si>
    <t>Glass 45_37_74um</t>
  </si>
  <si>
    <t>D_0_25</t>
  </si>
  <si>
    <t>D_25_63</t>
  </si>
  <si>
    <t>D_63_100</t>
  </si>
  <si>
    <t>D_100_125</t>
  </si>
  <si>
    <t>D_125_150</t>
  </si>
  <si>
    <t>D_150_180</t>
  </si>
  <si>
    <t>D_180_200</t>
  </si>
  <si>
    <t>D_200_250</t>
  </si>
  <si>
    <t>M_0_25</t>
  </si>
  <si>
    <t>M_25_63</t>
  </si>
  <si>
    <t>M_63_100</t>
  </si>
  <si>
    <t>M_100_125</t>
  </si>
  <si>
    <t>M_125_150</t>
  </si>
  <si>
    <t>M_150_180</t>
  </si>
  <si>
    <t>M_180_200</t>
  </si>
  <si>
    <t>M_200_250</t>
  </si>
  <si>
    <t>E_0_25</t>
  </si>
  <si>
    <t>E_25_63</t>
  </si>
  <si>
    <t>E_63_100</t>
  </si>
  <si>
    <t>E_100_125</t>
  </si>
  <si>
    <t>E_125_150</t>
  </si>
  <si>
    <t>E_150_180</t>
  </si>
  <si>
    <t>E_180_200</t>
  </si>
  <si>
    <t>E_200_250</t>
  </si>
  <si>
    <t>W_0_25</t>
  </si>
  <si>
    <t>W_25_63</t>
  </si>
  <si>
    <t>W_63_100</t>
  </si>
  <si>
    <t>W_100_125</t>
  </si>
  <si>
    <t>W_125_150</t>
  </si>
  <si>
    <t>W_150_180</t>
  </si>
  <si>
    <t>W_180_200</t>
  </si>
  <si>
    <t>W_200_250</t>
  </si>
  <si>
    <t>L_0_25</t>
  </si>
  <si>
    <t>L_25_63</t>
  </si>
  <si>
    <t>L_63_100</t>
  </si>
  <si>
    <t>L_100_125</t>
  </si>
  <si>
    <t>L_180_250</t>
  </si>
  <si>
    <t>L_125_180</t>
  </si>
  <si>
    <t>T_0_25</t>
  </si>
  <si>
    <t>T_25_63</t>
  </si>
  <si>
    <t>T_63_100</t>
  </si>
  <si>
    <t>T_100_125</t>
  </si>
  <si>
    <t>T_125_150</t>
  </si>
  <si>
    <t>T_150_180</t>
  </si>
  <si>
    <t>T_180_200</t>
  </si>
  <si>
    <t>T_200_250</t>
  </si>
  <si>
    <t>N_0_25</t>
  </si>
  <si>
    <t>N_25_63</t>
  </si>
  <si>
    <t>N_63_100</t>
  </si>
  <si>
    <t>N_100_125</t>
  </si>
  <si>
    <t>N_125_150</t>
  </si>
  <si>
    <t>N_150_180</t>
  </si>
  <si>
    <t>N_180_200</t>
  </si>
  <si>
    <t>N_200_250</t>
  </si>
  <si>
    <t>V_0_25</t>
  </si>
  <si>
    <t>V_25_63</t>
  </si>
  <si>
    <t>V_63_100</t>
  </si>
  <si>
    <t>V_100_125</t>
  </si>
  <si>
    <t>V_125_150</t>
  </si>
  <si>
    <t>V_150_180</t>
  </si>
  <si>
    <t>V_180_200</t>
  </si>
  <si>
    <t>V_200_250</t>
  </si>
  <si>
    <t>I_0_25</t>
  </si>
  <si>
    <t>I_25_63</t>
  </si>
  <si>
    <t>I_63_100</t>
  </si>
  <si>
    <t>I_100_125</t>
  </si>
  <si>
    <t>I_125_150</t>
  </si>
  <si>
    <t>I_150_180</t>
  </si>
  <si>
    <t>I_180_200</t>
  </si>
  <si>
    <t>I_200_250</t>
  </si>
  <si>
    <t>P_0_25</t>
  </si>
  <si>
    <t>P_25_63</t>
  </si>
  <si>
    <t>P_63_100</t>
  </si>
  <si>
    <t>P_100_125</t>
  </si>
  <si>
    <t>P_125_150</t>
  </si>
  <si>
    <t>P_150_180</t>
  </si>
  <si>
    <t>P_180_200</t>
  </si>
  <si>
    <t>P_200_250</t>
  </si>
  <si>
    <t>std_dev_GS</t>
  </si>
  <si>
    <t>LOI</t>
  </si>
  <si>
    <t>avrg_refl</t>
  </si>
  <si>
    <t>References</t>
  </si>
  <si>
    <t>Notes</t>
  </si>
  <si>
    <t>Spectra as electronic files in the supplementary materials. No resampling to 1 nm
Ancillary information present in the original paper</t>
  </si>
  <si>
    <t>Carli, C., Roush, T. L., Pedrazzi, G., &amp; Capaccioni, F. (2016). Visible and Near-Infrared (VNIR) reflectance spectroscopy of glassy igneous material: Spectral variation, retrieving optical constants and particle sizes by Hapke model. Icarus, 266, 267-278. https://doi.org/10.1016/j.icarus.2015.10.032</t>
  </si>
  <si>
    <t>Cannon, K. M., Mustard, J. F., Parman, S. W., Sklute, E. C., Dyar, M. D., &amp; Cooper, R. F. (2017). Spectral properties of Martian and other planetary glasses and their detection in remotely sensed data. Journal of Geophysical Research: Planets, 122(1), 249-268.  https://doi.org/10.1002/2016JE005219</t>
  </si>
  <si>
    <t>Spectra as electronic files in the supplementary materials. Resampled to 1nm
Ancillary information as online supplementary materials. Note that for the "MOON" and "MERCURY" samples: Fe3+/Fe_TOT = 0 since the Authors stated that no Fe3+ was present in the samples. No information of Fe redox state for the samples MARS_ALK1300, MARS_ALK1400 and MARS_ALK1500</t>
  </si>
  <si>
    <t>Pisello, A., De Angelis, S., Ferrari, M., Porreca, M., Vetere, F. P., Behrens, H., ... &amp; Perugini, D. (2022). Visible and near-InfraRed (VNIR) reflectance of silicate glasses: Characterization of a featureless spectrum and implications for planetary geology. Icarus, 374, 114801. https://doi.org/10.1016/j.icarus.2021.114801</t>
  </si>
  <si>
    <t>Spectra digitized from the paper's plots. Resamples to 1 nm. Ancillary information available in the original paper. No Fe redox state information for samples B2, B4 and S</t>
  </si>
  <si>
    <t>Stockstill‐Cahill, K. R., Blewett, D. T., Cahill, J. T., Denevi, B. W., Lawrence, S. J., &amp; Coman, E. I. (2014). Spectra of the Wells lunar glass simulants: New old data for reflectance modeling. Journal of Geophysical Research: Planets, 119(5), 925-940.    https://doi.org/10.1002/2013JE004600</t>
  </si>
  <si>
    <t>Specta as online supplemental online materials. Resampled to 1 nm. Ancillary information present in the paper with the exception of Fe3+/Fe_TOT which was set to a value of 0.01 as indicated in the paper "Wells, E., and B. Hapke (1977), Lunar soil: Iron and titanium bands in the glass fraction, Science, 195(4282), 977–979."</t>
  </si>
  <si>
    <t>Minitti, M. E., Mustard, J. F., &amp; Rutherford, M. J. (2002). Effects of glass content and oxidation on the spectra of SNC‐like basalts: Applications to Mars remote sensing. Journal of Geophysical Research: Planets, 107(E5), 6-1.   https://doi.org/10.1029/2001JE001518</t>
  </si>
  <si>
    <t>Moroz, L. V., Basilevsky, A. T., Hiroi, T., Rout, S. S., Baither, D., Van Der Bogert, C. H., ... &amp; Pieters, C. M. (2009). Spectral properties of simulated impact glasses produced from martian soil analogue JSC Mars-1. Icarus, 202(1), 336-353.  https://doi.org/10.1016/j.icarus.2009.02.007</t>
  </si>
  <si>
    <t>Farrand, W. H., Wright, S. P., Rogers, A. D., &amp; Glotch, T. D. (2016). Basaltic glass formed from hydrovolcanism and impact processes: Characterization and clues for detection of mode of origin from VNIR through MWIR reflectance and emission spectroscopy. Icarus, 275, 16-28.  https://doi.org/10.1016/j.icarus.2016.03.027</t>
  </si>
  <si>
    <t>Spectra available on RELAB database @ https://pds-speclib.rsl.wustl.edu/search.aspx?catalog=RELAB     Resempled to 1 nm. Ancillary information (chemistry and Fe3+/Fe_Tot) available as supplementary materials in the related article Farrand, W. H., Wright, S. P., Glotch, T. D., Schröder, C., Sklute, E. C., &amp; Dyar, M. D. (2018). Spectroscopic examinations of hydro-and glaciovolcanic basaltic tuffs: Modes of alteration and relevance for Mars. Icarus, 309, 241-259.</t>
  </si>
  <si>
    <t>Spectra digitized from the paper's plots. Resamples to 1 nm. Ancillary information available in the original paper and supporting online materials. No Fe redox state information available</t>
  </si>
  <si>
    <t>Spectra digitized from the paper's plots and resampled to 1 nm. Ancillary information (chemical composition) retrieved from Basilevsky, A.T., Yakovlev, O.I., Fisenko, A.V., Semjonova, L.F., Semenova, A.S., Barsukova,
L.D., Roshchina, I.A., Galuzinskaya, A.Kh., Stroganov, I.A., Moroz, L.V.,
Pieters, C.M., Hiroi, T., Zinovieva, N.G., 2000. Simulation of impact melting effect
on optical properties of martian regolith. Lunar Planet. Sci. XXXI. Abstract
1214.   Fe3+/Fe_TOT recaulculated from the Fe at%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</si>
</sst>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00"/>
  </numFmts>
  <fonts count="9">
    <font>
      <sz val="11"/>
      <color theme="1"/>
      <name val="Calibri"/>
      <family val="2"/>
      <scheme val="minor"/>
    </font>
    <font>
      <b/>
      <sz val="11"/>
      <color rgb="FF0000CC"/>
      <name val="Calibri"/>
      <family val="2"/>
      <scheme val="minor"/>
    </font>
    <font>
      <sz val="10"/>
      <color rgb="FF000000"/>
      <name val="Arial Unicode MS"/>
      <family val="2"/>
    </font>
    <font>
      <sz val="11"/>
      <color rgb="FF000000"/>
      <name val="Calibri"/>
      <family val="2"/>
      <scheme val="minor"/>
    </font>
    <font>
      <b/>
      <sz val="10"/>
      <color rgb="FF0000CC"/>
      <name val="Arial Unicode MS"/>
      <family val="2"/>
    </font>
    <font>
      <sz val="8"/>
      <name val="Calibri"/>
      <family val="2"/>
      <scheme val="minor"/>
    </font>
    <font>
      <sz val="11"/>
      <color theme="9" tint="-0.249977111117893"/>
      <name val="Calibri"/>
      <family val="2"/>
      <scheme val="minor"/>
    </font>
    <font>
      <sz val="11"/>
      <color rgb="FFFF000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0" fillId="0" borderId="0" xfId="0" applyAlignment="1">
      <alignment horizontal="right"/>
    </xf>
    <xf numFmtId="0" fontId="0" fillId="0" borderId="0" xfId="0" applyFill="1"/>
    <xf numFmtId="164" fontId="0" fillId="0" borderId="0" xfId="0" applyNumberFormat="1"/>
    <xf numFmtId="164" fontId="0" fillId="0" borderId="0" xfId="0" applyNumberFormat="1" applyFill="1"/>
    <xf numFmtId="165" fontId="0" fillId="0" borderId="0" xfId="0" applyNumberFormat="1" applyFill="1"/>
    <xf numFmtId="0" fontId="0" fillId="0" borderId="0" xfId="0" applyFill="1" applyAlignment="1">
      <alignment horizontal="right"/>
    </xf>
    <xf numFmtId="0" fontId="1" fillId="0" borderId="0" xfId="0" applyFont="1" applyAlignment="1">
      <alignment horizontal="right"/>
    </xf>
    <xf numFmtId="0" fontId="0" fillId="0" borderId="0" xfId="0" applyAlignment="1">
      <alignment vertical="center"/>
    </xf>
    <xf numFmtId="0" fontId="2" fillId="0" borderId="0" xfId="0" applyFont="1" applyAlignment="1">
      <alignment vertical="center"/>
    </xf>
    <xf numFmtId="164"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right" vertical="center"/>
    </xf>
    <xf numFmtId="0" fontId="4" fillId="0" borderId="0" xfId="0" applyFont="1" applyAlignment="1">
      <alignment horizontal="right" vertical="center"/>
    </xf>
    <xf numFmtId="11" fontId="0" fillId="0" borderId="0" xfId="0" applyNumberFormat="1"/>
    <xf numFmtId="0" fontId="1" fillId="0" borderId="0" xfId="0" applyFont="1" applyAlignment="1">
      <alignment horizontal="right" vertical="center"/>
    </xf>
    <xf numFmtId="0" fontId="6" fillId="0" borderId="0" xfId="0" applyFont="1"/>
    <xf numFmtId="2" fontId="0" fillId="0" borderId="0" xfId="0" applyNumberFormat="1"/>
    <xf numFmtId="0" fontId="7"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0" fontId="3" fillId="0" borderId="0" xfId="0" applyFont="1" applyAlignment="1">
      <alignment horizontal="left"/>
    </xf>
    <xf numFmtId="11" fontId="0" fillId="0" borderId="0" xfId="0" applyNumberFormat="1" applyAlignment="1">
      <alignment horizontal="right"/>
    </xf>
    <xf numFmtId="11" fontId="0" fillId="0" borderId="0" xfId="0" applyNumberFormat="1" applyFill="1"/>
    <xf numFmtId="0" fontId="0" fillId="0" borderId="1" xfId="0" applyBorder="1" applyAlignment="1">
      <alignment horizontal="left"/>
    </xf>
    <xf numFmtId="0" fontId="0" fillId="0" borderId="1" xfId="0" applyFill="1" applyBorder="1"/>
    <xf numFmtId="164" fontId="0" fillId="0" borderId="1" xfId="0" applyNumberFormat="1" applyFill="1" applyBorder="1"/>
    <xf numFmtId="164" fontId="0" fillId="0" borderId="1" xfId="0" applyNumberFormat="1" applyBorder="1"/>
    <xf numFmtId="165" fontId="0" fillId="0" borderId="1" xfId="0" applyNumberFormat="1" applyFill="1" applyBorder="1"/>
    <xf numFmtId="0" fontId="0" fillId="0" borderId="1" xfId="0" applyBorder="1"/>
    <xf numFmtId="0" fontId="2" fillId="0" borderId="1" xfId="0" applyFont="1" applyBorder="1" applyAlignment="1">
      <alignment vertical="center"/>
    </xf>
    <xf numFmtId="0" fontId="0" fillId="0" borderId="1" xfId="0" applyBorder="1" applyAlignment="1">
      <alignment vertical="center"/>
    </xf>
    <xf numFmtId="0" fontId="0" fillId="0" borderId="1" xfId="0" applyFill="1" applyBorder="1" applyAlignment="1">
      <alignment horizontal="right"/>
    </xf>
    <xf numFmtId="0" fontId="0" fillId="0" borderId="1" xfId="0" applyBorder="1" applyAlignment="1">
      <alignment horizontal="center"/>
    </xf>
    <xf numFmtId="11" fontId="0" fillId="0" borderId="1" xfId="0" applyNumberFormat="1" applyBorder="1"/>
    <xf numFmtId="0" fontId="8" fillId="0" borderId="0" xfId="0" applyFont="1" applyAlignment="1">
      <alignment vertical="center"/>
    </xf>
    <xf numFmtId="0" fontId="0" fillId="0" borderId="2" xfId="0" applyBorder="1"/>
    <xf numFmtId="0" fontId="0" fillId="0" borderId="0" xfId="0" applyBorder="1"/>
    <xf numFmtId="0" fontId="8" fillId="0" borderId="2" xfId="0" applyFont="1" applyBorder="1" applyAlignment="1">
      <alignment horizontal="left" vertical="center"/>
    </xf>
    <xf numFmtId="0" fontId="8" fillId="0" borderId="2" xfId="0" applyFont="1" applyBorder="1" applyAlignment="1">
      <alignment horizontal="center" vertical="center"/>
    </xf>
    <xf numFmtId="0" fontId="0" fillId="0" borderId="0"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1">
    <cellStyle name="Normale" xfId="0" builtinId="0"/>
  </cellStyles>
  <dxfs count="0"/>
  <tableStyles count="0" defaultTableStyle="TableStyleMedium2" defaultPivotStyle="PivotStyleMedium9"/>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08"/>
  <sheetViews>
    <sheetView tabSelected="1" zoomScaleNormal="100" workbookViewId="0">
      <pane ySplit="1" topLeftCell="A141" activePane="bottomLeft" state="frozen"/>
      <selection pane="bottomLeft" activeCell="A142" sqref="A142:A150"/>
    </sheetView>
  </sheetViews>
  <sheetFormatPr defaultRowHeight="15"/>
  <cols>
    <col min="1" max="1" width="16.85546875" style="20" customWidth="1"/>
    <col min="8" max="8" width="10.7109375" bestFit="1" customWidth="1"/>
    <col min="14" max="16" width="10.42578125" customWidth="1"/>
    <col min="17" max="19" width="18.140625" customWidth="1"/>
    <col min="20" max="20" width="14.85546875" customWidth="1"/>
    <col min="21" max="21" width="10.28515625" customWidth="1"/>
    <col min="22" max="26" width="12.5703125" customWidth="1"/>
    <col min="27" max="27" width="13.85546875" customWidth="1"/>
    <col min="28" max="28" width="15" style="8" customWidth="1"/>
  </cols>
  <sheetData>
    <row r="1" spans="1:30" s="8" customFormat="1" ht="20.25" customHeight="1">
      <c r="A1" s="21" t="s">
        <v>28</v>
      </c>
      <c r="B1" s="15" t="s">
        <v>9</v>
      </c>
      <c r="C1" s="15" t="s">
        <v>253</v>
      </c>
      <c r="D1" s="15" t="s">
        <v>10</v>
      </c>
      <c r="E1" s="15" t="s">
        <v>11</v>
      </c>
      <c r="F1" s="15" t="s">
        <v>12</v>
      </c>
      <c r="G1" s="15" t="s">
        <v>48</v>
      </c>
      <c r="H1" s="15" t="s">
        <v>75</v>
      </c>
      <c r="I1" s="15" t="s">
        <v>13</v>
      </c>
      <c r="J1" s="15" t="s">
        <v>14</v>
      </c>
      <c r="K1" s="15" t="s">
        <v>15</v>
      </c>
      <c r="L1" s="15" t="s">
        <v>16</v>
      </c>
      <c r="M1" s="15" t="s">
        <v>17</v>
      </c>
      <c r="N1" s="15" t="s">
        <v>18</v>
      </c>
      <c r="O1" s="15" t="s">
        <v>254</v>
      </c>
      <c r="P1" s="15" t="s">
        <v>113</v>
      </c>
      <c r="Q1" s="15" t="s">
        <v>47</v>
      </c>
      <c r="R1" s="15" t="s">
        <v>255</v>
      </c>
      <c r="S1" s="15" t="s">
        <v>112</v>
      </c>
      <c r="T1" s="15" t="s">
        <v>78</v>
      </c>
      <c r="U1" s="15" t="s">
        <v>114</v>
      </c>
      <c r="V1" s="15" t="s">
        <v>103</v>
      </c>
      <c r="W1" s="15" t="s">
        <v>104</v>
      </c>
      <c r="X1" s="15" t="s">
        <v>105</v>
      </c>
      <c r="Y1" s="13" t="s">
        <v>106</v>
      </c>
      <c r="Z1" s="15" t="s">
        <v>107</v>
      </c>
      <c r="AA1" s="15" t="s">
        <v>150</v>
      </c>
      <c r="AB1" s="15" t="s">
        <v>116</v>
      </c>
    </row>
    <row r="2" spans="1:30">
      <c r="A2" s="20" t="s">
        <v>0</v>
      </c>
      <c r="B2">
        <f>AVERAGE(250,224)</f>
        <v>237</v>
      </c>
      <c r="C2">
        <f>STDEV(250,224)</f>
        <v>18.384776310850235</v>
      </c>
      <c r="D2">
        <v>48.18</v>
      </c>
      <c r="E2">
        <v>0.08</v>
      </c>
      <c r="F2">
        <v>29.36</v>
      </c>
      <c r="G2">
        <v>0</v>
      </c>
      <c r="H2" s="3">
        <v>1.6016622517800445</v>
      </c>
      <c r="I2">
        <v>0.03</v>
      </c>
      <c r="J2">
        <v>1.92</v>
      </c>
      <c r="K2">
        <v>15.85</v>
      </c>
      <c r="L2">
        <v>2.2400000000000002</v>
      </c>
      <c r="M2">
        <v>0.08</v>
      </c>
      <c r="N2">
        <v>0.01</v>
      </c>
      <c r="O2">
        <v>0.23</v>
      </c>
      <c r="P2" s="3">
        <f>H2+E2</f>
        <v>1.6816622517800446</v>
      </c>
      <c r="Q2">
        <v>1.7165000000000003E-4</v>
      </c>
      <c r="R2" s="14">
        <v>0.28431576846307377</v>
      </c>
      <c r="S2">
        <v>0.41998568267603797</v>
      </c>
      <c r="T2" s="3">
        <f>50.8/(50.8+49.2)</f>
        <v>0.50800000000000001</v>
      </c>
      <c r="U2">
        <v>1350</v>
      </c>
      <c r="V2" s="3">
        <v>100</v>
      </c>
      <c r="W2">
        <v>0</v>
      </c>
      <c r="X2" s="9">
        <v>0</v>
      </c>
      <c r="Y2">
        <v>0</v>
      </c>
      <c r="Z2">
        <v>0</v>
      </c>
      <c r="AA2">
        <v>0</v>
      </c>
      <c r="AB2" s="8">
        <v>0</v>
      </c>
      <c r="AD2" s="3"/>
    </row>
    <row r="3" spans="1:30">
      <c r="A3" s="20" t="s">
        <v>1</v>
      </c>
      <c r="B3">
        <f>AVERAGE(224,200)</f>
        <v>212</v>
      </c>
      <c r="C3">
        <f>STDEV(224,200)</f>
        <v>16.970562748477139</v>
      </c>
      <c r="D3">
        <v>48.18</v>
      </c>
      <c r="E3">
        <v>0.08</v>
      </c>
      <c r="F3">
        <v>29.36</v>
      </c>
      <c r="G3">
        <v>0</v>
      </c>
      <c r="H3" s="3">
        <v>1.6016622517800445</v>
      </c>
      <c r="I3">
        <v>0.03</v>
      </c>
      <c r="J3">
        <v>1.92</v>
      </c>
      <c r="K3">
        <v>15.85</v>
      </c>
      <c r="L3">
        <v>2.2400000000000002</v>
      </c>
      <c r="M3">
        <v>0.08</v>
      </c>
      <c r="N3">
        <v>0.01</v>
      </c>
      <c r="O3">
        <v>0.23</v>
      </c>
      <c r="P3" s="3">
        <f t="shared" ref="P3:P66" si="0">H3+E3</f>
        <v>1.6816622517800446</v>
      </c>
      <c r="Q3">
        <v>1.8007777777777776E-4</v>
      </c>
      <c r="R3" s="14">
        <v>0.30006199600798406</v>
      </c>
      <c r="S3">
        <v>0.42204134686803657</v>
      </c>
      <c r="T3" s="3">
        <f t="shared" ref="T3:T10" si="1">50.8/(50.8+49.2)</f>
        <v>0.50800000000000001</v>
      </c>
      <c r="U3">
        <v>1350</v>
      </c>
      <c r="V3" s="3">
        <v>100</v>
      </c>
      <c r="W3">
        <v>0</v>
      </c>
      <c r="X3" s="9">
        <v>0</v>
      </c>
      <c r="Y3">
        <v>0</v>
      </c>
      <c r="Z3">
        <v>0</v>
      </c>
      <c r="AA3">
        <v>0</v>
      </c>
      <c r="AB3" s="8">
        <v>0</v>
      </c>
      <c r="AD3" s="3"/>
    </row>
    <row r="4" spans="1:30">
      <c r="A4" s="20" t="s">
        <v>2</v>
      </c>
      <c r="B4">
        <f>AVERAGE(200,180)</f>
        <v>190</v>
      </c>
      <c r="C4">
        <f>STDEV(200,180)</f>
        <v>14.142135623730951</v>
      </c>
      <c r="D4">
        <v>48.18</v>
      </c>
      <c r="E4">
        <v>0.08</v>
      </c>
      <c r="F4">
        <v>29.36</v>
      </c>
      <c r="G4">
        <v>0</v>
      </c>
      <c r="H4" s="3">
        <v>1.6016622517800445</v>
      </c>
      <c r="I4">
        <v>0.03</v>
      </c>
      <c r="J4">
        <v>1.92</v>
      </c>
      <c r="K4">
        <v>15.85</v>
      </c>
      <c r="L4">
        <v>2.2400000000000002</v>
      </c>
      <c r="M4">
        <v>0.08</v>
      </c>
      <c r="N4">
        <v>0.01</v>
      </c>
      <c r="O4">
        <v>0.23</v>
      </c>
      <c r="P4" s="3">
        <f t="shared" si="0"/>
        <v>1.6816622517800446</v>
      </c>
      <c r="Q4">
        <v>1.8360555555555557E-4</v>
      </c>
      <c r="R4" s="14">
        <v>0.31511375249500984</v>
      </c>
      <c r="S4">
        <v>0.43514582595347739</v>
      </c>
      <c r="T4" s="3">
        <f t="shared" si="1"/>
        <v>0.50800000000000001</v>
      </c>
      <c r="U4">
        <v>1350</v>
      </c>
      <c r="V4" s="3">
        <v>100</v>
      </c>
      <c r="W4">
        <v>0</v>
      </c>
      <c r="X4" s="9">
        <v>0</v>
      </c>
      <c r="Y4">
        <v>0</v>
      </c>
      <c r="Z4">
        <v>0</v>
      </c>
      <c r="AA4">
        <v>0</v>
      </c>
      <c r="AB4" s="8">
        <v>0</v>
      </c>
      <c r="AD4" s="3"/>
    </row>
    <row r="5" spans="1:30">
      <c r="A5" s="20" t="s">
        <v>3</v>
      </c>
      <c r="B5">
        <f>AVERAGE(180,150)</f>
        <v>165</v>
      </c>
      <c r="C5">
        <f>STDEV(180,150)</f>
        <v>21.213203435596427</v>
      </c>
      <c r="D5">
        <v>48.18</v>
      </c>
      <c r="E5">
        <v>0.08</v>
      </c>
      <c r="F5">
        <v>29.36</v>
      </c>
      <c r="G5">
        <v>0</v>
      </c>
      <c r="H5" s="3">
        <v>1.6016622517800445</v>
      </c>
      <c r="I5">
        <v>0.03</v>
      </c>
      <c r="J5">
        <v>1.92</v>
      </c>
      <c r="K5">
        <v>15.85</v>
      </c>
      <c r="L5">
        <v>2.2400000000000002</v>
      </c>
      <c r="M5">
        <v>0.08</v>
      </c>
      <c r="N5">
        <v>0.01</v>
      </c>
      <c r="O5">
        <v>0.23</v>
      </c>
      <c r="P5" s="3">
        <f t="shared" si="0"/>
        <v>1.6816622517800446</v>
      </c>
      <c r="Q5">
        <v>1.8477222222222224E-4</v>
      </c>
      <c r="R5" s="14">
        <v>0.35947604790419169</v>
      </c>
      <c r="S5">
        <v>0.48310061333681326</v>
      </c>
      <c r="T5" s="3">
        <f t="shared" si="1"/>
        <v>0.50800000000000001</v>
      </c>
      <c r="U5">
        <v>1350</v>
      </c>
      <c r="V5" s="3">
        <v>100</v>
      </c>
      <c r="W5">
        <v>0</v>
      </c>
      <c r="X5" s="9">
        <v>0</v>
      </c>
      <c r="Y5">
        <v>0</v>
      </c>
      <c r="Z5">
        <v>0</v>
      </c>
      <c r="AA5">
        <v>0</v>
      </c>
      <c r="AB5" s="8">
        <v>0</v>
      </c>
      <c r="AD5" s="3"/>
    </row>
    <row r="6" spans="1:30">
      <c r="A6" s="20" t="s">
        <v>4</v>
      </c>
      <c r="B6">
        <f>AVERAGE(150,125)</f>
        <v>137.5</v>
      </c>
      <c r="C6">
        <f>STDEV(150,125)</f>
        <v>17.677669529663689</v>
      </c>
      <c r="D6">
        <v>48.18</v>
      </c>
      <c r="E6">
        <v>0.08</v>
      </c>
      <c r="F6">
        <v>29.36</v>
      </c>
      <c r="G6">
        <v>0</v>
      </c>
      <c r="H6" s="3">
        <v>1.6016622517800445</v>
      </c>
      <c r="I6">
        <v>0.03</v>
      </c>
      <c r="J6">
        <v>1.92</v>
      </c>
      <c r="K6">
        <v>15.85</v>
      </c>
      <c r="L6">
        <v>2.2400000000000002</v>
      </c>
      <c r="M6">
        <v>0.08</v>
      </c>
      <c r="N6">
        <v>0.01</v>
      </c>
      <c r="O6">
        <v>0.23</v>
      </c>
      <c r="P6" s="3">
        <f t="shared" si="0"/>
        <v>1.6816622517800446</v>
      </c>
      <c r="Q6">
        <v>1.9296666666666665E-4</v>
      </c>
      <c r="R6" s="14">
        <v>0.38708620758483048</v>
      </c>
      <c r="S6">
        <v>0.502044890208871</v>
      </c>
      <c r="T6" s="3">
        <f t="shared" si="1"/>
        <v>0.50800000000000001</v>
      </c>
      <c r="U6">
        <v>1350</v>
      </c>
      <c r="V6" s="3">
        <v>100</v>
      </c>
      <c r="W6">
        <v>0</v>
      </c>
      <c r="X6" s="9">
        <v>0</v>
      </c>
      <c r="Y6">
        <v>0</v>
      </c>
      <c r="Z6">
        <v>0</v>
      </c>
      <c r="AA6">
        <v>0</v>
      </c>
      <c r="AB6" s="8">
        <v>0</v>
      </c>
      <c r="AD6" s="3"/>
    </row>
    <row r="7" spans="1:30">
      <c r="A7" s="20" t="s">
        <v>5</v>
      </c>
      <c r="B7">
        <f>AVERAGE(125,100)</f>
        <v>112.5</v>
      </c>
      <c r="C7">
        <f>STDEV(125,100)</f>
        <v>17.677669529663689</v>
      </c>
      <c r="D7">
        <v>48.18</v>
      </c>
      <c r="E7">
        <v>0.08</v>
      </c>
      <c r="F7">
        <v>29.36</v>
      </c>
      <c r="G7">
        <v>0</v>
      </c>
      <c r="H7" s="3">
        <v>1.6016622517800445</v>
      </c>
      <c r="I7">
        <v>0.03</v>
      </c>
      <c r="J7">
        <v>1.92</v>
      </c>
      <c r="K7">
        <v>15.85</v>
      </c>
      <c r="L7">
        <v>2.2400000000000002</v>
      </c>
      <c r="M7">
        <v>0.08</v>
      </c>
      <c r="N7">
        <v>0.01</v>
      </c>
      <c r="O7">
        <v>0.23</v>
      </c>
      <c r="P7" s="3">
        <f t="shared" si="0"/>
        <v>1.6816622517800446</v>
      </c>
      <c r="Q7">
        <v>1.9249444444444447E-4</v>
      </c>
      <c r="R7" s="14">
        <v>0.42001788423153669</v>
      </c>
      <c r="S7">
        <v>0.52823553281183078</v>
      </c>
      <c r="T7" s="3">
        <f t="shared" si="1"/>
        <v>0.50800000000000001</v>
      </c>
      <c r="U7">
        <v>1350</v>
      </c>
      <c r="V7" s="3">
        <v>100</v>
      </c>
      <c r="W7">
        <v>0</v>
      </c>
      <c r="X7" s="9">
        <v>0</v>
      </c>
      <c r="Y7">
        <v>0</v>
      </c>
      <c r="Z7">
        <v>0</v>
      </c>
      <c r="AA7">
        <v>0</v>
      </c>
      <c r="AB7" s="8">
        <v>0</v>
      </c>
      <c r="AD7" s="3"/>
    </row>
    <row r="8" spans="1:30">
      <c r="A8" s="20" t="s">
        <v>6</v>
      </c>
      <c r="B8">
        <f>AVERAGE(100,75)</f>
        <v>87.5</v>
      </c>
      <c r="C8">
        <f>STDEV(100,75)</f>
        <v>17.677669529663689</v>
      </c>
      <c r="D8">
        <v>48.18</v>
      </c>
      <c r="E8">
        <v>0.08</v>
      </c>
      <c r="F8">
        <v>29.36</v>
      </c>
      <c r="G8">
        <v>0</v>
      </c>
      <c r="H8" s="3">
        <v>1.6016622517800445</v>
      </c>
      <c r="I8">
        <v>0.03</v>
      </c>
      <c r="J8">
        <v>1.92</v>
      </c>
      <c r="K8">
        <v>15.85</v>
      </c>
      <c r="L8">
        <v>2.2400000000000002</v>
      </c>
      <c r="M8">
        <v>0.08</v>
      </c>
      <c r="N8">
        <v>0.01</v>
      </c>
      <c r="O8">
        <v>0.23</v>
      </c>
      <c r="P8" s="3">
        <f t="shared" si="0"/>
        <v>1.6816622517800446</v>
      </c>
      <c r="Q8">
        <v>1.9384444444444445E-4</v>
      </c>
      <c r="R8" s="14">
        <v>0.47466475049900209</v>
      </c>
      <c r="S8">
        <v>0.56921811029943004</v>
      </c>
      <c r="T8" s="3">
        <f t="shared" si="1"/>
        <v>0.50800000000000001</v>
      </c>
      <c r="U8">
        <v>1350</v>
      </c>
      <c r="V8" s="3">
        <v>100</v>
      </c>
      <c r="W8">
        <v>0</v>
      </c>
      <c r="X8" s="9">
        <v>0</v>
      </c>
      <c r="Y8">
        <v>0</v>
      </c>
      <c r="Z8">
        <v>0</v>
      </c>
      <c r="AA8">
        <v>0</v>
      </c>
      <c r="AB8" s="8">
        <v>0</v>
      </c>
      <c r="AD8" s="3"/>
    </row>
    <row r="9" spans="1:30">
      <c r="A9" s="20" t="s">
        <v>7</v>
      </c>
      <c r="B9">
        <f>AVERAGE(75,50)</f>
        <v>62.5</v>
      </c>
      <c r="C9">
        <f>STDEV(75,50)</f>
        <v>17.677669529663689</v>
      </c>
      <c r="D9">
        <v>48.18</v>
      </c>
      <c r="E9">
        <v>0.08</v>
      </c>
      <c r="F9">
        <v>29.36</v>
      </c>
      <c r="G9">
        <v>0</v>
      </c>
      <c r="H9" s="3">
        <v>1.6016622517800445</v>
      </c>
      <c r="I9">
        <v>0.03</v>
      </c>
      <c r="J9">
        <v>1.92</v>
      </c>
      <c r="K9">
        <v>15.85</v>
      </c>
      <c r="L9">
        <v>2.2400000000000002</v>
      </c>
      <c r="M9">
        <v>0.08</v>
      </c>
      <c r="N9">
        <v>0.01</v>
      </c>
      <c r="O9">
        <v>0.23</v>
      </c>
      <c r="P9" s="3">
        <f t="shared" si="0"/>
        <v>1.6816622517800446</v>
      </c>
      <c r="Q9">
        <v>1.9332777777777776E-4</v>
      </c>
      <c r="R9" s="14">
        <v>0.52151764471057893</v>
      </c>
      <c r="S9">
        <v>0.606754793991653</v>
      </c>
      <c r="T9" s="3">
        <f t="shared" si="1"/>
        <v>0.50800000000000001</v>
      </c>
      <c r="U9">
        <v>1350</v>
      </c>
      <c r="V9" s="3">
        <v>100</v>
      </c>
      <c r="W9">
        <v>0</v>
      </c>
      <c r="X9" s="9">
        <v>0</v>
      </c>
      <c r="Y9">
        <v>0</v>
      </c>
      <c r="Z9">
        <v>0</v>
      </c>
      <c r="AA9">
        <v>0</v>
      </c>
      <c r="AB9" s="8">
        <v>0</v>
      </c>
      <c r="AD9" s="3"/>
    </row>
    <row r="10" spans="1:30">
      <c r="A10" s="20" t="s">
        <v>8</v>
      </c>
      <c r="B10">
        <f>AVERAGE(50,20)</f>
        <v>35</v>
      </c>
      <c r="C10">
        <f>STDEV(50,20)</f>
        <v>21.213203435596427</v>
      </c>
      <c r="D10">
        <v>48.18</v>
      </c>
      <c r="E10">
        <v>0.08</v>
      </c>
      <c r="F10">
        <v>29.36</v>
      </c>
      <c r="G10">
        <v>0</v>
      </c>
      <c r="H10" s="3">
        <v>1.6016622517800445</v>
      </c>
      <c r="I10">
        <v>0.03</v>
      </c>
      <c r="J10">
        <v>1.92</v>
      </c>
      <c r="K10">
        <v>15.85</v>
      </c>
      <c r="L10">
        <v>2.2400000000000002</v>
      </c>
      <c r="M10">
        <v>0.08</v>
      </c>
      <c r="N10">
        <v>0.01</v>
      </c>
      <c r="O10">
        <v>0.23</v>
      </c>
      <c r="P10" s="3">
        <f t="shared" si="0"/>
        <v>1.6816622517800446</v>
      </c>
      <c r="Q10">
        <v>1.7381111111111112E-4</v>
      </c>
      <c r="R10" s="14">
        <v>0.60283750499002009</v>
      </c>
      <c r="S10">
        <v>0.6861738920614493</v>
      </c>
      <c r="T10" s="3">
        <f t="shared" si="1"/>
        <v>0.50800000000000001</v>
      </c>
      <c r="U10">
        <v>1350</v>
      </c>
      <c r="V10" s="3">
        <v>100</v>
      </c>
      <c r="W10">
        <v>0</v>
      </c>
      <c r="X10" s="9">
        <v>0</v>
      </c>
      <c r="Y10">
        <v>0</v>
      </c>
      <c r="Z10">
        <v>0</v>
      </c>
      <c r="AA10">
        <v>0</v>
      </c>
      <c r="AB10" s="8">
        <v>0</v>
      </c>
      <c r="AD10" s="3"/>
    </row>
    <row r="11" spans="1:30">
      <c r="A11" s="20" t="s">
        <v>19</v>
      </c>
      <c r="B11" s="2">
        <f>AVERAGE(250,224)</f>
        <v>237</v>
      </c>
      <c r="C11" s="2">
        <f>STDEV(250,224)</f>
        <v>18.384776310850235</v>
      </c>
      <c r="D11" s="2">
        <v>49.53</v>
      </c>
      <c r="E11" s="2">
        <v>0.14000000000000001</v>
      </c>
      <c r="F11" s="2">
        <v>20.72</v>
      </c>
      <c r="G11" s="2">
        <v>0</v>
      </c>
      <c r="H11" s="4">
        <v>4.0131537319882016</v>
      </c>
      <c r="I11" s="2">
        <v>0.09</v>
      </c>
      <c r="J11" s="2">
        <v>7.61</v>
      </c>
      <c r="K11" s="2">
        <v>15.32</v>
      </c>
      <c r="L11" s="2">
        <v>1.46</v>
      </c>
      <c r="M11" s="2">
        <v>0.12</v>
      </c>
      <c r="N11" s="2">
        <v>0.01</v>
      </c>
      <c r="O11" s="2">
        <v>0.26</v>
      </c>
      <c r="P11" s="3">
        <f t="shared" si="0"/>
        <v>4.1531537319882013</v>
      </c>
      <c r="Q11" s="2">
        <v>1.0692222222222224E-4</v>
      </c>
      <c r="R11" s="24">
        <v>9.0110499001995914E-2</v>
      </c>
      <c r="S11" s="2">
        <v>0.36532354108773324</v>
      </c>
      <c r="T11" s="3">
        <f>59.5/100</f>
        <v>0.59499999999999997</v>
      </c>
      <c r="U11">
        <v>1350</v>
      </c>
      <c r="V11" s="3">
        <v>100</v>
      </c>
      <c r="W11">
        <v>0</v>
      </c>
      <c r="X11" s="9">
        <v>0</v>
      </c>
      <c r="Y11">
        <v>0</v>
      </c>
      <c r="Z11">
        <v>0</v>
      </c>
      <c r="AA11">
        <v>0</v>
      </c>
      <c r="AB11" s="8">
        <v>0</v>
      </c>
      <c r="AD11" s="3"/>
    </row>
    <row r="12" spans="1:30">
      <c r="A12" s="20" t="s">
        <v>20</v>
      </c>
      <c r="B12" s="2">
        <f>AVERAGE(224,200)</f>
        <v>212</v>
      </c>
      <c r="C12" s="2">
        <f>STDEV(224,200)</f>
        <v>16.970562748477139</v>
      </c>
      <c r="D12" s="2">
        <v>49.53</v>
      </c>
      <c r="E12" s="2">
        <v>0.14000000000000001</v>
      </c>
      <c r="F12" s="2">
        <v>20.72</v>
      </c>
      <c r="G12" s="2">
        <v>0</v>
      </c>
      <c r="H12" s="4">
        <v>4.0131537319882016</v>
      </c>
      <c r="I12" s="2">
        <v>0.09</v>
      </c>
      <c r="J12" s="2">
        <v>7.61</v>
      </c>
      <c r="K12" s="2">
        <v>15.32</v>
      </c>
      <c r="L12" s="2">
        <v>1.46</v>
      </c>
      <c r="M12" s="2">
        <v>0.12</v>
      </c>
      <c r="N12" s="2">
        <v>0.01</v>
      </c>
      <c r="O12" s="2">
        <v>0.26</v>
      </c>
      <c r="P12" s="3">
        <f t="shared" si="0"/>
        <v>4.1531537319882013</v>
      </c>
      <c r="Q12" s="2">
        <v>1.1260555555555555E-4</v>
      </c>
      <c r="R12" s="24">
        <v>0.10559966067864282</v>
      </c>
      <c r="S12" s="2">
        <v>0.37123346137430646</v>
      </c>
      <c r="T12" s="3">
        <f t="shared" ref="T12:T19" si="2">59.5/100</f>
        <v>0.59499999999999997</v>
      </c>
      <c r="U12">
        <v>1350</v>
      </c>
      <c r="V12" s="3">
        <v>100</v>
      </c>
      <c r="W12">
        <v>0</v>
      </c>
      <c r="X12" s="9">
        <v>0</v>
      </c>
      <c r="Y12">
        <v>0</v>
      </c>
      <c r="Z12">
        <v>0</v>
      </c>
      <c r="AA12">
        <v>0</v>
      </c>
      <c r="AB12" s="8">
        <v>0</v>
      </c>
      <c r="AD12" s="3"/>
    </row>
    <row r="13" spans="1:30">
      <c r="A13" s="20" t="s">
        <v>21</v>
      </c>
      <c r="B13" s="2">
        <f>AVERAGE(200,180)</f>
        <v>190</v>
      </c>
      <c r="C13" s="2">
        <f>STDEV(200,180)</f>
        <v>14.142135623730951</v>
      </c>
      <c r="D13" s="2">
        <v>49.53</v>
      </c>
      <c r="E13" s="2">
        <v>0.14000000000000001</v>
      </c>
      <c r="F13" s="2">
        <v>20.72</v>
      </c>
      <c r="G13" s="2">
        <v>0</v>
      </c>
      <c r="H13" s="4">
        <v>4.0131537319882016</v>
      </c>
      <c r="I13" s="2">
        <v>0.09</v>
      </c>
      <c r="J13" s="2">
        <v>7.61</v>
      </c>
      <c r="K13" s="2">
        <v>15.32</v>
      </c>
      <c r="L13" s="2">
        <v>1.46</v>
      </c>
      <c r="M13" s="2">
        <v>0.12</v>
      </c>
      <c r="N13" s="2">
        <v>0.01</v>
      </c>
      <c r="O13" s="2">
        <v>0.26</v>
      </c>
      <c r="P13" s="3">
        <f t="shared" si="0"/>
        <v>4.1531537319882013</v>
      </c>
      <c r="Q13" s="2">
        <v>1.2216111111111114E-4</v>
      </c>
      <c r="R13" s="24">
        <v>0.12032365269461076</v>
      </c>
      <c r="S13" s="2">
        <v>0.3717525153927016</v>
      </c>
      <c r="T13" s="3">
        <f t="shared" si="2"/>
        <v>0.59499999999999997</v>
      </c>
      <c r="U13">
        <v>1350</v>
      </c>
      <c r="V13" s="3">
        <v>100</v>
      </c>
      <c r="W13">
        <v>0</v>
      </c>
      <c r="X13" s="9">
        <v>0</v>
      </c>
      <c r="Y13">
        <v>0</v>
      </c>
      <c r="Z13">
        <v>0</v>
      </c>
      <c r="AA13">
        <v>0</v>
      </c>
      <c r="AB13" s="8">
        <v>0</v>
      </c>
      <c r="AD13" s="3"/>
    </row>
    <row r="14" spans="1:30">
      <c r="A14" s="20" t="s">
        <v>22</v>
      </c>
      <c r="B14" s="2">
        <f>AVERAGE(180,150)</f>
        <v>165</v>
      </c>
      <c r="C14" s="2">
        <f>STDEV(180,150)</f>
        <v>21.213203435596427</v>
      </c>
      <c r="D14" s="2">
        <v>49.53</v>
      </c>
      <c r="E14" s="2">
        <v>0.14000000000000001</v>
      </c>
      <c r="F14" s="2">
        <v>20.72</v>
      </c>
      <c r="G14" s="2">
        <v>0</v>
      </c>
      <c r="H14" s="4">
        <v>4.0131537319882016</v>
      </c>
      <c r="I14" s="2">
        <v>0.09</v>
      </c>
      <c r="J14" s="2">
        <v>7.61</v>
      </c>
      <c r="K14" s="2">
        <v>15.32</v>
      </c>
      <c r="L14" s="2">
        <v>1.46</v>
      </c>
      <c r="M14" s="2">
        <v>0.12</v>
      </c>
      <c r="N14" s="2">
        <v>0.01</v>
      </c>
      <c r="O14" s="2">
        <v>0.26</v>
      </c>
      <c r="P14" s="3">
        <f t="shared" si="0"/>
        <v>4.1531537319882013</v>
      </c>
      <c r="Q14" s="2">
        <v>1.326E-4</v>
      </c>
      <c r="R14" s="24">
        <v>0.14492764471057881</v>
      </c>
      <c r="S14" s="2">
        <v>0.38687511819958398</v>
      </c>
      <c r="T14" s="3">
        <f t="shared" si="2"/>
        <v>0.59499999999999997</v>
      </c>
      <c r="U14">
        <v>1350</v>
      </c>
      <c r="V14" s="3">
        <v>100</v>
      </c>
      <c r="W14">
        <v>0</v>
      </c>
      <c r="X14" s="9">
        <v>0</v>
      </c>
      <c r="Y14">
        <v>0</v>
      </c>
      <c r="Z14">
        <v>0</v>
      </c>
      <c r="AA14">
        <v>0</v>
      </c>
      <c r="AB14" s="8">
        <v>0</v>
      </c>
      <c r="AD14" s="3"/>
    </row>
    <row r="15" spans="1:30">
      <c r="A15" s="20" t="s">
        <v>23</v>
      </c>
      <c r="B15" s="2">
        <f>AVERAGE(150,125)</f>
        <v>137.5</v>
      </c>
      <c r="C15" s="2">
        <f>STDEV(150,125)</f>
        <v>17.677669529663689</v>
      </c>
      <c r="D15" s="2">
        <v>49.53</v>
      </c>
      <c r="E15" s="2">
        <v>0.14000000000000001</v>
      </c>
      <c r="F15" s="2">
        <v>20.72</v>
      </c>
      <c r="G15" s="2">
        <v>0</v>
      </c>
      <c r="H15" s="4">
        <v>4.0131537319882016</v>
      </c>
      <c r="I15" s="2">
        <v>0.09</v>
      </c>
      <c r="J15" s="2">
        <v>7.61</v>
      </c>
      <c r="K15" s="2">
        <v>15.32</v>
      </c>
      <c r="L15" s="2">
        <v>1.46</v>
      </c>
      <c r="M15" s="2">
        <v>0.12</v>
      </c>
      <c r="N15" s="2">
        <v>0.01</v>
      </c>
      <c r="O15" s="2">
        <v>0.26</v>
      </c>
      <c r="P15" s="3">
        <f t="shared" si="0"/>
        <v>4.1531537319882013</v>
      </c>
      <c r="Q15" s="2">
        <v>1.4706666666666667E-4</v>
      </c>
      <c r="R15" s="24">
        <v>0.16379816367265468</v>
      </c>
      <c r="S15" s="2">
        <v>0.36661275029282164</v>
      </c>
      <c r="T15" s="3">
        <f t="shared" si="2"/>
        <v>0.59499999999999997</v>
      </c>
      <c r="U15">
        <v>1350</v>
      </c>
      <c r="V15" s="3">
        <v>100</v>
      </c>
      <c r="W15">
        <v>0</v>
      </c>
      <c r="X15" s="9">
        <v>0</v>
      </c>
      <c r="Y15">
        <v>0</v>
      </c>
      <c r="Z15">
        <v>0</v>
      </c>
      <c r="AA15">
        <v>0</v>
      </c>
      <c r="AB15" s="8">
        <v>0</v>
      </c>
      <c r="AD15" s="3"/>
    </row>
    <row r="16" spans="1:30">
      <c r="A16" s="20" t="s">
        <v>24</v>
      </c>
      <c r="B16" s="2">
        <f>AVERAGE(125,100)</f>
        <v>112.5</v>
      </c>
      <c r="C16" s="2">
        <f>STDEV(125,100)</f>
        <v>17.677669529663689</v>
      </c>
      <c r="D16" s="2">
        <v>49.53</v>
      </c>
      <c r="E16" s="2">
        <v>0.14000000000000001</v>
      </c>
      <c r="F16" s="2">
        <v>20.72</v>
      </c>
      <c r="G16" s="2">
        <v>0</v>
      </c>
      <c r="H16" s="4">
        <v>4.0131537319882016</v>
      </c>
      <c r="I16" s="2">
        <v>0.09</v>
      </c>
      <c r="J16" s="2">
        <v>7.61</v>
      </c>
      <c r="K16" s="2">
        <v>15.32</v>
      </c>
      <c r="L16" s="2">
        <v>1.46</v>
      </c>
      <c r="M16" s="2">
        <v>0.12</v>
      </c>
      <c r="N16" s="2">
        <v>0.01</v>
      </c>
      <c r="O16" s="2">
        <v>0.26</v>
      </c>
      <c r="P16" s="3">
        <f t="shared" si="0"/>
        <v>4.1531537319882013</v>
      </c>
      <c r="Q16" s="2">
        <v>1.5977777777777778E-4</v>
      </c>
      <c r="R16" s="24">
        <v>0.17545908183632739</v>
      </c>
      <c r="S16" s="2">
        <v>0.34368497711194346</v>
      </c>
      <c r="T16" s="3">
        <f t="shared" si="2"/>
        <v>0.59499999999999997</v>
      </c>
      <c r="U16">
        <v>1350</v>
      </c>
      <c r="V16" s="3">
        <v>100</v>
      </c>
      <c r="W16">
        <v>0</v>
      </c>
      <c r="X16" s="9">
        <v>0</v>
      </c>
      <c r="Y16">
        <v>0</v>
      </c>
      <c r="Z16">
        <v>0</v>
      </c>
      <c r="AA16">
        <v>0</v>
      </c>
      <c r="AB16" s="8">
        <v>0</v>
      </c>
      <c r="AD16" s="3"/>
    </row>
    <row r="17" spans="1:30">
      <c r="A17" s="20" t="s">
        <v>25</v>
      </c>
      <c r="B17" s="2">
        <f>AVERAGE(100,75)</f>
        <v>87.5</v>
      </c>
      <c r="C17" s="2">
        <f>STDEV(100,75)</f>
        <v>17.677669529663689</v>
      </c>
      <c r="D17" s="2">
        <v>49.53</v>
      </c>
      <c r="E17" s="2">
        <v>0.14000000000000001</v>
      </c>
      <c r="F17" s="2">
        <v>20.72</v>
      </c>
      <c r="G17" s="2">
        <v>0</v>
      </c>
      <c r="H17" s="4">
        <v>4.0131537319882016</v>
      </c>
      <c r="I17" s="2">
        <v>0.09</v>
      </c>
      <c r="J17" s="2">
        <v>7.61</v>
      </c>
      <c r="K17" s="2">
        <v>15.32</v>
      </c>
      <c r="L17" s="2">
        <v>1.46</v>
      </c>
      <c r="M17" s="2">
        <v>0.12</v>
      </c>
      <c r="N17" s="2">
        <v>0.01</v>
      </c>
      <c r="O17" s="2">
        <v>0.26</v>
      </c>
      <c r="P17" s="3">
        <f t="shared" si="0"/>
        <v>4.1531537319882013</v>
      </c>
      <c r="Q17" s="2">
        <v>1.8033888888888887E-4</v>
      </c>
      <c r="R17" s="24">
        <v>0.21852421157684629</v>
      </c>
      <c r="S17" s="2">
        <v>0.36498103666245263</v>
      </c>
      <c r="T17" s="3">
        <f t="shared" si="2"/>
        <v>0.59499999999999997</v>
      </c>
      <c r="U17">
        <v>1350</v>
      </c>
      <c r="V17" s="3">
        <v>100</v>
      </c>
      <c r="W17">
        <v>0</v>
      </c>
      <c r="X17" s="9">
        <v>0</v>
      </c>
      <c r="Y17">
        <v>0</v>
      </c>
      <c r="Z17">
        <v>0</v>
      </c>
      <c r="AA17">
        <v>0</v>
      </c>
      <c r="AB17" s="8">
        <v>0</v>
      </c>
      <c r="AD17" s="3"/>
    </row>
    <row r="18" spans="1:30">
      <c r="A18" s="20" t="s">
        <v>26</v>
      </c>
      <c r="B18" s="2">
        <f>AVERAGE(75,50)</f>
        <v>62.5</v>
      </c>
      <c r="C18" s="2">
        <f>STDEV(75,50)</f>
        <v>17.677669529663689</v>
      </c>
      <c r="D18" s="2">
        <v>49.53</v>
      </c>
      <c r="E18" s="2">
        <v>0.14000000000000001</v>
      </c>
      <c r="F18" s="2">
        <v>20.72</v>
      </c>
      <c r="G18" s="2">
        <v>0</v>
      </c>
      <c r="H18" s="4">
        <v>4.0131537319882016</v>
      </c>
      <c r="I18" s="2">
        <v>0.09</v>
      </c>
      <c r="J18" s="2">
        <v>7.61</v>
      </c>
      <c r="K18" s="2">
        <v>15.32</v>
      </c>
      <c r="L18" s="2">
        <v>1.46</v>
      </c>
      <c r="M18" s="2">
        <v>0.12</v>
      </c>
      <c r="N18" s="2">
        <v>0.01</v>
      </c>
      <c r="O18" s="2">
        <v>0.26</v>
      </c>
      <c r="P18" s="3">
        <f t="shared" si="0"/>
        <v>4.1531537319882013</v>
      </c>
      <c r="Q18" s="2">
        <v>1.949888888888889E-4</v>
      </c>
      <c r="R18" s="24">
        <v>0.25860149700598806</v>
      </c>
      <c r="S18" s="2">
        <v>0.38857983705990023</v>
      </c>
      <c r="T18" s="3">
        <f t="shared" si="2"/>
        <v>0.59499999999999997</v>
      </c>
      <c r="U18">
        <v>1350</v>
      </c>
      <c r="V18" s="3">
        <v>100</v>
      </c>
      <c r="W18">
        <v>0</v>
      </c>
      <c r="X18" s="9">
        <v>0</v>
      </c>
      <c r="Y18">
        <v>0</v>
      </c>
      <c r="Z18">
        <v>0</v>
      </c>
      <c r="AA18">
        <v>0</v>
      </c>
      <c r="AB18" s="8">
        <v>0</v>
      </c>
      <c r="AD18" s="3"/>
    </row>
    <row r="19" spans="1:30">
      <c r="A19" s="20" t="s">
        <v>27</v>
      </c>
      <c r="B19" s="2">
        <f>AVERAGE(50,20)</f>
        <v>35</v>
      </c>
      <c r="C19" s="2">
        <f>STDEV(50,20)</f>
        <v>21.213203435596427</v>
      </c>
      <c r="D19" s="2">
        <v>49.53</v>
      </c>
      <c r="E19" s="2">
        <v>0.14000000000000001</v>
      </c>
      <c r="F19" s="2">
        <v>20.72</v>
      </c>
      <c r="G19" s="2">
        <v>0</v>
      </c>
      <c r="H19" s="4">
        <v>4.0131537319882016</v>
      </c>
      <c r="I19" s="2">
        <v>0.09</v>
      </c>
      <c r="J19" s="2">
        <v>7.61</v>
      </c>
      <c r="K19" s="2">
        <v>15.32</v>
      </c>
      <c r="L19" s="2">
        <v>1.46</v>
      </c>
      <c r="M19" s="2">
        <v>0.12</v>
      </c>
      <c r="N19" s="2">
        <v>0.01</v>
      </c>
      <c r="O19" s="2">
        <v>0.26</v>
      </c>
      <c r="P19" s="3">
        <f t="shared" si="0"/>
        <v>4.1531537319882013</v>
      </c>
      <c r="Q19" s="2">
        <v>2.0197222222222226E-4</v>
      </c>
      <c r="R19" s="24">
        <v>0.33963467065868247</v>
      </c>
      <c r="S19" s="2">
        <v>0.45973787971344476</v>
      </c>
      <c r="T19" s="3">
        <f t="shared" si="2"/>
        <v>0.59499999999999997</v>
      </c>
      <c r="U19">
        <v>1350</v>
      </c>
      <c r="V19" s="3">
        <v>100</v>
      </c>
      <c r="W19">
        <v>0</v>
      </c>
      <c r="X19" s="9">
        <v>0</v>
      </c>
      <c r="Y19">
        <v>0</v>
      </c>
      <c r="Z19">
        <v>0</v>
      </c>
      <c r="AA19">
        <v>0</v>
      </c>
      <c r="AB19" s="8">
        <v>0</v>
      </c>
      <c r="AD19" s="3"/>
    </row>
    <row r="20" spans="1:30" s="30" customFormat="1">
      <c r="A20" s="25" t="s">
        <v>29</v>
      </c>
      <c r="B20" s="26">
        <f>AVERAGE(250,224)</f>
        <v>237</v>
      </c>
      <c r="C20" s="26">
        <f>STDEV(250,224)</f>
        <v>18.384776310850235</v>
      </c>
      <c r="D20" s="26">
        <v>50.96</v>
      </c>
      <c r="E20" s="26">
        <v>0.15</v>
      </c>
      <c r="F20" s="26">
        <v>16.34</v>
      </c>
      <c r="G20" s="26">
        <v>0</v>
      </c>
      <c r="H20" s="27">
        <v>6.4696357248868095</v>
      </c>
      <c r="I20" s="26">
        <v>0.14000000000000001</v>
      </c>
      <c r="J20" s="26">
        <v>12.84</v>
      </c>
      <c r="K20" s="26">
        <v>10.96</v>
      </c>
      <c r="L20" s="26">
        <v>1.1399999999999999</v>
      </c>
      <c r="M20" s="26">
        <v>0.08</v>
      </c>
      <c r="N20" s="26">
        <v>0.01</v>
      </c>
      <c r="O20" s="26">
        <v>0.28000000000000003</v>
      </c>
      <c r="P20" s="28">
        <f t="shared" si="0"/>
        <v>6.6196357248868098</v>
      </c>
      <c r="Q20" s="29">
        <v>6.4544444444444434E-5</v>
      </c>
      <c r="R20" s="29">
        <v>4.6268223552894262E-2</v>
      </c>
      <c r="S20" s="29">
        <v>0.60582171012734987</v>
      </c>
      <c r="T20" s="28">
        <f>61.3/(61.3+38.7)</f>
        <v>0.61299999999999999</v>
      </c>
      <c r="U20" s="30">
        <v>1350</v>
      </c>
      <c r="V20" s="28">
        <v>100</v>
      </c>
      <c r="W20" s="30">
        <v>0</v>
      </c>
      <c r="X20" s="31">
        <v>0</v>
      </c>
      <c r="Y20" s="30">
        <v>0</v>
      </c>
      <c r="Z20" s="30">
        <v>0</v>
      </c>
      <c r="AA20" s="30">
        <v>0</v>
      </c>
      <c r="AB20" s="32">
        <v>0</v>
      </c>
      <c r="AD20" s="28"/>
    </row>
    <row r="21" spans="1:30">
      <c r="A21" s="20" t="s">
        <v>30</v>
      </c>
      <c r="B21" s="2">
        <f>AVERAGE(224,200)</f>
        <v>212</v>
      </c>
      <c r="C21" s="2">
        <f>STDEV(224,200)</f>
        <v>16.970562748477139</v>
      </c>
      <c r="D21" s="2">
        <v>50.96</v>
      </c>
      <c r="E21" s="2">
        <v>0.15</v>
      </c>
      <c r="F21" s="2">
        <v>16.34</v>
      </c>
      <c r="G21" s="2">
        <v>0</v>
      </c>
      <c r="H21" s="4">
        <v>6.4696357248868095</v>
      </c>
      <c r="I21" s="2">
        <v>0.14000000000000001</v>
      </c>
      <c r="J21" s="2">
        <v>12.84</v>
      </c>
      <c r="K21" s="2">
        <v>10.96</v>
      </c>
      <c r="L21" s="2">
        <v>1.1399999999999999</v>
      </c>
      <c r="M21" s="2">
        <v>0.08</v>
      </c>
      <c r="N21" s="2">
        <v>0.01</v>
      </c>
      <c r="O21" s="2">
        <v>0.28000000000000003</v>
      </c>
      <c r="P21" s="3">
        <f t="shared" si="0"/>
        <v>6.6196357248868098</v>
      </c>
      <c r="Q21" s="5">
        <v>7.4338888888888892E-5</v>
      </c>
      <c r="R21" s="5">
        <v>5.6380239520958081E-2</v>
      </c>
      <c r="S21" s="5">
        <v>0.56491575817641237</v>
      </c>
      <c r="T21" s="3">
        <f t="shared" ref="T21:T28" si="3">61.3/(61.3+38.7)</f>
        <v>0.61299999999999999</v>
      </c>
      <c r="U21">
        <v>1350</v>
      </c>
      <c r="V21" s="3">
        <v>100</v>
      </c>
      <c r="W21">
        <v>0</v>
      </c>
      <c r="X21" s="9">
        <v>0</v>
      </c>
      <c r="Y21">
        <v>0</v>
      </c>
      <c r="Z21">
        <v>0</v>
      </c>
      <c r="AA21">
        <v>0</v>
      </c>
      <c r="AB21" s="8">
        <v>0</v>
      </c>
      <c r="AD21" s="3"/>
    </row>
    <row r="22" spans="1:30">
      <c r="A22" s="20" t="s">
        <v>31</v>
      </c>
      <c r="B22" s="2">
        <f>AVERAGE(200,180)</f>
        <v>190</v>
      </c>
      <c r="C22" s="2">
        <f>STDEV(200,180)</f>
        <v>14.142135623730951</v>
      </c>
      <c r="D22" s="2">
        <v>50.96</v>
      </c>
      <c r="E22" s="2">
        <v>0.15</v>
      </c>
      <c r="F22" s="2">
        <v>16.34</v>
      </c>
      <c r="G22" s="2">
        <v>0</v>
      </c>
      <c r="H22" s="4">
        <v>6.4696357248868095</v>
      </c>
      <c r="I22" s="2">
        <v>0.14000000000000001</v>
      </c>
      <c r="J22" s="2">
        <v>12.84</v>
      </c>
      <c r="K22" s="2">
        <v>10.96</v>
      </c>
      <c r="L22" s="2">
        <v>1.1399999999999999</v>
      </c>
      <c r="M22" s="2">
        <v>0.08</v>
      </c>
      <c r="N22" s="2">
        <v>0.01</v>
      </c>
      <c r="O22" s="2">
        <v>0.28000000000000003</v>
      </c>
      <c r="P22" s="3">
        <f t="shared" si="0"/>
        <v>6.6196357248868098</v>
      </c>
      <c r="Q22" s="5">
        <v>8.3561111111111111E-5</v>
      </c>
      <c r="R22" s="5">
        <v>5.9513632734530947E-2</v>
      </c>
      <c r="S22" s="5">
        <v>0.50565102957114116</v>
      </c>
      <c r="T22" s="3">
        <f t="shared" si="3"/>
        <v>0.61299999999999999</v>
      </c>
      <c r="U22">
        <v>1350</v>
      </c>
      <c r="V22" s="3">
        <v>100</v>
      </c>
      <c r="W22">
        <v>0</v>
      </c>
      <c r="X22" s="9">
        <v>0</v>
      </c>
      <c r="Y22">
        <v>0</v>
      </c>
      <c r="Z22">
        <v>0</v>
      </c>
      <c r="AA22">
        <v>0</v>
      </c>
      <c r="AB22" s="8">
        <v>0</v>
      </c>
      <c r="AD22" s="3"/>
    </row>
    <row r="23" spans="1:30">
      <c r="A23" s="20" t="s">
        <v>32</v>
      </c>
      <c r="B23" s="2">
        <f>AVERAGE(180,150)</f>
        <v>165</v>
      </c>
      <c r="C23" s="2">
        <f>STDEV(180,150)</f>
        <v>21.213203435596427</v>
      </c>
      <c r="D23" s="2">
        <v>50.96</v>
      </c>
      <c r="E23" s="2">
        <v>0.15</v>
      </c>
      <c r="F23" s="2">
        <v>16.34</v>
      </c>
      <c r="G23" s="2">
        <v>0</v>
      </c>
      <c r="H23" s="4">
        <v>6.4696357248868095</v>
      </c>
      <c r="I23" s="2">
        <v>0.14000000000000001</v>
      </c>
      <c r="J23" s="2">
        <v>12.84</v>
      </c>
      <c r="K23" s="2">
        <v>10.96</v>
      </c>
      <c r="L23" s="2">
        <v>1.1399999999999999</v>
      </c>
      <c r="M23" s="2">
        <v>0.08</v>
      </c>
      <c r="N23" s="2">
        <v>0.01</v>
      </c>
      <c r="O23" s="2">
        <v>0.28000000000000003</v>
      </c>
      <c r="P23" s="3">
        <f t="shared" si="0"/>
        <v>6.6196357248868098</v>
      </c>
      <c r="Q23" s="5">
        <v>9.5861111111111112E-5</v>
      </c>
      <c r="R23" s="5">
        <v>7.6220618762475018E-2</v>
      </c>
      <c r="S23" s="5">
        <v>0.47579177284310159</v>
      </c>
      <c r="T23" s="3">
        <f t="shared" si="3"/>
        <v>0.61299999999999999</v>
      </c>
      <c r="U23">
        <v>1350</v>
      </c>
      <c r="V23" s="3">
        <v>100</v>
      </c>
      <c r="W23">
        <v>0</v>
      </c>
      <c r="X23" s="9">
        <v>0</v>
      </c>
      <c r="Y23">
        <v>0</v>
      </c>
      <c r="Z23">
        <v>0</v>
      </c>
      <c r="AA23">
        <v>0</v>
      </c>
      <c r="AB23" s="8">
        <v>0</v>
      </c>
      <c r="AD23" s="3"/>
    </row>
    <row r="24" spans="1:30">
      <c r="A24" s="20" t="s">
        <v>33</v>
      </c>
      <c r="B24" s="2">
        <f>AVERAGE(150,125)</f>
        <v>137.5</v>
      </c>
      <c r="C24" s="2">
        <f>STDEV(150,125)</f>
        <v>17.677669529663689</v>
      </c>
      <c r="D24" s="2">
        <v>50.96</v>
      </c>
      <c r="E24" s="2">
        <v>0.15</v>
      </c>
      <c r="F24" s="2">
        <v>16.34</v>
      </c>
      <c r="G24" s="2">
        <v>0</v>
      </c>
      <c r="H24" s="4">
        <v>6.4696357248868095</v>
      </c>
      <c r="I24" s="2">
        <v>0.14000000000000001</v>
      </c>
      <c r="J24" s="2">
        <v>12.84</v>
      </c>
      <c r="K24" s="2">
        <v>10.96</v>
      </c>
      <c r="L24" s="2">
        <v>1.1399999999999999</v>
      </c>
      <c r="M24" s="2">
        <v>0.08</v>
      </c>
      <c r="N24" s="2">
        <v>0.01</v>
      </c>
      <c r="O24" s="2">
        <v>0.28000000000000003</v>
      </c>
      <c r="P24" s="3">
        <f t="shared" si="0"/>
        <v>6.6196357248868098</v>
      </c>
      <c r="Q24" s="5">
        <v>1.1188888888888888E-4</v>
      </c>
      <c r="R24" s="5">
        <v>9.0381417165668748E-2</v>
      </c>
      <c r="S24" s="5">
        <v>0.42979330007127581</v>
      </c>
      <c r="T24" s="3">
        <f t="shared" si="3"/>
        <v>0.61299999999999999</v>
      </c>
      <c r="U24">
        <v>1350</v>
      </c>
      <c r="V24" s="3">
        <v>100</v>
      </c>
      <c r="W24">
        <v>0</v>
      </c>
      <c r="X24" s="9">
        <v>0</v>
      </c>
      <c r="Y24">
        <v>0</v>
      </c>
      <c r="Z24">
        <v>0</v>
      </c>
      <c r="AA24">
        <v>0</v>
      </c>
      <c r="AB24" s="8">
        <v>0</v>
      </c>
      <c r="AD24" s="3"/>
    </row>
    <row r="25" spans="1:30">
      <c r="A25" s="20" t="s">
        <v>34</v>
      </c>
      <c r="B25" s="2">
        <f>AVERAGE(125,100)</f>
        <v>112.5</v>
      </c>
      <c r="C25" s="2">
        <f>STDEV(125,100)</f>
        <v>17.677669529663689</v>
      </c>
      <c r="D25" s="2">
        <v>50.96</v>
      </c>
      <c r="E25" s="2">
        <v>0.15</v>
      </c>
      <c r="F25" s="2">
        <v>16.34</v>
      </c>
      <c r="G25" s="2">
        <v>0</v>
      </c>
      <c r="H25" s="4">
        <v>6.4696357248868095</v>
      </c>
      <c r="I25" s="2">
        <v>0.14000000000000001</v>
      </c>
      <c r="J25" s="2">
        <v>12.84</v>
      </c>
      <c r="K25" s="2">
        <v>10.96</v>
      </c>
      <c r="L25" s="2">
        <v>1.1399999999999999</v>
      </c>
      <c r="M25" s="2">
        <v>0.08</v>
      </c>
      <c r="N25" s="2">
        <v>0.01</v>
      </c>
      <c r="O25" s="2">
        <v>0.28000000000000003</v>
      </c>
      <c r="P25" s="3">
        <f t="shared" si="0"/>
        <v>6.6196357248868098</v>
      </c>
      <c r="Q25" s="5">
        <v>1.2535555555555553E-4</v>
      </c>
      <c r="R25" s="5">
        <v>0.10548576846307382</v>
      </c>
      <c r="S25" s="5">
        <v>0.39903930131004367</v>
      </c>
      <c r="T25" s="3">
        <f t="shared" si="3"/>
        <v>0.61299999999999999</v>
      </c>
      <c r="U25">
        <v>1350</v>
      </c>
      <c r="V25" s="3">
        <v>100</v>
      </c>
      <c r="W25">
        <v>0</v>
      </c>
      <c r="X25" s="9">
        <v>0</v>
      </c>
      <c r="Y25">
        <v>0</v>
      </c>
      <c r="Z25">
        <v>0</v>
      </c>
      <c r="AA25">
        <v>0</v>
      </c>
      <c r="AB25" s="8">
        <v>0</v>
      </c>
      <c r="AD25" s="3"/>
    </row>
    <row r="26" spans="1:30">
      <c r="A26" s="20" t="s">
        <v>35</v>
      </c>
      <c r="B26" s="2">
        <f>AVERAGE(100,75)</f>
        <v>87.5</v>
      </c>
      <c r="C26" s="2">
        <f>STDEV(100,75)</f>
        <v>17.677669529663689</v>
      </c>
      <c r="D26" s="2">
        <v>50.96</v>
      </c>
      <c r="E26" s="2">
        <v>0.15</v>
      </c>
      <c r="F26" s="2">
        <v>16.34</v>
      </c>
      <c r="G26" s="2">
        <v>0</v>
      </c>
      <c r="H26" s="4">
        <v>6.4696357248868095</v>
      </c>
      <c r="I26" s="2">
        <v>0.14000000000000001</v>
      </c>
      <c r="J26" s="2">
        <v>12.84</v>
      </c>
      <c r="K26" s="2">
        <v>10.96</v>
      </c>
      <c r="L26" s="2">
        <v>1.1399999999999999</v>
      </c>
      <c r="M26" s="2">
        <v>0.08</v>
      </c>
      <c r="N26" s="2">
        <v>0.01</v>
      </c>
      <c r="O26" s="2">
        <v>0.28000000000000003</v>
      </c>
      <c r="P26" s="3">
        <f t="shared" si="0"/>
        <v>6.6196357248868098</v>
      </c>
      <c r="Q26" s="5">
        <v>1.5294444444444443E-4</v>
      </c>
      <c r="R26" s="5">
        <v>0.14579924151696619</v>
      </c>
      <c r="S26" s="5">
        <v>0.38880416825517855</v>
      </c>
      <c r="T26" s="3">
        <f t="shared" si="3"/>
        <v>0.61299999999999999</v>
      </c>
      <c r="U26">
        <v>1350</v>
      </c>
      <c r="V26" s="3">
        <v>100</v>
      </c>
      <c r="W26">
        <v>0</v>
      </c>
      <c r="X26" s="9">
        <v>0</v>
      </c>
      <c r="Y26">
        <v>0</v>
      </c>
      <c r="Z26">
        <v>0</v>
      </c>
      <c r="AA26">
        <v>0</v>
      </c>
      <c r="AB26" s="8">
        <v>0</v>
      </c>
      <c r="AD26" s="3"/>
    </row>
    <row r="27" spans="1:30">
      <c r="A27" s="20" t="s">
        <v>36</v>
      </c>
      <c r="B27" s="2">
        <f>AVERAGE(75,50)</f>
        <v>62.5</v>
      </c>
      <c r="C27" s="2">
        <f>STDEV(75,50)</f>
        <v>17.677669529663689</v>
      </c>
      <c r="D27" s="2">
        <v>50.96</v>
      </c>
      <c r="E27" s="2">
        <v>0.15</v>
      </c>
      <c r="F27" s="2">
        <v>16.34</v>
      </c>
      <c r="G27" s="2">
        <v>0</v>
      </c>
      <c r="H27" s="4">
        <v>6.4696357248868095</v>
      </c>
      <c r="I27" s="2">
        <v>0.14000000000000001</v>
      </c>
      <c r="J27" s="2">
        <v>12.84</v>
      </c>
      <c r="K27" s="2">
        <v>10.96</v>
      </c>
      <c r="L27" s="2">
        <v>1.1399999999999999</v>
      </c>
      <c r="M27" s="2">
        <v>0.08</v>
      </c>
      <c r="N27" s="2">
        <v>0.01</v>
      </c>
      <c r="O27" s="2">
        <v>0.28000000000000003</v>
      </c>
      <c r="P27" s="3">
        <f t="shared" si="0"/>
        <v>6.6196357248868098</v>
      </c>
      <c r="Q27" s="5">
        <v>1.7763333333333331E-4</v>
      </c>
      <c r="R27" s="5">
        <v>0.16492876247504984</v>
      </c>
      <c r="S27" s="5">
        <v>0.31415805640882438</v>
      </c>
      <c r="T27" s="3">
        <f t="shared" si="3"/>
        <v>0.61299999999999999</v>
      </c>
      <c r="U27">
        <v>1350</v>
      </c>
      <c r="V27" s="3">
        <v>100</v>
      </c>
      <c r="W27">
        <v>0</v>
      </c>
      <c r="X27" s="9">
        <v>0</v>
      </c>
      <c r="Y27">
        <v>0</v>
      </c>
      <c r="Z27">
        <v>0</v>
      </c>
      <c r="AA27">
        <v>0</v>
      </c>
      <c r="AB27" s="8">
        <v>0</v>
      </c>
      <c r="AD27" s="3"/>
    </row>
    <row r="28" spans="1:30">
      <c r="A28" s="20" t="s">
        <v>37</v>
      </c>
      <c r="B28" s="2">
        <f>AVERAGE(50,20)</f>
        <v>35</v>
      </c>
      <c r="C28" s="2">
        <f>STDEV(50,20)</f>
        <v>21.213203435596427</v>
      </c>
      <c r="D28" s="2">
        <v>50.96</v>
      </c>
      <c r="E28" s="2">
        <v>0.15</v>
      </c>
      <c r="F28" s="2">
        <v>16.34</v>
      </c>
      <c r="G28" s="2">
        <v>0</v>
      </c>
      <c r="H28" s="4">
        <v>6.4696357248868095</v>
      </c>
      <c r="I28" s="2">
        <v>0.14000000000000001</v>
      </c>
      <c r="J28" s="2">
        <v>12.84</v>
      </c>
      <c r="K28" s="2">
        <v>10.96</v>
      </c>
      <c r="L28" s="2">
        <v>1.1399999999999999</v>
      </c>
      <c r="M28" s="2">
        <v>0.08</v>
      </c>
      <c r="N28" s="2">
        <v>0.01</v>
      </c>
      <c r="O28" s="2">
        <v>0.28000000000000003</v>
      </c>
      <c r="P28" s="3">
        <f t="shared" si="0"/>
        <v>6.6196357248868098</v>
      </c>
      <c r="Q28" s="5">
        <v>2.1844444444444445E-4</v>
      </c>
      <c r="R28" s="5">
        <v>0.23319177644710576</v>
      </c>
      <c r="S28" s="5">
        <v>0.33433409391137264</v>
      </c>
      <c r="T28" s="3">
        <f t="shared" si="3"/>
        <v>0.61299999999999999</v>
      </c>
      <c r="U28">
        <v>1350</v>
      </c>
      <c r="V28" s="3">
        <v>100</v>
      </c>
      <c r="W28">
        <v>0</v>
      </c>
      <c r="X28" s="9">
        <v>0</v>
      </c>
      <c r="Y28">
        <v>0</v>
      </c>
      <c r="Z28">
        <v>0</v>
      </c>
      <c r="AA28">
        <v>0</v>
      </c>
      <c r="AB28" s="8">
        <v>0</v>
      </c>
      <c r="AD28" s="3"/>
    </row>
    <row r="29" spans="1:30" s="30" customFormat="1">
      <c r="A29" s="25" t="s">
        <v>38</v>
      </c>
      <c r="B29" s="26">
        <f>AVERAGE(250,224)</f>
        <v>237</v>
      </c>
      <c r="C29" s="26">
        <f>STDEV(250,224)</f>
        <v>18.384776310850235</v>
      </c>
      <c r="D29" s="26">
        <v>47.68</v>
      </c>
      <c r="E29" s="26">
        <v>1.88</v>
      </c>
      <c r="F29" s="26">
        <v>16.100000000000001</v>
      </c>
      <c r="G29" s="26">
        <v>0</v>
      </c>
      <c r="H29" s="27">
        <v>10.149859662965675</v>
      </c>
      <c r="I29" s="26">
        <v>0.17</v>
      </c>
      <c r="J29" s="26">
        <v>7.05</v>
      </c>
      <c r="K29" s="26">
        <v>9.06</v>
      </c>
      <c r="L29" s="26">
        <v>3.56</v>
      </c>
      <c r="M29" s="26">
        <v>1.3</v>
      </c>
      <c r="N29" s="26">
        <v>0.45</v>
      </c>
      <c r="O29" s="26">
        <v>0.3</v>
      </c>
      <c r="P29" s="28">
        <f t="shared" si="0"/>
        <v>12.029859662965674</v>
      </c>
      <c r="Q29" s="29">
        <v>3.3877777777777778E-5</v>
      </c>
      <c r="R29" s="29">
        <v>2.9685648702594821E-2</v>
      </c>
      <c r="S29" s="29">
        <v>0.94811320754716966</v>
      </c>
      <c r="T29" s="28">
        <f>60/100</f>
        <v>0.6</v>
      </c>
      <c r="U29" s="30">
        <v>1350</v>
      </c>
      <c r="V29" s="28">
        <v>100</v>
      </c>
      <c r="W29" s="30">
        <v>0</v>
      </c>
      <c r="X29" s="31">
        <v>0</v>
      </c>
      <c r="Y29" s="30">
        <v>0</v>
      </c>
      <c r="Z29" s="30">
        <v>0</v>
      </c>
      <c r="AA29" s="30">
        <v>0</v>
      </c>
      <c r="AB29" s="32">
        <v>0</v>
      </c>
      <c r="AD29" s="28"/>
    </row>
    <row r="30" spans="1:30">
      <c r="A30" s="20" t="s">
        <v>39</v>
      </c>
      <c r="B30" s="2">
        <f>AVERAGE(224,200)</f>
        <v>212</v>
      </c>
      <c r="C30" s="2">
        <f>STDEV(224,200)</f>
        <v>16.970562748477139</v>
      </c>
      <c r="D30" s="2">
        <v>47.68</v>
      </c>
      <c r="E30" s="2">
        <v>1.88</v>
      </c>
      <c r="F30" s="2">
        <v>16.100000000000001</v>
      </c>
      <c r="G30" s="2">
        <v>0</v>
      </c>
      <c r="H30" s="4">
        <v>10.149859662965675</v>
      </c>
      <c r="I30" s="2">
        <v>0.17</v>
      </c>
      <c r="J30" s="2">
        <v>7.05</v>
      </c>
      <c r="K30" s="2">
        <v>9.06</v>
      </c>
      <c r="L30" s="2">
        <v>3.56</v>
      </c>
      <c r="M30" s="2">
        <v>1.3</v>
      </c>
      <c r="N30" s="2">
        <v>0.45</v>
      </c>
      <c r="O30" s="2">
        <v>0.3</v>
      </c>
      <c r="P30" s="3">
        <f t="shared" si="0"/>
        <v>12.029859662965674</v>
      </c>
      <c r="Q30" s="5">
        <v>3.680555555555555E-5</v>
      </c>
      <c r="R30" s="5">
        <v>3.1508942115768455E-2</v>
      </c>
      <c r="S30" s="5">
        <v>0.92818384934567522</v>
      </c>
      <c r="T30" s="3">
        <f t="shared" ref="T30:T37" si="4">60/100</f>
        <v>0.6</v>
      </c>
      <c r="U30">
        <v>1350</v>
      </c>
      <c r="V30" s="3">
        <v>100</v>
      </c>
      <c r="W30">
        <v>0</v>
      </c>
      <c r="X30" s="9">
        <v>0</v>
      </c>
      <c r="Y30">
        <v>0</v>
      </c>
      <c r="Z30">
        <v>0</v>
      </c>
      <c r="AA30">
        <v>0</v>
      </c>
      <c r="AB30" s="8">
        <v>0</v>
      </c>
      <c r="AD30" s="3"/>
    </row>
    <row r="31" spans="1:30">
      <c r="A31" s="20" t="s">
        <v>40</v>
      </c>
      <c r="B31" s="2">
        <f>AVERAGE(200,180)</f>
        <v>190</v>
      </c>
      <c r="C31" s="2">
        <f>STDEV(200,180)</f>
        <v>14.142135623730951</v>
      </c>
      <c r="D31" s="2">
        <v>47.68</v>
      </c>
      <c r="E31" s="2">
        <v>1.88</v>
      </c>
      <c r="F31" s="2">
        <v>16.100000000000001</v>
      </c>
      <c r="G31" s="2">
        <v>0</v>
      </c>
      <c r="H31" s="4">
        <v>10.149859662965675</v>
      </c>
      <c r="I31" s="2">
        <v>0.17</v>
      </c>
      <c r="J31" s="2">
        <v>7.05</v>
      </c>
      <c r="K31" s="2">
        <v>9.06</v>
      </c>
      <c r="L31" s="2">
        <v>3.56</v>
      </c>
      <c r="M31" s="2">
        <v>1.3</v>
      </c>
      <c r="N31" s="2">
        <v>0.45</v>
      </c>
      <c r="O31" s="2">
        <v>0.3</v>
      </c>
      <c r="P31" s="3">
        <f t="shared" si="0"/>
        <v>12.029859662965674</v>
      </c>
      <c r="Q31" s="5">
        <v>4.6277777777777788E-5</v>
      </c>
      <c r="R31" s="5">
        <v>3.3562894211576842E-2</v>
      </c>
      <c r="S31" s="5">
        <v>0.88007159904534593</v>
      </c>
      <c r="T31" s="3">
        <f t="shared" si="4"/>
        <v>0.6</v>
      </c>
      <c r="U31">
        <v>1350</v>
      </c>
      <c r="V31" s="3">
        <v>100</v>
      </c>
      <c r="W31">
        <v>0</v>
      </c>
      <c r="X31" s="9">
        <v>0</v>
      </c>
      <c r="Y31">
        <v>0</v>
      </c>
      <c r="Z31">
        <v>0</v>
      </c>
      <c r="AA31">
        <v>0</v>
      </c>
      <c r="AB31" s="8">
        <v>0</v>
      </c>
      <c r="AD31" s="3"/>
    </row>
    <row r="32" spans="1:30">
      <c r="A32" s="20" t="s">
        <v>41</v>
      </c>
      <c r="B32" s="2">
        <f>AVERAGE(180,150)</f>
        <v>165</v>
      </c>
      <c r="C32" s="2">
        <f>STDEV(180,150)</f>
        <v>21.213203435596427</v>
      </c>
      <c r="D32" s="2">
        <v>47.68</v>
      </c>
      <c r="E32" s="2">
        <v>1.88</v>
      </c>
      <c r="F32" s="2">
        <v>16.100000000000001</v>
      </c>
      <c r="G32" s="2">
        <v>0</v>
      </c>
      <c r="H32" s="4">
        <v>10.149859662965675</v>
      </c>
      <c r="I32" s="2">
        <v>0.17</v>
      </c>
      <c r="J32" s="2">
        <v>7.05</v>
      </c>
      <c r="K32" s="2">
        <v>9.06</v>
      </c>
      <c r="L32" s="2">
        <v>3.56</v>
      </c>
      <c r="M32" s="2">
        <v>1.3</v>
      </c>
      <c r="N32" s="2">
        <v>0.45</v>
      </c>
      <c r="O32" s="2">
        <v>0.3</v>
      </c>
      <c r="P32" s="3">
        <f t="shared" si="0"/>
        <v>12.029859662965674</v>
      </c>
      <c r="Q32" s="5">
        <v>4.8777777777777775E-5</v>
      </c>
      <c r="R32" s="5">
        <v>3.5488223552894181E-2</v>
      </c>
      <c r="S32" s="5">
        <v>0.88256932654216169</v>
      </c>
      <c r="T32" s="3">
        <f t="shared" si="4"/>
        <v>0.6</v>
      </c>
      <c r="U32">
        <v>1350</v>
      </c>
      <c r="V32" s="3">
        <v>100</v>
      </c>
      <c r="W32">
        <v>0</v>
      </c>
      <c r="X32" s="9">
        <v>0</v>
      </c>
      <c r="Y32">
        <v>0</v>
      </c>
      <c r="Z32">
        <v>0</v>
      </c>
      <c r="AA32">
        <v>0</v>
      </c>
      <c r="AB32" s="8">
        <v>0</v>
      </c>
      <c r="AD32" s="3"/>
    </row>
    <row r="33" spans="1:30">
      <c r="A33" s="20" t="s">
        <v>42</v>
      </c>
      <c r="B33" s="2">
        <f>AVERAGE(150,125)</f>
        <v>137.5</v>
      </c>
      <c r="C33" s="2">
        <f>STDEV(150,125)</f>
        <v>17.677669529663689</v>
      </c>
      <c r="D33" s="2">
        <v>47.68</v>
      </c>
      <c r="E33" s="2">
        <v>1.88</v>
      </c>
      <c r="F33" s="2">
        <v>16.100000000000001</v>
      </c>
      <c r="G33" s="2">
        <v>0</v>
      </c>
      <c r="H33" s="4">
        <v>10.149859662965675</v>
      </c>
      <c r="I33" s="2">
        <v>0.17</v>
      </c>
      <c r="J33" s="2">
        <v>7.05</v>
      </c>
      <c r="K33" s="2">
        <v>9.06</v>
      </c>
      <c r="L33" s="2">
        <v>3.56</v>
      </c>
      <c r="M33" s="2">
        <v>1.3</v>
      </c>
      <c r="N33" s="2">
        <v>0.45</v>
      </c>
      <c r="O33" s="2">
        <v>0.3</v>
      </c>
      <c r="P33" s="3">
        <f t="shared" si="0"/>
        <v>12.029859662965674</v>
      </c>
      <c r="Q33" s="5">
        <v>6.0844444444444432E-5</v>
      </c>
      <c r="R33" s="5">
        <v>3.9406287425149747E-2</v>
      </c>
      <c r="S33" s="5">
        <v>0.80192746639614509</v>
      </c>
      <c r="T33" s="3">
        <f t="shared" si="4"/>
        <v>0.6</v>
      </c>
      <c r="U33">
        <v>1350</v>
      </c>
      <c r="V33" s="3">
        <v>100</v>
      </c>
      <c r="W33">
        <v>0</v>
      </c>
      <c r="X33" s="9">
        <v>0</v>
      </c>
      <c r="Y33">
        <v>0</v>
      </c>
      <c r="Z33">
        <v>0</v>
      </c>
      <c r="AA33">
        <v>0</v>
      </c>
      <c r="AB33" s="8">
        <v>0</v>
      </c>
      <c r="AD33" s="3"/>
    </row>
    <row r="34" spans="1:30">
      <c r="A34" s="20" t="s">
        <v>43</v>
      </c>
      <c r="B34" s="2">
        <f>AVERAGE(125,100)</f>
        <v>112.5</v>
      </c>
      <c r="C34" s="2">
        <f>STDEV(125,100)</f>
        <v>17.677669529663689</v>
      </c>
      <c r="D34" s="2">
        <v>47.68</v>
      </c>
      <c r="E34" s="2">
        <v>1.88</v>
      </c>
      <c r="F34" s="2">
        <v>16.100000000000001</v>
      </c>
      <c r="G34" s="2">
        <v>0</v>
      </c>
      <c r="H34" s="4">
        <v>10.149859662965675</v>
      </c>
      <c r="I34" s="2">
        <v>0.17</v>
      </c>
      <c r="J34" s="2">
        <v>7.05</v>
      </c>
      <c r="K34" s="2">
        <v>9.06</v>
      </c>
      <c r="L34" s="2">
        <v>3.56</v>
      </c>
      <c r="M34" s="2">
        <v>1.3</v>
      </c>
      <c r="N34" s="2">
        <v>0.45</v>
      </c>
      <c r="O34" s="2">
        <v>0.3</v>
      </c>
      <c r="P34" s="3">
        <f t="shared" si="0"/>
        <v>12.029859662965674</v>
      </c>
      <c r="Q34" s="5">
        <v>7.5383333333333341E-5</v>
      </c>
      <c r="R34" s="5">
        <v>4.5334331337325319E-2</v>
      </c>
      <c r="S34" s="5">
        <v>0.69958305903006357</v>
      </c>
      <c r="T34" s="3">
        <f t="shared" si="4"/>
        <v>0.6</v>
      </c>
      <c r="U34">
        <v>1350</v>
      </c>
      <c r="V34" s="3">
        <v>100</v>
      </c>
      <c r="W34">
        <v>0</v>
      </c>
      <c r="X34" s="9">
        <v>0</v>
      </c>
      <c r="Y34">
        <v>0</v>
      </c>
      <c r="Z34">
        <v>0</v>
      </c>
      <c r="AA34">
        <v>0</v>
      </c>
      <c r="AB34" s="8">
        <v>0</v>
      </c>
      <c r="AD34" s="3"/>
    </row>
    <row r="35" spans="1:30">
      <c r="A35" s="20" t="s">
        <v>44</v>
      </c>
      <c r="B35" s="2">
        <f>AVERAGE(100,75)</f>
        <v>87.5</v>
      </c>
      <c r="C35" s="2">
        <f>STDEV(100,75)</f>
        <v>17.677669529663689</v>
      </c>
      <c r="D35" s="2">
        <v>47.68</v>
      </c>
      <c r="E35" s="2">
        <v>1.88</v>
      </c>
      <c r="F35" s="2">
        <v>16.100000000000001</v>
      </c>
      <c r="G35" s="2">
        <v>0</v>
      </c>
      <c r="H35" s="4">
        <v>10.149859662965675</v>
      </c>
      <c r="I35" s="2">
        <v>0.17</v>
      </c>
      <c r="J35" s="2">
        <v>7.05</v>
      </c>
      <c r="K35" s="2">
        <v>9.06</v>
      </c>
      <c r="L35" s="2">
        <v>3.56</v>
      </c>
      <c r="M35" s="2">
        <v>1.3</v>
      </c>
      <c r="N35" s="2">
        <v>0.45</v>
      </c>
      <c r="O35" s="2">
        <v>0.3</v>
      </c>
      <c r="P35" s="3">
        <f t="shared" si="0"/>
        <v>12.029859662965674</v>
      </c>
      <c r="Q35" s="5">
        <v>1.0005000000000001E-4</v>
      </c>
      <c r="R35" s="5">
        <v>5.3456546906187619E-2</v>
      </c>
      <c r="S35" s="5">
        <v>0.57672349888806518</v>
      </c>
      <c r="T35" s="3">
        <f t="shared" si="4"/>
        <v>0.6</v>
      </c>
      <c r="U35">
        <v>1350</v>
      </c>
      <c r="V35" s="3">
        <v>100</v>
      </c>
      <c r="W35">
        <v>0</v>
      </c>
      <c r="X35" s="9">
        <v>0</v>
      </c>
      <c r="Y35">
        <v>0</v>
      </c>
      <c r="Z35">
        <v>0</v>
      </c>
      <c r="AA35">
        <v>0</v>
      </c>
      <c r="AB35" s="8">
        <v>0</v>
      </c>
      <c r="AD35" s="3"/>
    </row>
    <row r="36" spans="1:30">
      <c r="A36" s="20" t="s">
        <v>45</v>
      </c>
      <c r="B36" s="2">
        <f>AVERAGE(75,50)</f>
        <v>62.5</v>
      </c>
      <c r="C36" s="2">
        <f>STDEV(75,50)</f>
        <v>17.677669529663689</v>
      </c>
      <c r="D36" s="2">
        <v>47.68</v>
      </c>
      <c r="E36" s="2">
        <v>1.88</v>
      </c>
      <c r="F36" s="2">
        <v>16.100000000000001</v>
      </c>
      <c r="G36" s="2">
        <v>0</v>
      </c>
      <c r="H36" s="4">
        <v>10.149859662965675</v>
      </c>
      <c r="I36" s="2">
        <v>0.17</v>
      </c>
      <c r="J36" s="2">
        <v>7.05</v>
      </c>
      <c r="K36" s="2">
        <v>9.06</v>
      </c>
      <c r="L36" s="2">
        <v>3.56</v>
      </c>
      <c r="M36" s="2">
        <v>1.3</v>
      </c>
      <c r="N36" s="2">
        <v>0.45</v>
      </c>
      <c r="O36" s="2">
        <v>0.3</v>
      </c>
      <c r="P36" s="3">
        <f t="shared" si="0"/>
        <v>12.029859662965674</v>
      </c>
      <c r="Q36" s="5">
        <v>1.3047777777777777E-4</v>
      </c>
      <c r="R36" s="5">
        <v>7.1244051896207528E-2</v>
      </c>
      <c r="S36" s="5">
        <v>0.45990922844175491</v>
      </c>
      <c r="T36" s="3">
        <f t="shared" si="4"/>
        <v>0.6</v>
      </c>
      <c r="U36">
        <v>1350</v>
      </c>
      <c r="V36" s="3">
        <v>100</v>
      </c>
      <c r="W36">
        <v>0</v>
      </c>
      <c r="X36" s="9">
        <v>0</v>
      </c>
      <c r="Y36">
        <v>0</v>
      </c>
      <c r="Z36">
        <v>0</v>
      </c>
      <c r="AA36">
        <v>0</v>
      </c>
      <c r="AB36" s="8">
        <v>0</v>
      </c>
      <c r="AD36" s="3"/>
    </row>
    <row r="37" spans="1:30">
      <c r="A37" s="20" t="s">
        <v>46</v>
      </c>
      <c r="B37" s="2">
        <f>AVERAGE(50,20)</f>
        <v>35</v>
      </c>
      <c r="C37" s="2">
        <f>STDEV(50,20)</f>
        <v>21.213203435596427</v>
      </c>
      <c r="D37" s="2">
        <v>47.68</v>
      </c>
      <c r="E37" s="2">
        <v>1.88</v>
      </c>
      <c r="F37" s="2">
        <v>16.100000000000001</v>
      </c>
      <c r="G37" s="2">
        <v>0</v>
      </c>
      <c r="H37" s="4">
        <v>10.149859662965675</v>
      </c>
      <c r="I37" s="2">
        <v>0.17</v>
      </c>
      <c r="J37" s="2">
        <v>7.05</v>
      </c>
      <c r="K37" s="2">
        <v>9.06</v>
      </c>
      <c r="L37" s="2">
        <v>3.56</v>
      </c>
      <c r="M37" s="2">
        <v>1.3</v>
      </c>
      <c r="N37" s="2">
        <v>0.45</v>
      </c>
      <c r="O37" s="2">
        <v>0.3</v>
      </c>
      <c r="P37" s="3">
        <f t="shared" si="0"/>
        <v>12.029859662965674</v>
      </c>
      <c r="Q37" s="5">
        <v>1.7172222222222223E-4</v>
      </c>
      <c r="R37" s="5">
        <v>0.10124514970059875</v>
      </c>
      <c r="S37" s="5">
        <v>0.33062356541698545</v>
      </c>
      <c r="T37" s="3">
        <f t="shared" si="4"/>
        <v>0.6</v>
      </c>
      <c r="U37">
        <v>1350</v>
      </c>
      <c r="V37" s="3">
        <v>100</v>
      </c>
      <c r="W37">
        <v>0</v>
      </c>
      <c r="X37" s="9">
        <v>0</v>
      </c>
      <c r="Y37">
        <v>0</v>
      </c>
      <c r="Z37">
        <v>0</v>
      </c>
      <c r="AA37">
        <v>0</v>
      </c>
      <c r="AB37" s="8">
        <v>0</v>
      </c>
      <c r="AD37" s="3"/>
    </row>
    <row r="38" spans="1:30" s="30" customFormat="1">
      <c r="A38" s="25" t="s">
        <v>49</v>
      </c>
      <c r="B38" s="26">
        <f>AVERAGE(0,53)</f>
        <v>26.5</v>
      </c>
      <c r="C38" s="26">
        <f>STDEV(0,53)</f>
        <v>37.476659402887016</v>
      </c>
      <c r="D38" s="26">
        <v>51.84</v>
      </c>
      <c r="E38" s="26">
        <v>0.91</v>
      </c>
      <c r="F38" s="26">
        <v>16.010000000000002</v>
      </c>
      <c r="G38" s="26">
        <v>0.4</v>
      </c>
      <c r="H38" s="26">
        <v>11.67</v>
      </c>
      <c r="I38" s="26">
        <v>0.17</v>
      </c>
      <c r="J38" s="26">
        <v>3.61</v>
      </c>
      <c r="K38" s="26">
        <v>6.76</v>
      </c>
      <c r="L38" s="26">
        <v>6.39</v>
      </c>
      <c r="M38" s="26">
        <v>2.23</v>
      </c>
      <c r="N38" s="33">
        <v>0</v>
      </c>
      <c r="O38" s="33">
        <v>0</v>
      </c>
      <c r="P38" s="28">
        <f t="shared" si="0"/>
        <v>12.58</v>
      </c>
      <c r="Q38" s="29">
        <v>9.1735766315340002E-5</v>
      </c>
      <c r="R38" s="29">
        <v>0.23434194065149361</v>
      </c>
      <c r="S38" s="29">
        <v>0.59915105784081912</v>
      </c>
      <c r="T38" s="28">
        <v>0.1</v>
      </c>
      <c r="U38" s="30">
        <v>1400</v>
      </c>
      <c r="V38" s="28">
        <v>100</v>
      </c>
      <c r="W38" s="30">
        <v>0</v>
      </c>
      <c r="X38" s="31">
        <v>0</v>
      </c>
      <c r="Y38" s="30">
        <v>0</v>
      </c>
      <c r="Z38" s="30">
        <v>0</v>
      </c>
      <c r="AA38" s="30">
        <v>0</v>
      </c>
      <c r="AB38" s="32">
        <v>0</v>
      </c>
      <c r="AD38" s="28"/>
    </row>
    <row r="39" spans="1:30">
      <c r="A39" s="20" t="s">
        <v>50</v>
      </c>
      <c r="B39" s="2">
        <f>AVERAGE(0,53)</f>
        <v>26.5</v>
      </c>
      <c r="C39" s="2">
        <f t="shared" ref="C39:C65" si="5">STDEV(0,53)</f>
        <v>37.476659402887016</v>
      </c>
      <c r="D39" s="2">
        <v>51.84</v>
      </c>
      <c r="E39" s="2">
        <v>0.91</v>
      </c>
      <c r="F39" s="2">
        <v>16.010000000000002</v>
      </c>
      <c r="G39" s="2">
        <v>0.4</v>
      </c>
      <c r="H39" s="2">
        <v>11.67</v>
      </c>
      <c r="I39" s="2">
        <v>0.17</v>
      </c>
      <c r="J39" s="2">
        <v>3.61</v>
      </c>
      <c r="K39" s="2">
        <v>6.76</v>
      </c>
      <c r="L39" s="2">
        <v>6.39</v>
      </c>
      <c r="M39" s="2">
        <v>2.23</v>
      </c>
      <c r="N39" s="6">
        <v>0</v>
      </c>
      <c r="O39" s="6">
        <v>0</v>
      </c>
      <c r="P39" s="3">
        <f t="shared" si="0"/>
        <v>12.58</v>
      </c>
      <c r="Q39" s="5">
        <v>1.08196186897573E-4</v>
      </c>
      <c r="R39" s="5">
        <v>0.22003618102557412</v>
      </c>
      <c r="S39" s="5">
        <v>0.55046466800192206</v>
      </c>
      <c r="T39" s="3">
        <v>0.18</v>
      </c>
      <c r="U39">
        <v>1400</v>
      </c>
      <c r="V39" s="3">
        <v>100</v>
      </c>
      <c r="W39">
        <v>0</v>
      </c>
      <c r="X39" s="9">
        <v>0</v>
      </c>
      <c r="Y39">
        <v>0</v>
      </c>
      <c r="Z39">
        <v>0</v>
      </c>
      <c r="AA39">
        <v>0</v>
      </c>
      <c r="AB39" s="8">
        <v>0</v>
      </c>
      <c r="AD39" s="3"/>
    </row>
    <row r="40" spans="1:30">
      <c r="A40" s="20" t="s">
        <v>51</v>
      </c>
      <c r="B40" s="2">
        <f>AVERAGE(0,53)</f>
        <v>26.5</v>
      </c>
      <c r="C40" s="2">
        <f t="shared" si="5"/>
        <v>37.476659402887016</v>
      </c>
      <c r="D40" s="2">
        <v>51.84</v>
      </c>
      <c r="E40" s="2">
        <v>0.91</v>
      </c>
      <c r="F40" s="2">
        <v>16.010000000000002</v>
      </c>
      <c r="G40" s="2">
        <v>0.4</v>
      </c>
      <c r="H40" s="2">
        <v>11.67</v>
      </c>
      <c r="I40" s="2">
        <v>0.17</v>
      </c>
      <c r="J40" s="2">
        <v>3.61</v>
      </c>
      <c r="K40" s="2">
        <v>6.76</v>
      </c>
      <c r="L40" s="2">
        <v>6.39</v>
      </c>
      <c r="M40" s="2">
        <v>2.23</v>
      </c>
      <c r="N40" s="6">
        <v>0</v>
      </c>
      <c r="O40" s="6">
        <v>0</v>
      </c>
      <c r="P40" s="3">
        <f t="shared" si="0"/>
        <v>12.58</v>
      </c>
      <c r="Q40" s="5">
        <v>1.2795279672432101E-4</v>
      </c>
      <c r="R40" s="5">
        <v>0.18820073985528171</v>
      </c>
      <c r="S40" s="5">
        <v>0.53014309328349574</v>
      </c>
      <c r="T40" s="3">
        <v>0.35</v>
      </c>
      <c r="U40">
        <v>1400</v>
      </c>
      <c r="V40" s="3">
        <v>100</v>
      </c>
      <c r="W40">
        <v>0</v>
      </c>
      <c r="X40" s="9">
        <v>0</v>
      </c>
      <c r="Y40">
        <v>0</v>
      </c>
      <c r="Z40">
        <v>0</v>
      </c>
      <c r="AA40">
        <v>0</v>
      </c>
      <c r="AB40" s="8">
        <v>0</v>
      </c>
      <c r="AD40" s="3"/>
    </row>
    <row r="41" spans="1:30">
      <c r="A41" s="20" t="s">
        <v>57</v>
      </c>
      <c r="B41" s="2">
        <f>AVERAGE(0,53)</f>
        <v>26.5</v>
      </c>
      <c r="C41" s="2">
        <f t="shared" si="5"/>
        <v>37.476659402887016</v>
      </c>
      <c r="D41" s="2">
        <v>51.84</v>
      </c>
      <c r="E41" s="2">
        <v>0.91</v>
      </c>
      <c r="F41" s="2">
        <v>16.010000000000002</v>
      </c>
      <c r="G41" s="2">
        <v>0.4</v>
      </c>
      <c r="H41" s="2">
        <v>11.67</v>
      </c>
      <c r="I41" s="2">
        <v>0.17</v>
      </c>
      <c r="J41" s="2">
        <v>3.61</v>
      </c>
      <c r="K41" s="2">
        <v>6.76</v>
      </c>
      <c r="L41" s="2">
        <v>6.39</v>
      </c>
      <c r="M41" s="2">
        <v>2.23</v>
      </c>
      <c r="N41" s="6">
        <v>0</v>
      </c>
      <c r="O41" s="6">
        <v>0</v>
      </c>
      <c r="P41" s="3">
        <f t="shared" si="0"/>
        <v>12.58</v>
      </c>
      <c r="Q41" s="5">
        <v>1.3294999999999998E-4</v>
      </c>
      <c r="R41" s="5">
        <v>0.13845999525118799</v>
      </c>
      <c r="S41" s="5">
        <v>0.46952828028164878</v>
      </c>
      <c r="T41" s="3">
        <v>0.52</v>
      </c>
      <c r="U41">
        <v>1400</v>
      </c>
      <c r="V41" s="3">
        <v>100</v>
      </c>
      <c r="W41">
        <v>0</v>
      </c>
      <c r="X41" s="9">
        <v>0</v>
      </c>
      <c r="Y41">
        <v>0</v>
      </c>
      <c r="Z41">
        <v>0</v>
      </c>
      <c r="AA41">
        <v>0</v>
      </c>
      <c r="AB41" s="8">
        <v>0</v>
      </c>
      <c r="AD41" s="3"/>
    </row>
    <row r="42" spans="1:30">
      <c r="A42" s="20" t="s">
        <v>60</v>
      </c>
      <c r="B42" s="2">
        <f>AVERAGE(0,53)</f>
        <v>26.5</v>
      </c>
      <c r="C42" s="2">
        <f t="shared" si="5"/>
        <v>37.476659402887016</v>
      </c>
      <c r="D42" s="2">
        <v>51.84</v>
      </c>
      <c r="E42" s="2">
        <v>0.91</v>
      </c>
      <c r="F42" s="2">
        <v>16.010000000000002</v>
      </c>
      <c r="G42" s="2">
        <v>0.4</v>
      </c>
      <c r="H42" s="2">
        <v>11.67</v>
      </c>
      <c r="I42" s="2">
        <v>0.17</v>
      </c>
      <c r="J42" s="2">
        <v>3.61</v>
      </c>
      <c r="K42" s="2">
        <v>6.76</v>
      </c>
      <c r="L42" s="2">
        <v>6.39</v>
      </c>
      <c r="M42" s="2">
        <v>2.23</v>
      </c>
      <c r="N42" s="6">
        <v>0</v>
      </c>
      <c r="O42" s="6">
        <v>0</v>
      </c>
      <c r="P42" s="3">
        <f t="shared" si="0"/>
        <v>12.58</v>
      </c>
      <c r="Q42" s="5">
        <v>1.5150720977050332E-4</v>
      </c>
      <c r="R42" s="5">
        <v>0.15965706264880758</v>
      </c>
      <c r="S42" s="5">
        <v>0.4425989089681569</v>
      </c>
      <c r="T42" s="3">
        <v>0.62</v>
      </c>
      <c r="U42">
        <v>1400</v>
      </c>
      <c r="V42" s="3">
        <v>100</v>
      </c>
      <c r="W42">
        <v>0</v>
      </c>
      <c r="X42" s="9">
        <v>0</v>
      </c>
      <c r="Y42">
        <v>0</v>
      </c>
      <c r="Z42">
        <v>0</v>
      </c>
      <c r="AA42">
        <v>0</v>
      </c>
      <c r="AB42" s="8">
        <v>0</v>
      </c>
      <c r="AD42" s="3"/>
    </row>
    <row r="43" spans="1:30">
      <c r="A43" s="20" t="s">
        <v>52</v>
      </c>
      <c r="B43" s="2">
        <f t="shared" ref="B43:B65" si="6">AVERAGE(0,53)</f>
        <v>26.5</v>
      </c>
      <c r="C43" s="2">
        <f t="shared" si="5"/>
        <v>37.476659402887016</v>
      </c>
      <c r="D43" s="2">
        <v>46.7</v>
      </c>
      <c r="E43" s="2">
        <v>0.49</v>
      </c>
      <c r="F43" s="2">
        <v>11.11</v>
      </c>
      <c r="G43" s="2">
        <v>0.62</v>
      </c>
      <c r="H43" s="2">
        <v>19.190000000000001</v>
      </c>
      <c r="I43" s="2">
        <v>0.42</v>
      </c>
      <c r="J43" s="2">
        <v>11.06</v>
      </c>
      <c r="K43" s="2">
        <v>7.92</v>
      </c>
      <c r="L43" s="2">
        <v>2.44</v>
      </c>
      <c r="M43" s="2">
        <v>7.0000000000000007E-2</v>
      </c>
      <c r="N43" s="2">
        <v>0</v>
      </c>
      <c r="O43" s="6">
        <v>0</v>
      </c>
      <c r="P43" s="3">
        <f t="shared" si="0"/>
        <v>19.68</v>
      </c>
      <c r="Q43" s="5">
        <v>7.3430249539328606E-5</v>
      </c>
      <c r="R43" s="5">
        <v>0.16519828331954359</v>
      </c>
      <c r="S43" s="5">
        <v>0.60993598136897798</v>
      </c>
      <c r="T43" s="3">
        <v>0.13</v>
      </c>
      <c r="U43">
        <v>1400</v>
      </c>
      <c r="V43" s="3">
        <v>100</v>
      </c>
      <c r="W43">
        <v>0</v>
      </c>
      <c r="X43" s="9">
        <v>0</v>
      </c>
      <c r="Y43">
        <v>0</v>
      </c>
      <c r="Z43">
        <v>0</v>
      </c>
      <c r="AA43">
        <v>0</v>
      </c>
      <c r="AB43" s="8">
        <v>0</v>
      </c>
      <c r="AD43" s="3"/>
    </row>
    <row r="44" spans="1:30">
      <c r="A44" s="20" t="s">
        <v>53</v>
      </c>
      <c r="B44" s="2">
        <f t="shared" si="6"/>
        <v>26.5</v>
      </c>
      <c r="C44" s="2">
        <f t="shared" si="5"/>
        <v>37.476659402887016</v>
      </c>
      <c r="D44" s="2">
        <v>46.7</v>
      </c>
      <c r="E44" s="2">
        <v>0.49</v>
      </c>
      <c r="F44" s="2">
        <v>11.11</v>
      </c>
      <c r="G44" s="2">
        <v>0.62</v>
      </c>
      <c r="H44" s="2">
        <v>19.190000000000001</v>
      </c>
      <c r="I44" s="2">
        <v>0.42</v>
      </c>
      <c r="J44" s="2">
        <v>11.06</v>
      </c>
      <c r="K44" s="2">
        <v>7.92</v>
      </c>
      <c r="L44" s="2">
        <v>2.44</v>
      </c>
      <c r="M44" s="2">
        <v>7.0000000000000007E-2</v>
      </c>
      <c r="N44" s="2">
        <v>0</v>
      </c>
      <c r="O44" s="6">
        <v>0</v>
      </c>
      <c r="P44" s="3">
        <f t="shared" si="0"/>
        <v>19.68</v>
      </c>
      <c r="Q44" s="5">
        <v>6.679947141074667E-5</v>
      </c>
      <c r="R44" s="5">
        <v>0.20177105799788203</v>
      </c>
      <c r="S44" s="5">
        <v>0.67801140599326049</v>
      </c>
      <c r="T44" s="3">
        <v>0.11</v>
      </c>
      <c r="U44">
        <v>1400</v>
      </c>
      <c r="V44" s="3">
        <v>100</v>
      </c>
      <c r="W44">
        <v>0</v>
      </c>
      <c r="X44" s="9">
        <v>0</v>
      </c>
      <c r="Y44">
        <v>0</v>
      </c>
      <c r="Z44">
        <v>0</v>
      </c>
      <c r="AA44">
        <v>0</v>
      </c>
      <c r="AB44" s="8">
        <v>0</v>
      </c>
      <c r="AD44" s="3"/>
    </row>
    <row r="45" spans="1:30">
      <c r="A45" s="20" t="s">
        <v>54</v>
      </c>
      <c r="B45" s="2">
        <f t="shared" si="6"/>
        <v>26.5</v>
      </c>
      <c r="C45" s="2">
        <f t="shared" si="5"/>
        <v>37.476659402887016</v>
      </c>
      <c r="D45" s="2">
        <v>46.7</v>
      </c>
      <c r="E45" s="2">
        <v>0.49</v>
      </c>
      <c r="F45" s="2">
        <v>11.11</v>
      </c>
      <c r="G45" s="2">
        <v>0.62</v>
      </c>
      <c r="H45" s="2">
        <v>19.190000000000001</v>
      </c>
      <c r="I45" s="2">
        <v>0.42</v>
      </c>
      <c r="J45" s="2">
        <v>11.06</v>
      </c>
      <c r="K45" s="2">
        <v>7.92</v>
      </c>
      <c r="L45" s="2">
        <v>2.44</v>
      </c>
      <c r="M45" s="2">
        <v>7.0000000000000007E-2</v>
      </c>
      <c r="N45" s="2">
        <v>0</v>
      </c>
      <c r="O45" s="6">
        <v>0</v>
      </c>
      <c r="P45" s="3">
        <f t="shared" si="0"/>
        <v>19.68</v>
      </c>
      <c r="Q45" s="5">
        <v>1.2351901274516877E-4</v>
      </c>
      <c r="R45" s="5">
        <v>0.10031914696384168</v>
      </c>
      <c r="S45" s="5">
        <v>0.45813517559828842</v>
      </c>
      <c r="T45" s="3">
        <v>0.56999999999999995</v>
      </c>
      <c r="U45">
        <v>1400</v>
      </c>
      <c r="V45" s="3">
        <v>100</v>
      </c>
      <c r="W45">
        <v>0</v>
      </c>
      <c r="X45" s="9">
        <v>0</v>
      </c>
      <c r="Y45">
        <v>0</v>
      </c>
      <c r="Z45">
        <v>0</v>
      </c>
      <c r="AA45">
        <v>0</v>
      </c>
      <c r="AB45" s="8">
        <v>0</v>
      </c>
      <c r="AD45" s="3"/>
    </row>
    <row r="46" spans="1:30">
      <c r="A46" s="20" t="s">
        <v>55</v>
      </c>
      <c r="B46" s="2">
        <f t="shared" si="6"/>
        <v>26.5</v>
      </c>
      <c r="C46" s="2">
        <f t="shared" si="5"/>
        <v>37.476659402887016</v>
      </c>
      <c r="D46" s="2">
        <v>46.7</v>
      </c>
      <c r="E46" s="2">
        <v>0.49</v>
      </c>
      <c r="F46" s="2">
        <v>11.11</v>
      </c>
      <c r="G46" s="2">
        <v>0.62</v>
      </c>
      <c r="H46" s="2">
        <v>19.190000000000001</v>
      </c>
      <c r="I46" s="2">
        <v>0.42</v>
      </c>
      <c r="J46" s="2">
        <v>11.06</v>
      </c>
      <c r="K46" s="2">
        <v>7.92</v>
      </c>
      <c r="L46" s="2">
        <v>2.44</v>
      </c>
      <c r="M46" s="2">
        <v>7.0000000000000007E-2</v>
      </c>
      <c r="N46" s="2">
        <v>0</v>
      </c>
      <c r="O46" s="6">
        <v>0</v>
      </c>
      <c r="P46" s="3">
        <f t="shared" si="0"/>
        <v>19.68</v>
      </c>
      <c r="Q46" s="5">
        <v>1.2233726998422172E-4</v>
      </c>
      <c r="R46" s="5">
        <v>0.1136727093321039</v>
      </c>
      <c r="S46" s="5">
        <v>0.49744690962439281</v>
      </c>
      <c r="T46" s="3">
        <v>0.46</v>
      </c>
      <c r="U46">
        <v>1400</v>
      </c>
      <c r="V46" s="3">
        <v>100</v>
      </c>
      <c r="W46">
        <v>0</v>
      </c>
      <c r="X46" s="9">
        <v>0</v>
      </c>
      <c r="Y46">
        <v>0</v>
      </c>
      <c r="Z46">
        <v>0</v>
      </c>
      <c r="AA46">
        <v>0</v>
      </c>
      <c r="AB46" s="8">
        <v>0</v>
      </c>
      <c r="AD46" s="3"/>
    </row>
    <row r="47" spans="1:30">
      <c r="A47" s="20" t="s">
        <v>56</v>
      </c>
      <c r="B47" s="2">
        <f t="shared" si="6"/>
        <v>26.5</v>
      </c>
      <c r="C47" s="2">
        <f t="shared" si="5"/>
        <v>37.476659402887016</v>
      </c>
      <c r="D47" s="2">
        <v>46.7</v>
      </c>
      <c r="E47" s="2">
        <v>0.49</v>
      </c>
      <c r="F47" s="2">
        <v>11.11</v>
      </c>
      <c r="G47" s="2">
        <v>0.62</v>
      </c>
      <c r="H47" s="2">
        <v>19.190000000000001</v>
      </c>
      <c r="I47" s="2">
        <v>0.42</v>
      </c>
      <c r="J47" s="2">
        <v>11.06</v>
      </c>
      <c r="K47" s="2">
        <v>7.92</v>
      </c>
      <c r="L47" s="2">
        <v>2.44</v>
      </c>
      <c r="M47" s="2">
        <v>7.0000000000000007E-2</v>
      </c>
      <c r="N47" s="2">
        <v>0</v>
      </c>
      <c r="O47" s="6">
        <v>0</v>
      </c>
      <c r="P47" s="3">
        <f t="shared" si="0"/>
        <v>19.68</v>
      </c>
      <c r="Q47" s="5">
        <v>1.1679525762226778E-4</v>
      </c>
      <c r="R47" s="5">
        <v>9.6002984944919309E-2</v>
      </c>
      <c r="S47" s="5">
        <v>0.48589112360240627</v>
      </c>
      <c r="T47" s="3">
        <v>0.53</v>
      </c>
      <c r="U47">
        <v>1400</v>
      </c>
      <c r="V47" s="3">
        <v>100</v>
      </c>
      <c r="W47">
        <v>0</v>
      </c>
      <c r="X47" s="9">
        <v>0</v>
      </c>
      <c r="Y47">
        <v>0</v>
      </c>
      <c r="Z47">
        <v>0</v>
      </c>
      <c r="AA47">
        <v>0</v>
      </c>
      <c r="AB47" s="8">
        <v>0</v>
      </c>
      <c r="AD47" s="3"/>
    </row>
    <row r="48" spans="1:30">
      <c r="A48" s="20" t="s">
        <v>58</v>
      </c>
      <c r="B48" s="2">
        <f t="shared" si="6"/>
        <v>26.5</v>
      </c>
      <c r="C48" s="2">
        <f t="shared" si="5"/>
        <v>37.476659402887016</v>
      </c>
      <c r="D48" s="2">
        <v>50.17</v>
      </c>
      <c r="E48" s="2">
        <v>1.03</v>
      </c>
      <c r="F48" s="2">
        <v>11.83</v>
      </c>
      <c r="G48" s="2">
        <v>0.19</v>
      </c>
      <c r="H48" s="2">
        <v>13.72</v>
      </c>
      <c r="I48" s="2">
        <v>0.3</v>
      </c>
      <c r="J48" s="2">
        <v>9.0399999999999991</v>
      </c>
      <c r="K48" s="2">
        <v>9.42</v>
      </c>
      <c r="L48" s="2">
        <v>3.95</v>
      </c>
      <c r="M48" s="2">
        <v>0.36</v>
      </c>
      <c r="N48" s="2">
        <v>0</v>
      </c>
      <c r="O48" s="6">
        <v>0</v>
      </c>
      <c r="P48" s="3">
        <f t="shared" si="0"/>
        <v>14.75</v>
      </c>
      <c r="Q48" s="5">
        <v>8.4446491254332228E-5</v>
      </c>
      <c r="R48" s="5">
        <v>0.24238436833241664</v>
      </c>
      <c r="S48" s="5">
        <v>0.64650566391705888</v>
      </c>
      <c r="T48" s="3">
        <v>0.11</v>
      </c>
      <c r="U48">
        <v>1400</v>
      </c>
      <c r="V48" s="3">
        <v>100</v>
      </c>
      <c r="W48">
        <v>0</v>
      </c>
      <c r="X48" s="9">
        <v>0</v>
      </c>
      <c r="Y48">
        <v>0</v>
      </c>
      <c r="Z48">
        <v>0</v>
      </c>
      <c r="AA48">
        <v>0</v>
      </c>
      <c r="AB48" s="8">
        <v>0</v>
      </c>
      <c r="AD48" s="3"/>
    </row>
    <row r="49" spans="1:30">
      <c r="A49" s="20" t="s">
        <v>59</v>
      </c>
      <c r="B49" s="2">
        <f t="shared" si="6"/>
        <v>26.5</v>
      </c>
      <c r="C49" s="2">
        <f t="shared" si="5"/>
        <v>37.476659402887016</v>
      </c>
      <c r="D49" s="2">
        <v>50.17</v>
      </c>
      <c r="E49" s="2">
        <v>1.03</v>
      </c>
      <c r="F49" s="2">
        <v>11.83</v>
      </c>
      <c r="G49" s="2">
        <v>0.19</v>
      </c>
      <c r="H49" s="2">
        <v>13.72</v>
      </c>
      <c r="I49" s="2">
        <v>0.3</v>
      </c>
      <c r="J49" s="2">
        <v>9.0399999999999991</v>
      </c>
      <c r="K49" s="2">
        <v>9.42</v>
      </c>
      <c r="L49" s="2">
        <v>3.95</v>
      </c>
      <c r="M49" s="2">
        <v>0.36</v>
      </c>
      <c r="N49" s="2">
        <v>0</v>
      </c>
      <c r="O49" s="6">
        <v>0</v>
      </c>
      <c r="P49" s="3">
        <f t="shared" si="0"/>
        <v>14.75</v>
      </c>
      <c r="Q49" s="5">
        <v>1.0345251450584667E-4</v>
      </c>
      <c r="R49" s="5">
        <v>0.18789517701419545</v>
      </c>
      <c r="S49" s="5">
        <v>0.55496447656477577</v>
      </c>
      <c r="T49" s="3">
        <v>0.21</v>
      </c>
      <c r="U49">
        <v>1400</v>
      </c>
      <c r="V49" s="3">
        <v>100</v>
      </c>
      <c r="W49">
        <v>0</v>
      </c>
      <c r="X49" s="9">
        <v>0</v>
      </c>
      <c r="Y49">
        <v>0</v>
      </c>
      <c r="Z49">
        <v>0</v>
      </c>
      <c r="AA49">
        <v>0</v>
      </c>
      <c r="AB49" s="8">
        <v>0</v>
      </c>
      <c r="AD49" s="3"/>
    </row>
    <row r="50" spans="1:30">
      <c r="A50" s="20" t="s">
        <v>76</v>
      </c>
      <c r="B50" s="2">
        <f t="shared" si="6"/>
        <v>26.5</v>
      </c>
      <c r="C50" s="2">
        <f t="shared" si="5"/>
        <v>37.476659402887016</v>
      </c>
      <c r="D50" s="2">
        <v>50.17</v>
      </c>
      <c r="E50" s="2">
        <v>1.03</v>
      </c>
      <c r="F50" s="2">
        <v>11.83</v>
      </c>
      <c r="G50" s="2">
        <v>0.19</v>
      </c>
      <c r="H50" s="2">
        <v>13.72</v>
      </c>
      <c r="I50" s="2">
        <v>0.3</v>
      </c>
      <c r="J50" s="2">
        <v>9.0399999999999991</v>
      </c>
      <c r="K50" s="2">
        <v>9.42</v>
      </c>
      <c r="L50" s="2">
        <v>3.95</v>
      </c>
      <c r="M50" s="2">
        <v>0.36</v>
      </c>
      <c r="N50" s="2">
        <v>0</v>
      </c>
      <c r="O50" s="6">
        <v>0</v>
      </c>
      <c r="P50" s="3">
        <f t="shared" si="0"/>
        <v>14.75</v>
      </c>
      <c r="Q50" s="5">
        <v>1.317524609678349E-4</v>
      </c>
      <c r="R50" s="5">
        <v>0.18279421989332495</v>
      </c>
      <c r="S50" s="5">
        <v>0.52430905622350488</v>
      </c>
      <c r="T50" s="3">
        <v>0.31</v>
      </c>
      <c r="U50">
        <v>1400</v>
      </c>
      <c r="V50" s="3">
        <v>100</v>
      </c>
      <c r="W50">
        <v>0</v>
      </c>
      <c r="X50" s="9">
        <v>0</v>
      </c>
      <c r="Y50">
        <v>0</v>
      </c>
      <c r="Z50">
        <v>0</v>
      </c>
      <c r="AA50">
        <v>0</v>
      </c>
      <c r="AB50" s="8">
        <v>0</v>
      </c>
      <c r="AD50" s="3"/>
    </row>
    <row r="51" spans="1:30">
      <c r="A51" s="20" t="s">
        <v>61</v>
      </c>
      <c r="B51" s="2">
        <f t="shared" si="6"/>
        <v>26.5</v>
      </c>
      <c r="C51" s="2">
        <f t="shared" si="5"/>
        <v>37.476659402887016</v>
      </c>
      <c r="D51" s="2">
        <v>50.17</v>
      </c>
      <c r="E51" s="2">
        <v>1.03</v>
      </c>
      <c r="F51" s="2">
        <v>11.83</v>
      </c>
      <c r="G51" s="2">
        <v>0.19</v>
      </c>
      <c r="H51" s="2">
        <v>13.72</v>
      </c>
      <c r="I51" s="2">
        <v>0.3</v>
      </c>
      <c r="J51" s="2">
        <v>9.0399999999999991</v>
      </c>
      <c r="K51" s="2">
        <v>9.42</v>
      </c>
      <c r="L51" s="2">
        <v>3.95</v>
      </c>
      <c r="M51" s="2">
        <v>0.36</v>
      </c>
      <c r="N51" s="2">
        <v>0</v>
      </c>
      <c r="O51" s="6">
        <v>0</v>
      </c>
      <c r="P51" s="3">
        <f t="shared" si="0"/>
        <v>14.75</v>
      </c>
      <c r="Q51" s="5">
        <v>1.5415208332203488E-4</v>
      </c>
      <c r="R51" s="5">
        <v>0.15741357681168497</v>
      </c>
      <c r="S51" s="5">
        <v>0.46159607421020077</v>
      </c>
      <c r="T51" s="3">
        <v>0.43</v>
      </c>
      <c r="U51">
        <v>1400</v>
      </c>
      <c r="V51" s="3">
        <v>100</v>
      </c>
      <c r="W51">
        <v>0</v>
      </c>
      <c r="X51" s="9">
        <v>0</v>
      </c>
      <c r="Y51">
        <v>0</v>
      </c>
      <c r="Z51">
        <v>0</v>
      </c>
      <c r="AA51">
        <v>0</v>
      </c>
      <c r="AB51" s="8">
        <v>0</v>
      </c>
      <c r="AD51" s="3"/>
    </row>
    <row r="52" spans="1:30">
      <c r="A52" s="20" t="s">
        <v>77</v>
      </c>
      <c r="B52" s="2">
        <f t="shared" si="6"/>
        <v>26.5</v>
      </c>
      <c r="C52" s="2">
        <f t="shared" si="5"/>
        <v>37.476659402887016</v>
      </c>
      <c r="D52" s="2">
        <v>50.17</v>
      </c>
      <c r="E52" s="2">
        <v>1.03</v>
      </c>
      <c r="F52" s="2">
        <v>11.83</v>
      </c>
      <c r="G52" s="2">
        <v>0.19</v>
      </c>
      <c r="H52" s="2">
        <v>13.72</v>
      </c>
      <c r="I52" s="2">
        <v>0.3</v>
      </c>
      <c r="J52" s="2">
        <v>9.0399999999999991</v>
      </c>
      <c r="K52" s="2">
        <v>9.42</v>
      </c>
      <c r="L52" s="2">
        <v>3.95</v>
      </c>
      <c r="M52" s="2">
        <v>0.36</v>
      </c>
      <c r="N52" s="2">
        <v>0</v>
      </c>
      <c r="O52" s="6">
        <v>0</v>
      </c>
      <c r="P52" s="3">
        <f t="shared" si="0"/>
        <v>14.75</v>
      </c>
      <c r="Q52" s="5">
        <v>1.7184866055900672E-4</v>
      </c>
      <c r="R52" s="5">
        <v>0.15115950710225659</v>
      </c>
      <c r="S52" s="5">
        <v>0.42818137232266307</v>
      </c>
      <c r="T52" s="3">
        <v>0.56000000000000005</v>
      </c>
      <c r="U52">
        <v>1400</v>
      </c>
      <c r="V52" s="3">
        <v>100</v>
      </c>
      <c r="W52">
        <v>0</v>
      </c>
      <c r="X52" s="9">
        <v>0</v>
      </c>
      <c r="Y52">
        <v>0</v>
      </c>
      <c r="Z52">
        <v>0</v>
      </c>
      <c r="AA52">
        <v>0</v>
      </c>
      <c r="AB52" s="8">
        <v>0</v>
      </c>
      <c r="AD52" s="3"/>
    </row>
    <row r="53" spans="1:30">
      <c r="A53" s="20" t="s">
        <v>62</v>
      </c>
      <c r="B53" s="2">
        <f t="shared" si="6"/>
        <v>26.5</v>
      </c>
      <c r="C53" s="2">
        <f t="shared" si="5"/>
        <v>37.476659402887016</v>
      </c>
      <c r="D53" s="2">
        <v>46.08</v>
      </c>
      <c r="E53" s="2">
        <v>0.3</v>
      </c>
      <c r="F53" s="2">
        <v>28.05</v>
      </c>
      <c r="G53" s="2">
        <v>0</v>
      </c>
      <c r="H53" s="2">
        <v>4.51</v>
      </c>
      <c r="I53" s="2">
        <v>0</v>
      </c>
      <c r="J53" s="2">
        <v>4.51</v>
      </c>
      <c r="K53" s="2">
        <v>16.03</v>
      </c>
      <c r="L53" s="2">
        <v>0.45</v>
      </c>
      <c r="M53" s="2">
        <v>0.08</v>
      </c>
      <c r="N53" s="2">
        <v>0</v>
      </c>
      <c r="O53" s="6">
        <v>0</v>
      </c>
      <c r="P53" s="3">
        <f t="shared" si="0"/>
        <v>4.8099999999999996</v>
      </c>
      <c r="Q53" s="5">
        <v>6.1012461599083441E-6</v>
      </c>
      <c r="R53" s="5">
        <v>0.48978208543720486</v>
      </c>
      <c r="S53" s="5">
        <v>1.0141239418315582</v>
      </c>
      <c r="T53" s="4">
        <v>0</v>
      </c>
      <c r="U53" s="2">
        <v>1500</v>
      </c>
      <c r="V53" s="3">
        <v>100</v>
      </c>
      <c r="W53">
        <v>0</v>
      </c>
      <c r="X53" s="9">
        <v>0</v>
      </c>
      <c r="Y53">
        <v>0</v>
      </c>
      <c r="Z53">
        <v>0</v>
      </c>
      <c r="AA53">
        <v>0</v>
      </c>
      <c r="AB53" s="8">
        <v>0</v>
      </c>
      <c r="AD53" s="3"/>
    </row>
    <row r="54" spans="1:30">
      <c r="A54" s="20" t="s">
        <v>64</v>
      </c>
      <c r="B54" s="2">
        <f t="shared" si="6"/>
        <v>26.5</v>
      </c>
      <c r="C54" s="2">
        <f t="shared" si="5"/>
        <v>37.476659402887016</v>
      </c>
      <c r="D54" s="2">
        <v>38.39</v>
      </c>
      <c r="E54" s="2">
        <v>9.98</v>
      </c>
      <c r="F54" s="2">
        <v>6.01</v>
      </c>
      <c r="G54" s="2">
        <v>0.66</v>
      </c>
      <c r="H54" s="2">
        <v>22.86</v>
      </c>
      <c r="I54" s="2">
        <v>0.31</v>
      </c>
      <c r="J54" s="2">
        <v>13.87</v>
      </c>
      <c r="K54" s="2">
        <v>7.44</v>
      </c>
      <c r="L54" s="2">
        <v>0.42</v>
      </c>
      <c r="M54" s="2">
        <v>0.06</v>
      </c>
      <c r="N54" s="2">
        <v>0</v>
      </c>
      <c r="O54" s="6">
        <v>0</v>
      </c>
      <c r="P54" s="3">
        <f t="shared" si="0"/>
        <v>32.840000000000003</v>
      </c>
      <c r="Q54" s="5">
        <v>5.5647111666260715E-5</v>
      </c>
      <c r="R54" s="5">
        <v>8.6226755618466433E-2</v>
      </c>
      <c r="S54" s="5">
        <v>0.38973080234905366</v>
      </c>
      <c r="T54" s="4">
        <v>0</v>
      </c>
      <c r="U54" s="2">
        <v>1500</v>
      </c>
      <c r="V54" s="3">
        <v>100</v>
      </c>
      <c r="W54">
        <v>0</v>
      </c>
      <c r="X54" s="9">
        <v>0</v>
      </c>
      <c r="Y54">
        <v>0</v>
      </c>
      <c r="Z54">
        <v>0</v>
      </c>
      <c r="AA54">
        <v>0</v>
      </c>
      <c r="AB54" s="8">
        <v>0</v>
      </c>
      <c r="AD54" s="3"/>
    </row>
    <row r="55" spans="1:30">
      <c r="A55" s="20" t="s">
        <v>65</v>
      </c>
      <c r="B55" s="2">
        <f t="shared" si="6"/>
        <v>26.5</v>
      </c>
      <c r="C55" s="2">
        <f t="shared" si="5"/>
        <v>37.476659402887016</v>
      </c>
      <c r="D55" s="2">
        <v>35.090000000000003</v>
      </c>
      <c r="E55" s="2">
        <v>14.92</v>
      </c>
      <c r="F55" s="2">
        <v>5.79</v>
      </c>
      <c r="G55" s="2">
        <v>0.89</v>
      </c>
      <c r="H55" s="2">
        <v>22.45</v>
      </c>
      <c r="I55" s="2">
        <v>0.28999999999999998</v>
      </c>
      <c r="J55" s="2">
        <v>12.83</v>
      </c>
      <c r="K55" s="2">
        <v>7.25</v>
      </c>
      <c r="L55" s="2">
        <v>0.36</v>
      </c>
      <c r="M55" s="2">
        <v>0.14000000000000001</v>
      </c>
      <c r="N55" s="2">
        <v>0</v>
      </c>
      <c r="O55" s="6">
        <v>0</v>
      </c>
      <c r="P55" s="3">
        <f t="shared" si="0"/>
        <v>37.369999999999997</v>
      </c>
      <c r="Q55" s="5">
        <v>8.1715589060013508E-5</v>
      </c>
      <c r="R55" s="5">
        <v>0.10077068404466884</v>
      </c>
      <c r="S55" s="5">
        <v>0.36388789608207744</v>
      </c>
      <c r="T55" s="4">
        <v>0</v>
      </c>
      <c r="U55" s="2">
        <v>1500</v>
      </c>
      <c r="V55" s="3">
        <v>100</v>
      </c>
      <c r="W55">
        <v>0</v>
      </c>
      <c r="X55" s="9">
        <v>0</v>
      </c>
      <c r="Y55">
        <v>0</v>
      </c>
      <c r="Z55">
        <v>0</v>
      </c>
      <c r="AA55">
        <v>0</v>
      </c>
      <c r="AB55" s="8">
        <v>0</v>
      </c>
      <c r="AD55" s="3"/>
    </row>
    <row r="56" spans="1:30">
      <c r="A56" s="20" t="s">
        <v>66</v>
      </c>
      <c r="B56" s="2">
        <f t="shared" si="6"/>
        <v>26.5</v>
      </c>
      <c r="C56" s="2">
        <f t="shared" si="5"/>
        <v>37.476659402887016</v>
      </c>
      <c r="D56" s="2">
        <v>41.91</v>
      </c>
      <c r="E56" s="2">
        <v>4.88</v>
      </c>
      <c r="F56" s="2">
        <v>7.68</v>
      </c>
      <c r="G56" s="2">
        <v>0.5</v>
      </c>
      <c r="H56" s="2">
        <v>22.56</v>
      </c>
      <c r="I56" s="2">
        <v>0.35</v>
      </c>
      <c r="J56" s="2">
        <v>13.14</v>
      </c>
      <c r="K56" s="2">
        <v>8.4600000000000009</v>
      </c>
      <c r="L56" s="2">
        <v>0.45</v>
      </c>
      <c r="M56" s="2">
        <v>0.05</v>
      </c>
      <c r="N56" s="2">
        <v>0</v>
      </c>
      <c r="O56" s="6">
        <v>0</v>
      </c>
      <c r="P56" s="3">
        <f t="shared" si="0"/>
        <v>27.439999999999998</v>
      </c>
      <c r="Q56" s="5">
        <v>8.3399321114829299E-5</v>
      </c>
      <c r="R56" s="5">
        <v>0.15428470604126829</v>
      </c>
      <c r="S56" s="5">
        <v>0.33947320497988576</v>
      </c>
      <c r="T56" s="4">
        <v>0</v>
      </c>
      <c r="U56" s="2">
        <v>1500</v>
      </c>
      <c r="V56" s="3">
        <v>100</v>
      </c>
      <c r="W56">
        <v>0</v>
      </c>
      <c r="X56" s="9">
        <v>0</v>
      </c>
      <c r="Y56">
        <v>0</v>
      </c>
      <c r="Z56">
        <v>0</v>
      </c>
      <c r="AA56">
        <v>0</v>
      </c>
      <c r="AB56" s="8">
        <v>0</v>
      </c>
      <c r="AD56" s="3"/>
    </row>
    <row r="57" spans="1:30">
      <c r="A57" s="20" t="s">
        <v>70</v>
      </c>
      <c r="B57" s="2">
        <f t="shared" si="6"/>
        <v>26.5</v>
      </c>
      <c r="C57" s="2">
        <f t="shared" si="5"/>
        <v>37.476659402887016</v>
      </c>
      <c r="D57" s="2">
        <v>45.58</v>
      </c>
      <c r="E57" s="2">
        <v>0.55000000000000004</v>
      </c>
      <c r="F57" s="2">
        <v>7.86</v>
      </c>
      <c r="G57" s="2">
        <v>0.51</v>
      </c>
      <c r="H57" s="2">
        <v>19.489999999999998</v>
      </c>
      <c r="I57" s="2">
        <v>0.28000000000000003</v>
      </c>
      <c r="J57" s="2">
        <v>17.100000000000001</v>
      </c>
      <c r="K57" s="2">
        <v>8.43</v>
      </c>
      <c r="L57" s="2">
        <v>0.19</v>
      </c>
      <c r="M57" s="2">
        <v>0.01</v>
      </c>
      <c r="N57" s="2">
        <v>0</v>
      </c>
      <c r="O57" s="6">
        <v>0</v>
      </c>
      <c r="P57" s="3">
        <f t="shared" si="0"/>
        <v>20.04</v>
      </c>
      <c r="Q57" s="5">
        <v>1.3138888888888892E-5</v>
      </c>
      <c r="R57" s="5">
        <v>0.16472346085466544</v>
      </c>
      <c r="S57" s="5">
        <v>1.0269532184688739</v>
      </c>
      <c r="T57" s="4">
        <v>0</v>
      </c>
      <c r="U57" s="2">
        <v>1500</v>
      </c>
      <c r="V57" s="3">
        <v>100</v>
      </c>
      <c r="W57">
        <v>0</v>
      </c>
      <c r="X57" s="9">
        <v>0</v>
      </c>
      <c r="Y57">
        <v>0</v>
      </c>
      <c r="Z57">
        <v>0</v>
      </c>
      <c r="AA57">
        <v>0</v>
      </c>
      <c r="AB57" s="8">
        <v>0</v>
      </c>
      <c r="AD57" s="3"/>
    </row>
    <row r="58" spans="1:30">
      <c r="A58" s="20" t="s">
        <v>71</v>
      </c>
      <c r="B58" s="2">
        <f t="shared" si="6"/>
        <v>26.5</v>
      </c>
      <c r="C58" s="2">
        <f t="shared" si="5"/>
        <v>37.476659402887016</v>
      </c>
      <c r="D58" s="2">
        <v>44.32</v>
      </c>
      <c r="E58" s="2">
        <v>2.29</v>
      </c>
      <c r="F58" s="2">
        <v>8.42</v>
      </c>
      <c r="G58" s="2">
        <v>0.85</v>
      </c>
      <c r="H58" s="2">
        <v>22.81</v>
      </c>
      <c r="I58" s="2">
        <v>0.32</v>
      </c>
      <c r="J58" s="2">
        <v>11.36</v>
      </c>
      <c r="K58" s="2">
        <v>9.32</v>
      </c>
      <c r="L58" s="2">
        <v>0.27</v>
      </c>
      <c r="M58" s="2">
        <v>0.04</v>
      </c>
      <c r="N58" s="2">
        <v>0</v>
      </c>
      <c r="O58" s="6">
        <v>0</v>
      </c>
      <c r="P58" s="3">
        <f t="shared" si="0"/>
        <v>25.099999999999998</v>
      </c>
      <c r="Q58" s="5">
        <v>4.3656328908187446E-5</v>
      </c>
      <c r="R58" s="5">
        <v>0.13350127328742065</v>
      </c>
      <c r="S58" s="5">
        <v>0.47995394765238675</v>
      </c>
      <c r="T58" s="4">
        <v>0</v>
      </c>
      <c r="U58" s="2">
        <v>1500</v>
      </c>
      <c r="V58" s="3">
        <v>100</v>
      </c>
      <c r="W58">
        <v>0</v>
      </c>
      <c r="X58" s="9">
        <v>0</v>
      </c>
      <c r="Y58">
        <v>0</v>
      </c>
      <c r="Z58">
        <v>0</v>
      </c>
      <c r="AA58">
        <v>0</v>
      </c>
      <c r="AB58" s="8">
        <v>0</v>
      </c>
      <c r="AD58" s="3"/>
    </row>
    <row r="59" spans="1:30">
      <c r="A59" s="20" t="s">
        <v>67</v>
      </c>
      <c r="B59" s="2">
        <f t="shared" si="6"/>
        <v>26.5</v>
      </c>
      <c r="C59" s="2">
        <f t="shared" si="5"/>
        <v>37.476659402887016</v>
      </c>
      <c r="D59" s="2">
        <v>51.84</v>
      </c>
      <c r="E59" s="2">
        <v>0.91</v>
      </c>
      <c r="F59" s="2">
        <v>16.010000000000002</v>
      </c>
      <c r="G59" s="2">
        <v>0.4</v>
      </c>
      <c r="H59" s="2">
        <v>11.67</v>
      </c>
      <c r="I59" s="2">
        <v>0.17</v>
      </c>
      <c r="J59" s="2">
        <v>3.61</v>
      </c>
      <c r="K59" s="2">
        <v>6.76</v>
      </c>
      <c r="L59" s="2">
        <v>6.39</v>
      </c>
      <c r="M59" s="2">
        <v>2.23</v>
      </c>
      <c r="N59" s="2">
        <v>0</v>
      </c>
      <c r="O59" s="6">
        <v>0</v>
      </c>
      <c r="P59" s="3">
        <f t="shared" si="0"/>
        <v>12.58</v>
      </c>
      <c r="Q59" s="5">
        <v>1.020367754715489E-4</v>
      </c>
      <c r="R59" s="5">
        <v>0.16008342787848001</v>
      </c>
      <c r="S59" s="5">
        <v>0.4539151277026362</v>
      </c>
      <c r="T59" s="10" t="s">
        <v>101</v>
      </c>
      <c r="U59" s="2">
        <v>1300</v>
      </c>
      <c r="V59" s="3">
        <v>98</v>
      </c>
      <c r="W59">
        <v>0</v>
      </c>
      <c r="X59" s="9">
        <v>0</v>
      </c>
      <c r="Y59">
        <v>0</v>
      </c>
      <c r="Z59">
        <v>2</v>
      </c>
      <c r="AA59">
        <v>0</v>
      </c>
      <c r="AB59" s="8">
        <v>0</v>
      </c>
      <c r="AD59" s="3"/>
    </row>
    <row r="60" spans="1:30">
      <c r="A60" s="20" t="s">
        <v>68</v>
      </c>
      <c r="B60" s="2">
        <f t="shared" si="6"/>
        <v>26.5</v>
      </c>
      <c r="C60" s="2">
        <f t="shared" si="5"/>
        <v>37.476659402887016</v>
      </c>
      <c r="D60" s="2">
        <v>51.84</v>
      </c>
      <c r="E60" s="2">
        <v>0.91</v>
      </c>
      <c r="F60" s="2">
        <v>16.010000000000002</v>
      </c>
      <c r="G60" s="2">
        <v>0.4</v>
      </c>
      <c r="H60" s="2">
        <v>11.67</v>
      </c>
      <c r="I60" s="2">
        <v>0.17</v>
      </c>
      <c r="J60" s="2">
        <v>3.61</v>
      </c>
      <c r="K60" s="2">
        <v>6.76</v>
      </c>
      <c r="L60" s="2">
        <v>6.39</v>
      </c>
      <c r="M60" s="2">
        <v>2.23</v>
      </c>
      <c r="N60" s="2">
        <v>0</v>
      </c>
      <c r="O60" s="6">
        <v>0</v>
      </c>
      <c r="P60" s="3">
        <f t="shared" si="0"/>
        <v>12.58</v>
      </c>
      <c r="Q60" s="5">
        <v>1.5220595410583133E-4</v>
      </c>
      <c r="R60" s="5">
        <v>0.15487325056681761</v>
      </c>
      <c r="S60" s="5">
        <v>0.43314858399008677</v>
      </c>
      <c r="T60" s="10" t="s">
        <v>101</v>
      </c>
      <c r="U60" s="2">
        <v>1400</v>
      </c>
      <c r="V60" s="3">
        <v>99</v>
      </c>
      <c r="W60">
        <v>0</v>
      </c>
      <c r="X60" s="9">
        <v>0</v>
      </c>
      <c r="Y60">
        <v>0</v>
      </c>
      <c r="Z60">
        <v>1</v>
      </c>
      <c r="AA60">
        <v>0</v>
      </c>
      <c r="AB60" s="8">
        <v>0</v>
      </c>
      <c r="AD60" s="3"/>
    </row>
    <row r="61" spans="1:30">
      <c r="A61" s="20" t="s">
        <v>69</v>
      </c>
      <c r="B61" s="2">
        <f t="shared" si="6"/>
        <v>26.5</v>
      </c>
      <c r="C61" s="2">
        <f t="shared" si="5"/>
        <v>37.476659402887016</v>
      </c>
      <c r="D61" s="2">
        <v>51.84</v>
      </c>
      <c r="E61" s="2">
        <v>0.91</v>
      </c>
      <c r="F61" s="2">
        <v>16.010000000000002</v>
      </c>
      <c r="G61" s="2">
        <v>0.4</v>
      </c>
      <c r="H61" s="2">
        <v>11.67</v>
      </c>
      <c r="I61" s="2">
        <v>0.17</v>
      </c>
      <c r="J61" s="2">
        <v>3.61</v>
      </c>
      <c r="K61" s="2">
        <v>6.76</v>
      </c>
      <c r="L61" s="2">
        <v>6.39</v>
      </c>
      <c r="M61" s="2">
        <v>2.23</v>
      </c>
      <c r="N61" s="2">
        <v>0</v>
      </c>
      <c r="O61" s="6">
        <v>0</v>
      </c>
      <c r="P61" s="3">
        <f t="shared" si="0"/>
        <v>12.58</v>
      </c>
      <c r="Q61" s="5">
        <v>1.8889378028797947E-4</v>
      </c>
      <c r="R61" s="5">
        <v>0.18073616394364034</v>
      </c>
      <c r="S61" s="5">
        <v>0.42598724360579515</v>
      </c>
      <c r="T61" s="10" t="s">
        <v>101</v>
      </c>
      <c r="U61" s="2">
        <v>1500</v>
      </c>
      <c r="V61" s="3">
        <v>100</v>
      </c>
      <c r="W61">
        <v>0</v>
      </c>
      <c r="X61" s="9">
        <v>0</v>
      </c>
      <c r="Y61">
        <v>0</v>
      </c>
      <c r="Z61">
        <v>0</v>
      </c>
      <c r="AA61">
        <v>0</v>
      </c>
      <c r="AB61" s="8">
        <v>0</v>
      </c>
      <c r="AD61" s="3"/>
    </row>
    <row r="62" spans="1:30">
      <c r="A62" s="20" t="s">
        <v>72</v>
      </c>
      <c r="B62" s="2">
        <f t="shared" si="6"/>
        <v>26.5</v>
      </c>
      <c r="C62" s="2">
        <f t="shared" si="5"/>
        <v>37.476659402887016</v>
      </c>
      <c r="D62" s="2">
        <v>58.38</v>
      </c>
      <c r="E62" s="2">
        <v>0</v>
      </c>
      <c r="F62" s="2">
        <v>14.23</v>
      </c>
      <c r="G62" s="2">
        <v>0</v>
      </c>
      <c r="H62" s="2">
        <v>0</v>
      </c>
      <c r="I62" s="2">
        <v>0</v>
      </c>
      <c r="J62" s="2">
        <v>15.83</v>
      </c>
      <c r="K62" s="2">
        <v>4.2699999999999996</v>
      </c>
      <c r="L62" s="2">
        <v>7.29</v>
      </c>
      <c r="M62" s="2">
        <v>0</v>
      </c>
      <c r="N62" s="2">
        <v>0</v>
      </c>
      <c r="O62" s="6">
        <v>0</v>
      </c>
      <c r="P62" s="3">
        <f t="shared" si="0"/>
        <v>0</v>
      </c>
      <c r="Q62" s="5">
        <v>1.0234594223628559E-4</v>
      </c>
      <c r="R62" s="5">
        <v>0.765855684832765</v>
      </c>
      <c r="S62" s="5">
        <v>0.82188399693852288</v>
      </c>
      <c r="T62" s="4">
        <v>0</v>
      </c>
      <c r="U62" s="2">
        <v>1500</v>
      </c>
      <c r="V62" s="3">
        <v>100</v>
      </c>
      <c r="W62">
        <v>0</v>
      </c>
      <c r="X62" s="9">
        <v>0</v>
      </c>
      <c r="Y62">
        <v>0</v>
      </c>
      <c r="Z62">
        <v>0</v>
      </c>
      <c r="AA62">
        <v>0</v>
      </c>
      <c r="AB62" s="8">
        <v>0</v>
      </c>
      <c r="AD62" s="3"/>
    </row>
    <row r="63" spans="1:30">
      <c r="A63" s="20" t="s">
        <v>73</v>
      </c>
      <c r="B63" s="2">
        <f t="shared" si="6"/>
        <v>26.5</v>
      </c>
      <c r="C63" s="2">
        <f t="shared" si="5"/>
        <v>37.476659402887016</v>
      </c>
      <c r="D63" s="2">
        <v>57.9</v>
      </c>
      <c r="E63" s="2">
        <v>0.82</v>
      </c>
      <c r="F63" s="2">
        <v>14.11</v>
      </c>
      <c r="G63" s="2">
        <v>0</v>
      </c>
      <c r="H63" s="2">
        <v>0</v>
      </c>
      <c r="I63" s="2">
        <v>0</v>
      </c>
      <c r="J63" s="2">
        <v>15.7</v>
      </c>
      <c r="K63" s="2">
        <v>4.24</v>
      </c>
      <c r="L63" s="2">
        <v>7.23</v>
      </c>
      <c r="M63" s="2">
        <v>0</v>
      </c>
      <c r="N63" s="2">
        <v>0</v>
      </c>
      <c r="O63" s="6">
        <v>0</v>
      </c>
      <c r="P63" s="3">
        <f t="shared" si="0"/>
        <v>0.82</v>
      </c>
      <c r="Q63" s="5">
        <v>8.3573479544180536E-5</v>
      </c>
      <c r="R63" s="5">
        <v>0.75899482815659947</v>
      </c>
      <c r="S63" s="5">
        <v>0.85761893802862055</v>
      </c>
      <c r="T63" s="4">
        <v>0</v>
      </c>
      <c r="U63" s="2">
        <v>1500</v>
      </c>
      <c r="V63" s="3">
        <v>100</v>
      </c>
      <c r="W63">
        <v>0</v>
      </c>
      <c r="X63" s="9">
        <v>0</v>
      </c>
      <c r="Y63">
        <v>0</v>
      </c>
      <c r="Z63">
        <v>0</v>
      </c>
      <c r="AA63">
        <v>0</v>
      </c>
      <c r="AB63" s="8">
        <v>0</v>
      </c>
      <c r="AD63" s="3"/>
    </row>
    <row r="64" spans="1:30">
      <c r="A64" s="20" t="s">
        <v>74</v>
      </c>
      <c r="B64" s="2">
        <f t="shared" si="6"/>
        <v>26.5</v>
      </c>
      <c r="C64" s="2">
        <f t="shared" si="5"/>
        <v>37.476659402887016</v>
      </c>
      <c r="D64" s="2">
        <v>57.97</v>
      </c>
      <c r="E64" s="2">
        <v>0</v>
      </c>
      <c r="F64" s="2">
        <v>14.13</v>
      </c>
      <c r="G64" s="2">
        <v>0.7</v>
      </c>
      <c r="H64" s="2">
        <v>0</v>
      </c>
      <c r="I64" s="2">
        <v>0</v>
      </c>
      <c r="J64" s="2">
        <v>15.72</v>
      </c>
      <c r="K64" s="2">
        <v>4.24</v>
      </c>
      <c r="L64" s="2">
        <v>7.24</v>
      </c>
      <c r="M64" s="2">
        <v>0</v>
      </c>
      <c r="N64" s="2">
        <v>0</v>
      </c>
      <c r="O64" s="6">
        <v>0</v>
      </c>
      <c r="P64" s="3">
        <f t="shared" si="0"/>
        <v>0</v>
      </c>
      <c r="Q64" s="5">
        <v>8.3546315610936667E-5</v>
      </c>
      <c r="R64" s="5">
        <v>0.75900010373922477</v>
      </c>
      <c r="S64" s="5">
        <v>0.85745090026038306</v>
      </c>
      <c r="T64" s="4">
        <v>0</v>
      </c>
      <c r="U64" s="2">
        <v>1500</v>
      </c>
      <c r="V64" s="3">
        <v>100</v>
      </c>
      <c r="W64">
        <v>0</v>
      </c>
      <c r="X64" s="9">
        <v>0</v>
      </c>
      <c r="Y64">
        <v>0</v>
      </c>
      <c r="Z64">
        <v>0</v>
      </c>
      <c r="AA64">
        <v>0</v>
      </c>
      <c r="AB64" s="8">
        <v>0</v>
      </c>
      <c r="AD64" s="3"/>
    </row>
    <row r="65" spans="1:35" ht="14.25" customHeight="1">
      <c r="A65" s="20" t="s">
        <v>63</v>
      </c>
      <c r="B65" s="2">
        <f t="shared" si="6"/>
        <v>26.5</v>
      </c>
      <c r="C65" s="2">
        <f t="shared" si="5"/>
        <v>37.476659402887016</v>
      </c>
      <c r="D65" s="2">
        <v>57.77</v>
      </c>
      <c r="E65" s="2">
        <v>0</v>
      </c>
      <c r="F65" s="2">
        <v>14.08</v>
      </c>
      <c r="G65" s="2">
        <v>0</v>
      </c>
      <c r="H65" s="2">
        <v>1.04</v>
      </c>
      <c r="I65" s="2">
        <v>0</v>
      </c>
      <c r="J65" s="2">
        <v>15.67</v>
      </c>
      <c r="K65" s="2">
        <v>4.2300000000000004</v>
      </c>
      <c r="L65" s="2">
        <v>7.21</v>
      </c>
      <c r="M65" s="2">
        <v>0</v>
      </c>
      <c r="N65" s="2">
        <v>0</v>
      </c>
      <c r="O65" s="6">
        <v>0</v>
      </c>
      <c r="P65" s="3">
        <f t="shared" si="0"/>
        <v>1.04</v>
      </c>
      <c r="Q65" s="5">
        <v>6.6612704007826636E-5</v>
      </c>
      <c r="R65" s="5">
        <v>0.63044985988861779</v>
      </c>
      <c r="S65" s="5">
        <v>0.90617624108156913</v>
      </c>
      <c r="T65" s="4">
        <v>0</v>
      </c>
      <c r="U65" s="2">
        <v>1500</v>
      </c>
      <c r="V65" s="3">
        <v>100</v>
      </c>
      <c r="W65">
        <v>0</v>
      </c>
      <c r="X65" s="9">
        <v>0</v>
      </c>
      <c r="Y65">
        <v>0</v>
      </c>
      <c r="Z65">
        <v>0</v>
      </c>
      <c r="AA65">
        <v>0</v>
      </c>
      <c r="AB65" s="8">
        <v>0</v>
      </c>
      <c r="AD65" s="3"/>
    </row>
    <row r="66" spans="1:35" ht="14.25" customHeight="1">
      <c r="A66" s="20" t="s">
        <v>90</v>
      </c>
      <c r="B66" s="2">
        <f t="shared" ref="B66:B78" si="7">AVERAGE(0,36)</f>
        <v>18</v>
      </c>
      <c r="C66" s="2">
        <f>STDEV(0,36)</f>
        <v>25.45584412271571</v>
      </c>
      <c r="D66">
        <v>48.5</v>
      </c>
      <c r="E66">
        <v>1.53</v>
      </c>
      <c r="F66">
        <v>14.53</v>
      </c>
      <c r="G66" s="2">
        <v>0</v>
      </c>
      <c r="H66">
        <v>10.9</v>
      </c>
      <c r="I66">
        <v>0.18</v>
      </c>
      <c r="J66">
        <v>7.82</v>
      </c>
      <c r="K66">
        <v>12.13</v>
      </c>
      <c r="L66">
        <v>2.61</v>
      </c>
      <c r="M66">
        <v>1.23</v>
      </c>
      <c r="N66">
        <v>0.45</v>
      </c>
      <c r="O66" s="6">
        <v>0</v>
      </c>
      <c r="P66" s="3">
        <f t="shared" si="0"/>
        <v>12.43</v>
      </c>
      <c r="Q66">
        <v>2.091759700422467E-4</v>
      </c>
      <c r="R66">
        <v>0.1826332735286538</v>
      </c>
      <c r="S66">
        <v>0.29597761950683554</v>
      </c>
      <c r="T66">
        <v>0.66</v>
      </c>
      <c r="U66" s="2">
        <v>1350</v>
      </c>
      <c r="V66" s="3">
        <v>100</v>
      </c>
      <c r="W66">
        <v>0</v>
      </c>
      <c r="X66" s="9">
        <v>0</v>
      </c>
      <c r="Y66">
        <v>0</v>
      </c>
      <c r="Z66">
        <v>0</v>
      </c>
      <c r="AA66">
        <v>0</v>
      </c>
      <c r="AB66" s="8">
        <v>0</v>
      </c>
      <c r="AD66" s="3"/>
    </row>
    <row r="67" spans="1:35" ht="14.25" customHeight="1">
      <c r="A67" s="20" t="s">
        <v>91</v>
      </c>
      <c r="B67" s="2">
        <f t="shared" si="7"/>
        <v>18</v>
      </c>
      <c r="C67" s="2">
        <f t="shared" ref="C67:C97" si="8">STDEV(0,36)</f>
        <v>25.45584412271571</v>
      </c>
      <c r="D67">
        <v>55.36</v>
      </c>
      <c r="E67">
        <v>1.36</v>
      </c>
      <c r="F67">
        <v>15.64</v>
      </c>
      <c r="G67" s="2">
        <v>0</v>
      </c>
      <c r="H67">
        <v>8.23</v>
      </c>
      <c r="I67">
        <v>0.17</v>
      </c>
      <c r="J67">
        <v>4.58</v>
      </c>
      <c r="K67">
        <v>7.62</v>
      </c>
      <c r="L67">
        <v>4.34</v>
      </c>
      <c r="M67">
        <v>2.2000000000000002</v>
      </c>
      <c r="N67">
        <v>0.37</v>
      </c>
      <c r="O67" s="6">
        <v>0</v>
      </c>
      <c r="P67" s="3">
        <f t="shared" ref="P67:P116" si="9">H67+E67</f>
        <v>9.59</v>
      </c>
      <c r="Q67">
        <v>2.9064330346759832E-4</v>
      </c>
      <c r="R67">
        <v>0.32222148625247693</v>
      </c>
      <c r="S67">
        <v>0.37003620052124137</v>
      </c>
      <c r="T67">
        <v>0.65</v>
      </c>
      <c r="U67" s="2">
        <v>1350</v>
      </c>
      <c r="V67" s="3">
        <v>100</v>
      </c>
      <c r="W67">
        <v>0</v>
      </c>
      <c r="X67" s="9">
        <v>0</v>
      </c>
      <c r="Y67">
        <v>0</v>
      </c>
      <c r="Z67">
        <v>0</v>
      </c>
      <c r="AA67">
        <v>0</v>
      </c>
      <c r="AB67" s="8">
        <v>0</v>
      </c>
      <c r="AD67" s="3"/>
    </row>
    <row r="68" spans="1:35">
      <c r="A68" s="20" t="s">
        <v>89</v>
      </c>
      <c r="B68" s="2">
        <f t="shared" si="7"/>
        <v>18</v>
      </c>
      <c r="C68" s="2">
        <f t="shared" si="8"/>
        <v>25.45584412271571</v>
      </c>
      <c r="D68">
        <v>73.25</v>
      </c>
      <c r="E68">
        <v>0.12</v>
      </c>
      <c r="F68">
        <v>13.53</v>
      </c>
      <c r="G68" s="2">
        <v>0</v>
      </c>
      <c r="H68">
        <v>2.12</v>
      </c>
      <c r="I68">
        <v>7.0000000000000007E-2</v>
      </c>
      <c r="J68">
        <v>0.25</v>
      </c>
      <c r="K68">
        <v>1.1200000000000001</v>
      </c>
      <c r="L68">
        <v>4.17</v>
      </c>
      <c r="M68">
        <v>5.13</v>
      </c>
      <c r="N68">
        <v>4.7E-2</v>
      </c>
      <c r="O68" s="6">
        <v>0</v>
      </c>
      <c r="P68" s="3">
        <f t="shared" si="9"/>
        <v>2.2400000000000002</v>
      </c>
      <c r="Q68">
        <v>1.2703271422863445E-4</v>
      </c>
      <c r="R68" s="14">
        <v>0.68177321089348231</v>
      </c>
      <c r="S68">
        <v>0.84557638201008833</v>
      </c>
      <c r="T68">
        <v>0.61</v>
      </c>
      <c r="U68" s="2">
        <v>1350</v>
      </c>
      <c r="V68" s="3">
        <v>100</v>
      </c>
      <c r="W68">
        <v>0</v>
      </c>
      <c r="X68" s="9">
        <v>0</v>
      </c>
      <c r="Y68">
        <v>0</v>
      </c>
      <c r="Z68">
        <v>0</v>
      </c>
      <c r="AA68">
        <v>0</v>
      </c>
      <c r="AB68" s="8">
        <v>0</v>
      </c>
      <c r="AD68" s="3"/>
    </row>
    <row r="69" spans="1:35">
      <c r="A69" s="20" t="s">
        <v>88</v>
      </c>
      <c r="B69" s="2">
        <f t="shared" si="7"/>
        <v>18</v>
      </c>
      <c r="C69" s="2">
        <f t="shared" si="8"/>
        <v>25.45584412271571</v>
      </c>
      <c r="D69">
        <v>67.569999999999993</v>
      </c>
      <c r="E69">
        <v>0.28999999999999998</v>
      </c>
      <c r="F69">
        <v>14.28</v>
      </c>
      <c r="G69" s="2">
        <v>0</v>
      </c>
      <c r="H69">
        <v>3.9</v>
      </c>
      <c r="I69">
        <v>0.1</v>
      </c>
      <c r="J69">
        <v>1.4</v>
      </c>
      <c r="K69">
        <v>3.09</v>
      </c>
      <c r="L69">
        <v>4.49</v>
      </c>
      <c r="M69">
        <v>4.51</v>
      </c>
      <c r="N69">
        <v>0.18</v>
      </c>
      <c r="O69" s="6">
        <v>0</v>
      </c>
      <c r="P69" s="3">
        <f t="shared" si="9"/>
        <v>4.1899999999999995</v>
      </c>
      <c r="Q69">
        <v>2.2888350298600442E-4</v>
      </c>
      <c r="R69" s="14">
        <v>0.60657220569432324</v>
      </c>
      <c r="S69">
        <v>0.66989269747580915</v>
      </c>
      <c r="T69">
        <v>0.71</v>
      </c>
      <c r="U69" s="2">
        <v>1350</v>
      </c>
      <c r="V69" s="3">
        <v>100</v>
      </c>
      <c r="W69">
        <v>0</v>
      </c>
      <c r="X69" s="9">
        <v>0</v>
      </c>
      <c r="Y69">
        <v>0</v>
      </c>
      <c r="Z69">
        <v>0</v>
      </c>
      <c r="AA69">
        <v>0</v>
      </c>
      <c r="AB69" s="8">
        <v>0</v>
      </c>
      <c r="AD69" s="3"/>
    </row>
    <row r="70" spans="1:35">
      <c r="A70" s="20" t="s">
        <v>87</v>
      </c>
      <c r="B70" s="2">
        <f t="shared" si="7"/>
        <v>18</v>
      </c>
      <c r="C70" s="2">
        <f t="shared" si="8"/>
        <v>25.45584412271571</v>
      </c>
      <c r="D70">
        <v>63.83</v>
      </c>
      <c r="E70">
        <v>0.39</v>
      </c>
      <c r="F70">
        <v>14.78</v>
      </c>
      <c r="G70" s="2">
        <v>0</v>
      </c>
      <c r="H70">
        <v>5.6</v>
      </c>
      <c r="I70">
        <v>0.12</v>
      </c>
      <c r="J70">
        <v>2.17</v>
      </c>
      <c r="K70">
        <v>4.4400000000000004</v>
      </c>
      <c r="L70">
        <v>4.68</v>
      </c>
      <c r="M70">
        <v>4.08</v>
      </c>
      <c r="N70">
        <v>0.27</v>
      </c>
      <c r="O70" s="6">
        <v>0</v>
      </c>
      <c r="P70" s="3">
        <f t="shared" si="9"/>
        <v>5.9899999999999993</v>
      </c>
      <c r="Q70">
        <v>2.712050284133195E-4</v>
      </c>
      <c r="R70">
        <v>0.52516183925965343</v>
      </c>
      <c r="S70">
        <v>0.56312377607494146</v>
      </c>
      <c r="T70">
        <v>0.72</v>
      </c>
      <c r="U70" s="2">
        <v>1350</v>
      </c>
      <c r="V70" s="3">
        <v>100</v>
      </c>
      <c r="W70">
        <v>0</v>
      </c>
      <c r="X70" s="9">
        <v>0</v>
      </c>
      <c r="Y70">
        <v>0</v>
      </c>
      <c r="Z70">
        <v>0</v>
      </c>
      <c r="AA70">
        <v>0</v>
      </c>
      <c r="AB70" s="8">
        <v>0</v>
      </c>
      <c r="AD70" s="3"/>
    </row>
    <row r="71" spans="1:35">
      <c r="A71" s="20" t="s">
        <v>86</v>
      </c>
      <c r="B71" s="2">
        <f t="shared" si="7"/>
        <v>18</v>
      </c>
      <c r="C71" s="2">
        <f t="shared" si="8"/>
        <v>25.45584412271571</v>
      </c>
      <c r="D71">
        <v>60.38</v>
      </c>
      <c r="E71">
        <v>0.51</v>
      </c>
      <c r="F71">
        <v>15.37</v>
      </c>
      <c r="G71" s="2">
        <v>0</v>
      </c>
      <c r="H71">
        <v>6.12</v>
      </c>
      <c r="I71">
        <v>0.14000000000000001</v>
      </c>
      <c r="J71">
        <v>2.94</v>
      </c>
      <c r="K71">
        <v>5.71</v>
      </c>
      <c r="L71">
        <v>4.84</v>
      </c>
      <c r="M71">
        <v>3.63</v>
      </c>
      <c r="N71">
        <v>0.28999999999999998</v>
      </c>
      <c r="O71" s="6">
        <v>0</v>
      </c>
      <c r="P71" s="3">
        <f t="shared" si="9"/>
        <v>6.63</v>
      </c>
      <c r="Q71">
        <v>2.7836154614727609E-4</v>
      </c>
      <c r="R71">
        <v>0.48044516820367572</v>
      </c>
      <c r="S71">
        <v>0.5287476393592081</v>
      </c>
      <c r="T71">
        <v>0.71</v>
      </c>
      <c r="U71" s="2">
        <v>1350</v>
      </c>
      <c r="V71" s="3">
        <v>100</v>
      </c>
      <c r="W71">
        <v>0</v>
      </c>
      <c r="X71" s="9">
        <v>0</v>
      </c>
      <c r="Y71">
        <v>0</v>
      </c>
      <c r="Z71">
        <v>0</v>
      </c>
      <c r="AA71">
        <v>0</v>
      </c>
      <c r="AB71" s="8">
        <v>0</v>
      </c>
      <c r="AD71" s="3"/>
    </row>
    <row r="72" spans="1:35">
      <c r="A72" s="20" t="s">
        <v>85</v>
      </c>
      <c r="B72" s="2">
        <f t="shared" si="7"/>
        <v>18</v>
      </c>
      <c r="C72" s="2">
        <f t="shared" si="8"/>
        <v>25.45584412271571</v>
      </c>
      <c r="D72">
        <v>54.23</v>
      </c>
      <c r="E72">
        <v>0.69</v>
      </c>
      <c r="F72">
        <v>16.02</v>
      </c>
      <c r="G72" s="2">
        <v>0</v>
      </c>
      <c r="H72">
        <v>7.94</v>
      </c>
      <c r="I72">
        <v>0.17</v>
      </c>
      <c r="J72">
        <v>4.13</v>
      </c>
      <c r="K72">
        <v>7.68</v>
      </c>
      <c r="L72">
        <v>5.34</v>
      </c>
      <c r="M72">
        <v>3.11</v>
      </c>
      <c r="N72">
        <v>0.49</v>
      </c>
      <c r="O72" s="6">
        <v>0</v>
      </c>
      <c r="P72" s="3">
        <f t="shared" si="9"/>
        <v>8.6300000000000008</v>
      </c>
      <c r="Q72">
        <v>3.0446005913905888E-4</v>
      </c>
      <c r="R72">
        <v>0.46649141980241482</v>
      </c>
      <c r="S72">
        <v>0.45743547266251944</v>
      </c>
      <c r="T72" s="11" t="s">
        <v>101</v>
      </c>
      <c r="U72" s="2">
        <v>1350</v>
      </c>
      <c r="V72" s="3">
        <v>100</v>
      </c>
      <c r="W72">
        <v>0</v>
      </c>
      <c r="X72" s="9">
        <v>0</v>
      </c>
      <c r="Y72">
        <v>0</v>
      </c>
      <c r="Z72">
        <v>0</v>
      </c>
      <c r="AA72">
        <v>0</v>
      </c>
      <c r="AB72" s="8">
        <v>0</v>
      </c>
      <c r="AD72" s="3"/>
    </row>
    <row r="73" spans="1:35">
      <c r="A73" s="20" t="s">
        <v>84</v>
      </c>
      <c r="B73" s="2">
        <f t="shared" si="7"/>
        <v>18</v>
      </c>
      <c r="C73" s="2">
        <f t="shared" si="8"/>
        <v>25.45584412271571</v>
      </c>
      <c r="D73">
        <v>72.13</v>
      </c>
      <c r="E73">
        <v>0.65</v>
      </c>
      <c r="F73">
        <v>13.2</v>
      </c>
      <c r="G73" s="2">
        <v>0</v>
      </c>
      <c r="H73">
        <v>4.0199999999999996</v>
      </c>
      <c r="I73">
        <v>0.04</v>
      </c>
      <c r="J73">
        <v>0.25</v>
      </c>
      <c r="K73">
        <v>1.62</v>
      </c>
      <c r="L73">
        <v>3.17</v>
      </c>
      <c r="M73">
        <v>4.75</v>
      </c>
      <c r="N73">
        <v>0.14000000000000001</v>
      </c>
      <c r="O73" s="6">
        <v>0</v>
      </c>
      <c r="P73" s="3">
        <f t="shared" si="9"/>
        <v>4.67</v>
      </c>
      <c r="Q73">
        <v>2.6002944965330276E-4</v>
      </c>
      <c r="R73">
        <v>0.52778444706798266</v>
      </c>
      <c r="S73">
        <v>0.59087104597652662</v>
      </c>
      <c r="T73" s="1">
        <v>0.59</v>
      </c>
      <c r="U73" s="2">
        <v>1350</v>
      </c>
      <c r="V73" s="3">
        <v>100</v>
      </c>
      <c r="W73">
        <v>0</v>
      </c>
      <c r="X73" s="9">
        <v>0</v>
      </c>
      <c r="Y73">
        <v>0</v>
      </c>
      <c r="Z73">
        <v>0</v>
      </c>
      <c r="AA73">
        <v>0</v>
      </c>
      <c r="AB73" s="8">
        <v>0</v>
      </c>
      <c r="AD73" s="3"/>
    </row>
    <row r="74" spans="1:35">
      <c r="A74" s="20" t="s">
        <v>83</v>
      </c>
      <c r="B74" s="2">
        <f t="shared" si="7"/>
        <v>18</v>
      </c>
      <c r="C74" s="2">
        <f t="shared" si="8"/>
        <v>25.45584412271571</v>
      </c>
      <c r="D74">
        <v>67.489999999999995</v>
      </c>
      <c r="E74">
        <v>0.88</v>
      </c>
      <c r="F74">
        <v>13.71</v>
      </c>
      <c r="G74" s="2">
        <v>0</v>
      </c>
      <c r="H74">
        <v>5.6</v>
      </c>
      <c r="I74">
        <v>0.08</v>
      </c>
      <c r="J74">
        <v>1.7</v>
      </c>
      <c r="K74">
        <v>3.42</v>
      </c>
      <c r="L74">
        <v>3.05</v>
      </c>
      <c r="M74">
        <v>3.84</v>
      </c>
      <c r="N74">
        <v>0.17</v>
      </c>
      <c r="O74" s="6">
        <v>0</v>
      </c>
      <c r="P74" s="3">
        <f t="shared" si="9"/>
        <v>6.4799999999999995</v>
      </c>
      <c r="Q74">
        <v>2.4305335903804497E-4</v>
      </c>
      <c r="R74">
        <v>0.36818592728244931</v>
      </c>
      <c r="S74">
        <v>0.48871982139482167</v>
      </c>
      <c r="T74" s="11" t="s">
        <v>101</v>
      </c>
      <c r="U74" s="2">
        <v>1350</v>
      </c>
      <c r="V74" s="3">
        <v>100</v>
      </c>
      <c r="W74">
        <v>0</v>
      </c>
      <c r="X74" s="9">
        <v>0</v>
      </c>
      <c r="Y74">
        <v>0</v>
      </c>
      <c r="Z74">
        <v>0</v>
      </c>
      <c r="AA74">
        <v>0</v>
      </c>
      <c r="AB74" s="8">
        <v>0</v>
      </c>
      <c r="AD74" s="3"/>
    </row>
    <row r="75" spans="1:35">
      <c r="A75" s="20" t="s">
        <v>80</v>
      </c>
      <c r="B75" s="2">
        <f t="shared" si="7"/>
        <v>18</v>
      </c>
      <c r="C75" s="2">
        <f t="shared" si="8"/>
        <v>25.45584412271571</v>
      </c>
      <c r="D75">
        <v>53.06</v>
      </c>
      <c r="E75">
        <v>1.6</v>
      </c>
      <c r="F75">
        <v>15.52</v>
      </c>
      <c r="G75" s="2">
        <v>0</v>
      </c>
      <c r="H75">
        <v>10.34</v>
      </c>
      <c r="I75">
        <v>0.15</v>
      </c>
      <c r="J75">
        <v>6.14</v>
      </c>
      <c r="K75">
        <v>8.8800000000000008</v>
      </c>
      <c r="L75">
        <v>2.69</v>
      </c>
      <c r="M75">
        <v>1.22</v>
      </c>
      <c r="N75">
        <v>0.28999999999999998</v>
      </c>
      <c r="O75" s="6">
        <v>0</v>
      </c>
      <c r="P75" s="3">
        <f t="shared" si="9"/>
        <v>11.94</v>
      </c>
      <c r="Q75">
        <v>2.2790880663287166E-4</v>
      </c>
      <c r="R75">
        <v>0.19751717543725439</v>
      </c>
      <c r="S75">
        <v>0.32917990431927346</v>
      </c>
      <c r="T75">
        <v>0.63</v>
      </c>
      <c r="U75" s="2">
        <v>1350</v>
      </c>
      <c r="V75" s="3">
        <v>100</v>
      </c>
      <c r="W75">
        <v>0</v>
      </c>
      <c r="X75" s="9">
        <v>0</v>
      </c>
      <c r="Y75">
        <v>0</v>
      </c>
      <c r="Z75">
        <v>0</v>
      </c>
      <c r="AA75">
        <v>0</v>
      </c>
      <c r="AB75" s="8">
        <v>0</v>
      </c>
      <c r="AD75" s="3"/>
    </row>
    <row r="76" spans="1:35">
      <c r="A76" s="20" t="s">
        <v>79</v>
      </c>
      <c r="B76" s="2">
        <f>AVERAGE(0,36)</f>
        <v>18</v>
      </c>
      <c r="C76" s="2">
        <f t="shared" si="8"/>
        <v>25.45584412271571</v>
      </c>
      <c r="D76">
        <v>48.32</v>
      </c>
      <c r="E76">
        <v>1.82</v>
      </c>
      <c r="F76">
        <v>16.23</v>
      </c>
      <c r="G76" s="2">
        <v>0</v>
      </c>
      <c r="H76">
        <v>11.7</v>
      </c>
      <c r="I76">
        <v>0.18</v>
      </c>
      <c r="J76">
        <v>7.62</v>
      </c>
      <c r="K76">
        <v>10.81</v>
      </c>
      <c r="L76">
        <v>2.57</v>
      </c>
      <c r="M76">
        <v>0.36</v>
      </c>
      <c r="N76">
        <v>0.34</v>
      </c>
      <c r="O76" s="6">
        <v>0</v>
      </c>
      <c r="P76" s="3">
        <f t="shared" si="9"/>
        <v>13.52</v>
      </c>
      <c r="Q76">
        <v>2.5122386008376041E-4</v>
      </c>
      <c r="R76">
        <v>0.2114674032866837</v>
      </c>
      <c r="S76">
        <v>0.35492743518518566</v>
      </c>
      <c r="T76">
        <v>0.61</v>
      </c>
      <c r="U76" s="2">
        <v>1350</v>
      </c>
      <c r="V76" s="3">
        <v>100</v>
      </c>
      <c r="W76">
        <v>0</v>
      </c>
      <c r="X76" s="9">
        <v>0</v>
      </c>
      <c r="Y76">
        <v>0</v>
      </c>
      <c r="Z76">
        <v>0</v>
      </c>
      <c r="AA76">
        <v>0</v>
      </c>
      <c r="AB76" s="8">
        <v>0</v>
      </c>
      <c r="AD76" s="3"/>
      <c r="AF76" s="7"/>
      <c r="AG76" s="7"/>
      <c r="AH76" s="7"/>
      <c r="AI76" s="7"/>
    </row>
    <row r="77" spans="1:35">
      <c r="A77" s="20" t="s">
        <v>82</v>
      </c>
      <c r="B77" s="2">
        <f t="shared" si="7"/>
        <v>18</v>
      </c>
      <c r="C77" s="2">
        <f t="shared" si="8"/>
        <v>25.45584412271571</v>
      </c>
      <c r="D77">
        <v>62.68</v>
      </c>
      <c r="E77">
        <v>1.1100000000000001</v>
      </c>
      <c r="F77">
        <v>14.26</v>
      </c>
      <c r="G77" s="2">
        <v>0</v>
      </c>
      <c r="H77">
        <v>7.23</v>
      </c>
      <c r="I77">
        <v>0.1</v>
      </c>
      <c r="J77">
        <v>3.19</v>
      </c>
      <c r="K77">
        <v>5.26</v>
      </c>
      <c r="L77">
        <v>2.91</v>
      </c>
      <c r="M77">
        <v>2.97</v>
      </c>
      <c r="N77">
        <v>0.22</v>
      </c>
      <c r="O77" s="6">
        <v>0</v>
      </c>
      <c r="P77" s="3">
        <f t="shared" si="9"/>
        <v>8.34</v>
      </c>
      <c r="Q77">
        <v>2.4014226645610999E-4</v>
      </c>
      <c r="R77">
        <v>0.28709624516940407</v>
      </c>
      <c r="S77">
        <v>0.41590276783611863</v>
      </c>
      <c r="T77" s="11" t="s">
        <v>101</v>
      </c>
      <c r="U77" s="2">
        <v>1350</v>
      </c>
      <c r="V77" s="3">
        <v>100</v>
      </c>
      <c r="W77">
        <v>0</v>
      </c>
      <c r="X77" s="9">
        <v>0</v>
      </c>
      <c r="Y77">
        <v>0</v>
      </c>
      <c r="Z77">
        <v>0</v>
      </c>
      <c r="AA77">
        <v>0</v>
      </c>
      <c r="AB77" s="8">
        <v>0</v>
      </c>
      <c r="AD77" s="3"/>
    </row>
    <row r="78" spans="1:35">
      <c r="A78" s="20" t="s">
        <v>81</v>
      </c>
      <c r="B78" s="2">
        <f t="shared" si="7"/>
        <v>18</v>
      </c>
      <c r="C78" s="2">
        <f t="shared" si="8"/>
        <v>25.45584412271571</v>
      </c>
      <c r="D78">
        <v>57.75</v>
      </c>
      <c r="E78">
        <v>1.35</v>
      </c>
      <c r="F78">
        <v>14.94</v>
      </c>
      <c r="G78" s="2">
        <v>0</v>
      </c>
      <c r="H78">
        <v>8.8000000000000007</v>
      </c>
      <c r="I78">
        <v>0.13</v>
      </c>
      <c r="J78">
        <v>4.68</v>
      </c>
      <c r="K78">
        <v>7.08</v>
      </c>
      <c r="L78">
        <v>2.83</v>
      </c>
      <c r="M78">
        <v>2.08</v>
      </c>
      <c r="N78">
        <v>0.24</v>
      </c>
      <c r="O78" s="6">
        <v>0</v>
      </c>
      <c r="P78" s="3">
        <f t="shared" si="9"/>
        <v>10.15</v>
      </c>
      <c r="Q78">
        <v>2.7582260962922395E-4</v>
      </c>
      <c r="R78">
        <v>0.26859077813213006</v>
      </c>
      <c r="S78">
        <v>0.33771222316267574</v>
      </c>
      <c r="T78">
        <v>0.7</v>
      </c>
      <c r="U78" s="2">
        <v>1350</v>
      </c>
      <c r="V78" s="3">
        <v>100</v>
      </c>
      <c r="W78">
        <v>0</v>
      </c>
      <c r="X78" s="9">
        <v>0</v>
      </c>
      <c r="Y78">
        <v>0</v>
      </c>
      <c r="Z78">
        <v>0</v>
      </c>
      <c r="AA78">
        <v>0</v>
      </c>
      <c r="AB78" s="8">
        <v>0</v>
      </c>
      <c r="AD78" s="3"/>
    </row>
    <row r="79" spans="1:35">
      <c r="A79" s="20" t="s">
        <v>151</v>
      </c>
      <c r="B79" s="2">
        <f t="shared" ref="B79:B97" si="10">AVERAGE(0,37)</f>
        <v>18.5</v>
      </c>
      <c r="C79" s="2">
        <f t="shared" si="8"/>
        <v>25.45584412271571</v>
      </c>
      <c r="D79" s="9">
        <v>48.5</v>
      </c>
      <c r="E79">
        <v>2.7</v>
      </c>
      <c r="F79">
        <v>10.7</v>
      </c>
      <c r="G79">
        <v>0</v>
      </c>
      <c r="H79">
        <v>14.7</v>
      </c>
      <c r="I79">
        <v>0</v>
      </c>
      <c r="J79">
        <v>12.8</v>
      </c>
      <c r="K79">
        <v>10.7</v>
      </c>
      <c r="L79">
        <v>0</v>
      </c>
      <c r="M79">
        <v>0</v>
      </c>
      <c r="N79">
        <v>0</v>
      </c>
      <c r="O79" s="6">
        <v>0</v>
      </c>
      <c r="P79" s="3">
        <f t="shared" si="9"/>
        <v>17.399999999999999</v>
      </c>
      <c r="Q79">
        <v>8.2515432098765451E-5</v>
      </c>
      <c r="R79" s="14">
        <v>0.18161217564870241</v>
      </c>
      <c r="S79">
        <v>0.42829949238578624</v>
      </c>
      <c r="T79">
        <v>0.01</v>
      </c>
      <c r="U79" s="2">
        <v>1400</v>
      </c>
      <c r="V79" s="3">
        <v>100</v>
      </c>
      <c r="W79" s="2">
        <v>0</v>
      </c>
      <c r="X79" s="12">
        <v>0</v>
      </c>
      <c r="Y79" s="1">
        <v>0</v>
      </c>
      <c r="Z79" s="1">
        <v>0</v>
      </c>
      <c r="AA79">
        <v>0</v>
      </c>
      <c r="AB79" s="8">
        <v>0</v>
      </c>
      <c r="AD79" s="3"/>
      <c r="AF79" s="1"/>
    </row>
    <row r="80" spans="1:35">
      <c r="A80" s="20" t="s">
        <v>152</v>
      </c>
      <c r="B80" s="2">
        <f t="shared" si="10"/>
        <v>18.5</v>
      </c>
      <c r="C80" s="2">
        <f t="shared" si="8"/>
        <v>25.45584412271571</v>
      </c>
      <c r="D80" s="9">
        <v>44.9</v>
      </c>
      <c r="E80">
        <v>0.5</v>
      </c>
      <c r="F80">
        <v>30.6</v>
      </c>
      <c r="G80">
        <v>0</v>
      </c>
      <c r="H80">
        <v>2.6</v>
      </c>
      <c r="I80">
        <v>0</v>
      </c>
      <c r="J80">
        <v>4.0999999999999996</v>
      </c>
      <c r="K80">
        <v>17.3</v>
      </c>
      <c r="L80">
        <v>0</v>
      </c>
      <c r="M80">
        <v>0</v>
      </c>
      <c r="N80">
        <v>0</v>
      </c>
      <c r="O80" s="6">
        <v>0</v>
      </c>
      <c r="P80" s="3">
        <f t="shared" si="9"/>
        <v>3.1</v>
      </c>
      <c r="Q80">
        <v>-1.7718954248366091E-5</v>
      </c>
      <c r="R80">
        <v>0.52921783100465725</v>
      </c>
      <c r="S80">
        <v>1.057077872847394</v>
      </c>
      <c r="T80">
        <v>0.01</v>
      </c>
      <c r="U80" s="2">
        <v>1400</v>
      </c>
      <c r="V80" s="3">
        <v>100</v>
      </c>
      <c r="W80" s="2">
        <v>0</v>
      </c>
      <c r="X80" s="12">
        <v>0</v>
      </c>
      <c r="Y80" s="1">
        <v>0</v>
      </c>
      <c r="Z80" s="1">
        <v>0</v>
      </c>
      <c r="AA80">
        <v>0</v>
      </c>
      <c r="AB80" s="8">
        <v>0</v>
      </c>
      <c r="AD80" s="3"/>
    </row>
    <row r="81" spans="1:30">
      <c r="A81" s="20" t="s">
        <v>153</v>
      </c>
      <c r="B81" s="2">
        <f t="shared" si="10"/>
        <v>18.5</v>
      </c>
      <c r="C81" s="2">
        <f t="shared" si="8"/>
        <v>25.45584412271571</v>
      </c>
      <c r="D81" s="9">
        <v>46.8</v>
      </c>
      <c r="E81">
        <v>0</v>
      </c>
      <c r="F81">
        <v>22.9</v>
      </c>
      <c r="G81">
        <v>0</v>
      </c>
      <c r="H81">
        <v>4.3</v>
      </c>
      <c r="I81">
        <v>0</v>
      </c>
      <c r="J81">
        <v>7.1</v>
      </c>
      <c r="K81">
        <v>18.8</v>
      </c>
      <c r="L81">
        <v>0</v>
      </c>
      <c r="M81">
        <v>0</v>
      </c>
      <c r="N81">
        <v>0</v>
      </c>
      <c r="O81" s="6">
        <v>0</v>
      </c>
      <c r="P81" s="3">
        <f t="shared" si="9"/>
        <v>4.3</v>
      </c>
      <c r="Q81">
        <v>-1.9629629629629441E-5</v>
      </c>
      <c r="R81" s="14">
        <v>0.44700157261235002</v>
      </c>
      <c r="S81">
        <v>1.1981351981351958</v>
      </c>
      <c r="T81">
        <v>0.01</v>
      </c>
      <c r="U81" s="2">
        <v>1400</v>
      </c>
      <c r="V81" s="3">
        <v>100</v>
      </c>
      <c r="W81" s="2">
        <v>0</v>
      </c>
      <c r="X81" s="12">
        <v>0</v>
      </c>
      <c r="Y81" s="1">
        <v>0</v>
      </c>
      <c r="Z81" s="1">
        <v>0</v>
      </c>
      <c r="AA81">
        <v>0</v>
      </c>
      <c r="AB81" s="8">
        <v>0</v>
      </c>
      <c r="AD81" s="3"/>
    </row>
    <row r="82" spans="1:30">
      <c r="A82" s="20" t="s">
        <v>154</v>
      </c>
      <c r="B82" s="2">
        <f t="shared" si="10"/>
        <v>18.5</v>
      </c>
      <c r="C82" s="2">
        <f t="shared" si="8"/>
        <v>25.45584412271571</v>
      </c>
      <c r="D82" s="9">
        <v>56.7</v>
      </c>
      <c r="E82">
        <v>0</v>
      </c>
      <c r="F82">
        <v>17.899999999999999</v>
      </c>
      <c r="G82">
        <v>0</v>
      </c>
      <c r="H82">
        <v>0.4</v>
      </c>
      <c r="I82">
        <v>0</v>
      </c>
      <c r="J82">
        <v>11</v>
      </c>
      <c r="K82">
        <v>13.9</v>
      </c>
      <c r="L82">
        <v>0</v>
      </c>
      <c r="M82">
        <v>0</v>
      </c>
      <c r="N82">
        <v>0</v>
      </c>
      <c r="O82" s="6">
        <v>0</v>
      </c>
      <c r="P82" s="3">
        <f t="shared" si="9"/>
        <v>0.4</v>
      </c>
      <c r="Q82">
        <v>3.08488888888889E-5</v>
      </c>
      <c r="R82" s="14">
        <v>0.77808262475049905</v>
      </c>
      <c r="S82">
        <v>0.95585836243448274</v>
      </c>
      <c r="T82">
        <v>0.01</v>
      </c>
      <c r="U82" s="2">
        <v>1400</v>
      </c>
      <c r="V82" s="3">
        <v>100</v>
      </c>
      <c r="W82" s="2">
        <v>0</v>
      </c>
      <c r="X82" s="12">
        <v>0</v>
      </c>
      <c r="Y82" s="1">
        <v>0</v>
      </c>
      <c r="Z82" s="1">
        <v>0</v>
      </c>
      <c r="AA82">
        <v>0</v>
      </c>
      <c r="AB82" s="8">
        <v>0</v>
      </c>
      <c r="AD82" s="3"/>
    </row>
    <row r="83" spans="1:30">
      <c r="A83" s="20" t="s">
        <v>155</v>
      </c>
      <c r="B83" s="2">
        <f t="shared" si="10"/>
        <v>18.5</v>
      </c>
      <c r="C83" s="2">
        <f t="shared" si="8"/>
        <v>25.45584412271571</v>
      </c>
      <c r="D83" s="9">
        <v>56.3</v>
      </c>
      <c r="E83">
        <v>0</v>
      </c>
      <c r="F83">
        <v>17.8</v>
      </c>
      <c r="G83">
        <v>0</v>
      </c>
      <c r="H83">
        <v>1.1000000000000001</v>
      </c>
      <c r="I83">
        <v>0</v>
      </c>
      <c r="J83">
        <v>10.9</v>
      </c>
      <c r="K83">
        <v>13.8</v>
      </c>
      <c r="L83">
        <v>0</v>
      </c>
      <c r="M83">
        <v>0</v>
      </c>
      <c r="N83">
        <v>0</v>
      </c>
      <c r="O83" s="6">
        <v>0</v>
      </c>
      <c r="P83" s="3">
        <f t="shared" si="9"/>
        <v>1.1000000000000001</v>
      </c>
      <c r="Q83">
        <v>-6.869055555555552E-5</v>
      </c>
      <c r="R83">
        <v>0.65004206986028035</v>
      </c>
      <c r="S83">
        <v>1.1404725788350782</v>
      </c>
      <c r="T83">
        <v>0.01</v>
      </c>
      <c r="U83" s="2">
        <v>1400</v>
      </c>
      <c r="V83" s="3">
        <v>100</v>
      </c>
      <c r="W83" s="2">
        <v>0</v>
      </c>
      <c r="X83" s="12">
        <v>0</v>
      </c>
      <c r="Y83" s="1">
        <v>0</v>
      </c>
      <c r="Z83" s="1">
        <v>0</v>
      </c>
      <c r="AA83">
        <v>0</v>
      </c>
      <c r="AB83" s="8">
        <v>0</v>
      </c>
      <c r="AD83" s="3"/>
    </row>
    <row r="84" spans="1:30">
      <c r="A84" s="20" t="s">
        <v>156</v>
      </c>
      <c r="B84" s="2">
        <f t="shared" si="10"/>
        <v>18.5</v>
      </c>
      <c r="C84" s="2">
        <f t="shared" si="8"/>
        <v>25.45584412271571</v>
      </c>
      <c r="D84" s="9">
        <v>52.9</v>
      </c>
      <c r="E84">
        <v>0</v>
      </c>
      <c r="F84">
        <v>16.7</v>
      </c>
      <c r="G84">
        <v>0</v>
      </c>
      <c r="H84">
        <v>7.2</v>
      </c>
      <c r="I84">
        <v>0</v>
      </c>
      <c r="J84">
        <v>10.199999999999999</v>
      </c>
      <c r="K84">
        <v>13</v>
      </c>
      <c r="L84">
        <v>0</v>
      </c>
      <c r="M84">
        <v>0</v>
      </c>
      <c r="N84">
        <v>0</v>
      </c>
      <c r="O84" s="6">
        <v>0</v>
      </c>
      <c r="P84" s="3">
        <f t="shared" si="9"/>
        <v>7.2</v>
      </c>
      <c r="Q84">
        <v>-5.3077777777777784E-5</v>
      </c>
      <c r="R84">
        <v>0.39448379640718545</v>
      </c>
      <c r="S84">
        <v>1.2055000234642639</v>
      </c>
      <c r="T84">
        <v>0.01</v>
      </c>
      <c r="U84" s="2">
        <v>1400</v>
      </c>
      <c r="V84" s="3">
        <v>100</v>
      </c>
      <c r="W84" s="2">
        <v>0</v>
      </c>
      <c r="X84" s="12">
        <v>0</v>
      </c>
      <c r="Y84" s="1">
        <v>0</v>
      </c>
      <c r="Z84" s="1">
        <v>0</v>
      </c>
      <c r="AA84">
        <v>0</v>
      </c>
      <c r="AB84" s="8">
        <v>0</v>
      </c>
      <c r="AD84" s="3"/>
    </row>
    <row r="85" spans="1:30">
      <c r="A85" s="20" t="s">
        <v>157</v>
      </c>
      <c r="B85" s="2">
        <f t="shared" si="10"/>
        <v>18.5</v>
      </c>
      <c r="C85" s="2">
        <f t="shared" si="8"/>
        <v>25.45584412271571</v>
      </c>
      <c r="D85" s="9">
        <v>47.1</v>
      </c>
      <c r="E85">
        <v>0</v>
      </c>
      <c r="F85">
        <v>14.9</v>
      </c>
      <c r="G85">
        <v>0</v>
      </c>
      <c r="H85">
        <v>17.399999999999999</v>
      </c>
      <c r="I85">
        <v>0</v>
      </c>
      <c r="J85">
        <v>9.1</v>
      </c>
      <c r="K85">
        <v>11.6</v>
      </c>
      <c r="L85">
        <v>0</v>
      </c>
      <c r="M85">
        <v>0</v>
      </c>
      <c r="N85">
        <v>0</v>
      </c>
      <c r="O85" s="6">
        <v>0</v>
      </c>
      <c r="P85" s="3">
        <f t="shared" si="9"/>
        <v>17.399999999999999</v>
      </c>
      <c r="Q85">
        <v>6.7422222222222114E-6</v>
      </c>
      <c r="R85" s="14">
        <v>0.27942777844311339</v>
      </c>
      <c r="S85">
        <v>1.009497006338657</v>
      </c>
      <c r="T85">
        <v>0.01</v>
      </c>
      <c r="U85" s="2">
        <v>1400</v>
      </c>
      <c r="V85" s="3">
        <v>100</v>
      </c>
      <c r="W85" s="2">
        <v>0</v>
      </c>
      <c r="X85" s="12">
        <v>0</v>
      </c>
      <c r="Y85" s="1">
        <v>0</v>
      </c>
      <c r="Z85" s="1">
        <v>0</v>
      </c>
      <c r="AA85">
        <v>0</v>
      </c>
      <c r="AB85" s="8">
        <v>0</v>
      </c>
      <c r="AD85" s="3"/>
    </row>
    <row r="86" spans="1:30">
      <c r="A86" s="20" t="s">
        <v>158</v>
      </c>
      <c r="B86" s="2">
        <f t="shared" si="10"/>
        <v>18.5</v>
      </c>
      <c r="C86" s="2">
        <f t="shared" si="8"/>
        <v>25.45584412271571</v>
      </c>
      <c r="D86" s="9">
        <v>56.4</v>
      </c>
      <c r="E86">
        <v>1</v>
      </c>
      <c r="F86">
        <v>17.8</v>
      </c>
      <c r="G86">
        <v>0</v>
      </c>
      <c r="H86">
        <v>0</v>
      </c>
      <c r="I86">
        <v>0</v>
      </c>
      <c r="J86">
        <v>10.9</v>
      </c>
      <c r="K86">
        <v>13.9</v>
      </c>
      <c r="L86">
        <v>0</v>
      </c>
      <c r="M86">
        <v>0</v>
      </c>
      <c r="N86">
        <v>0</v>
      </c>
      <c r="O86" s="6">
        <v>0</v>
      </c>
      <c r="P86" s="3">
        <f t="shared" si="9"/>
        <v>1</v>
      </c>
      <c r="Q86">
        <v>1.6848333333333329E-5</v>
      </c>
      <c r="R86" s="14">
        <v>0.72138798802395254</v>
      </c>
      <c r="S86">
        <v>0.93859820396180815</v>
      </c>
      <c r="T86">
        <v>0.01</v>
      </c>
      <c r="U86" s="2">
        <v>1400</v>
      </c>
      <c r="V86" s="3">
        <v>100</v>
      </c>
      <c r="W86" s="2">
        <v>0</v>
      </c>
      <c r="X86" s="12">
        <v>0</v>
      </c>
      <c r="Y86" s="1">
        <v>0</v>
      </c>
      <c r="Z86" s="1">
        <v>0</v>
      </c>
      <c r="AA86">
        <v>0</v>
      </c>
      <c r="AB86" s="8">
        <v>0</v>
      </c>
      <c r="AD86" s="3"/>
    </row>
    <row r="87" spans="1:30">
      <c r="A87" s="20" t="s">
        <v>159</v>
      </c>
      <c r="B87" s="2">
        <f t="shared" si="10"/>
        <v>18.5</v>
      </c>
      <c r="C87" s="2">
        <f t="shared" si="8"/>
        <v>25.45584412271571</v>
      </c>
      <c r="D87" s="9">
        <v>55.5</v>
      </c>
      <c r="E87">
        <v>2.5</v>
      </c>
      <c r="F87">
        <v>17.600000000000001</v>
      </c>
      <c r="G87">
        <v>0</v>
      </c>
      <c r="H87">
        <v>0</v>
      </c>
      <c r="I87">
        <v>0</v>
      </c>
      <c r="J87">
        <v>10.7</v>
      </c>
      <c r="K87">
        <v>13.6</v>
      </c>
      <c r="L87">
        <v>0</v>
      </c>
      <c r="M87">
        <v>0</v>
      </c>
      <c r="N87">
        <v>0</v>
      </c>
      <c r="O87" s="6">
        <v>0</v>
      </c>
      <c r="P87" s="3">
        <f t="shared" si="9"/>
        <v>2.5</v>
      </c>
      <c r="Q87">
        <v>8.8612222222222243E-5</v>
      </c>
      <c r="R87">
        <v>0.60556197604790407</v>
      </c>
      <c r="S87">
        <v>0.90178358509649781</v>
      </c>
      <c r="T87">
        <v>0.01</v>
      </c>
      <c r="U87" s="2">
        <v>1400</v>
      </c>
      <c r="V87" s="3">
        <v>100</v>
      </c>
      <c r="W87" s="2">
        <v>0</v>
      </c>
      <c r="X87" s="12">
        <v>0</v>
      </c>
      <c r="Y87" s="1">
        <v>0</v>
      </c>
      <c r="Z87" s="1">
        <v>0</v>
      </c>
      <c r="AA87">
        <v>0</v>
      </c>
      <c r="AB87" s="8">
        <v>0</v>
      </c>
      <c r="AD87" s="3"/>
    </row>
    <row r="88" spans="1:30">
      <c r="A88" s="20" t="s">
        <v>160</v>
      </c>
      <c r="B88" s="2">
        <f t="shared" si="10"/>
        <v>18.5</v>
      </c>
      <c r="C88" s="2">
        <f t="shared" si="8"/>
        <v>25.45584412271571</v>
      </c>
      <c r="D88" s="9">
        <v>54.2</v>
      </c>
      <c r="E88">
        <v>5</v>
      </c>
      <c r="F88">
        <v>17.100000000000001</v>
      </c>
      <c r="G88">
        <v>0</v>
      </c>
      <c r="H88">
        <v>0</v>
      </c>
      <c r="I88">
        <v>0</v>
      </c>
      <c r="J88">
        <v>10.5</v>
      </c>
      <c r="K88">
        <v>13.3</v>
      </c>
      <c r="L88">
        <v>0</v>
      </c>
      <c r="M88">
        <v>0</v>
      </c>
      <c r="N88">
        <v>0</v>
      </c>
      <c r="O88" s="6">
        <v>0</v>
      </c>
      <c r="P88" s="3">
        <f t="shared" si="9"/>
        <v>5</v>
      </c>
      <c r="Q88">
        <v>8.8779444444444462E-5</v>
      </c>
      <c r="R88">
        <v>0.61355914770458997</v>
      </c>
      <c r="S88">
        <v>0.89507012676168241</v>
      </c>
      <c r="T88">
        <v>0.01</v>
      </c>
      <c r="U88" s="2">
        <v>1400</v>
      </c>
      <c r="V88" s="3">
        <v>100</v>
      </c>
      <c r="W88" s="2">
        <v>0</v>
      </c>
      <c r="X88" s="12">
        <v>0</v>
      </c>
      <c r="Y88" s="1">
        <v>0</v>
      </c>
      <c r="Z88" s="1">
        <v>0</v>
      </c>
      <c r="AA88">
        <v>0</v>
      </c>
      <c r="AB88" s="8">
        <v>0</v>
      </c>
      <c r="AD88" s="3"/>
    </row>
    <row r="89" spans="1:30">
      <c r="A89" s="20" t="s">
        <v>161</v>
      </c>
      <c r="B89" s="2">
        <f t="shared" si="10"/>
        <v>18.5</v>
      </c>
      <c r="C89" s="2">
        <f t="shared" si="8"/>
        <v>25.45584412271571</v>
      </c>
      <c r="D89" s="9">
        <v>52.7</v>
      </c>
      <c r="E89">
        <v>7.5</v>
      </c>
      <c r="F89">
        <v>16.7</v>
      </c>
      <c r="G89">
        <v>0</v>
      </c>
      <c r="H89">
        <v>0</v>
      </c>
      <c r="I89">
        <v>0</v>
      </c>
      <c r="J89">
        <v>10.199999999999999</v>
      </c>
      <c r="K89">
        <v>13</v>
      </c>
      <c r="L89">
        <v>0</v>
      </c>
      <c r="M89">
        <v>0</v>
      </c>
      <c r="N89">
        <v>0</v>
      </c>
      <c r="O89" s="6">
        <v>0</v>
      </c>
      <c r="P89" s="3">
        <f t="shared" si="9"/>
        <v>7.5</v>
      </c>
      <c r="Q89">
        <v>1.2212666666666666E-4</v>
      </c>
      <c r="R89">
        <v>0.53691415968063894</v>
      </c>
      <c r="S89">
        <v>0.90288052740996005</v>
      </c>
      <c r="T89">
        <v>0.01</v>
      </c>
      <c r="U89" s="2">
        <v>1400</v>
      </c>
      <c r="V89" s="3">
        <v>100</v>
      </c>
      <c r="W89" s="2">
        <v>0</v>
      </c>
      <c r="X89" s="12">
        <v>0</v>
      </c>
      <c r="Y89" s="1">
        <v>0</v>
      </c>
      <c r="Z89" s="1">
        <v>0</v>
      </c>
      <c r="AA89">
        <v>0</v>
      </c>
      <c r="AB89" s="8">
        <v>0</v>
      </c>
      <c r="AD89" s="3"/>
    </row>
    <row r="90" spans="1:30">
      <c r="A90" s="20" t="s">
        <v>162</v>
      </c>
      <c r="B90" s="2">
        <f t="shared" si="10"/>
        <v>18.5</v>
      </c>
      <c r="C90" s="2">
        <f t="shared" si="8"/>
        <v>25.45584412271571</v>
      </c>
      <c r="D90" s="9">
        <v>51.3</v>
      </c>
      <c r="E90">
        <v>10</v>
      </c>
      <c r="F90">
        <v>16.2</v>
      </c>
      <c r="G90">
        <v>0</v>
      </c>
      <c r="H90">
        <v>0</v>
      </c>
      <c r="I90">
        <v>0</v>
      </c>
      <c r="J90">
        <v>9.9</v>
      </c>
      <c r="K90">
        <v>12.6</v>
      </c>
      <c r="L90">
        <v>0</v>
      </c>
      <c r="M90">
        <v>0</v>
      </c>
      <c r="N90">
        <v>0</v>
      </c>
      <c r="O90" s="6">
        <v>0</v>
      </c>
      <c r="P90" s="3">
        <f t="shared" si="9"/>
        <v>10</v>
      </c>
      <c r="Q90">
        <v>2.0119111111111109E-4</v>
      </c>
      <c r="R90">
        <v>0.39385210778443114</v>
      </c>
      <c r="S90">
        <v>0.89225762824282906</v>
      </c>
      <c r="T90">
        <v>0.01</v>
      </c>
      <c r="U90" s="2">
        <v>1400</v>
      </c>
      <c r="V90" s="3">
        <v>100</v>
      </c>
      <c r="W90" s="2">
        <v>0</v>
      </c>
      <c r="X90" s="12">
        <v>0</v>
      </c>
      <c r="Y90" s="1">
        <v>0</v>
      </c>
      <c r="Z90" s="1">
        <v>0</v>
      </c>
      <c r="AA90">
        <v>0</v>
      </c>
      <c r="AB90" s="8">
        <v>0</v>
      </c>
      <c r="AD90" s="3"/>
    </row>
    <row r="91" spans="1:30">
      <c r="A91" s="20" t="s">
        <v>163</v>
      </c>
      <c r="B91" s="2">
        <f t="shared" si="10"/>
        <v>18.5</v>
      </c>
      <c r="C91" s="2">
        <f t="shared" si="8"/>
        <v>25.45584412271571</v>
      </c>
      <c r="D91" s="9">
        <v>48.4</v>
      </c>
      <c r="E91">
        <v>15</v>
      </c>
      <c r="F91">
        <v>15.3</v>
      </c>
      <c r="G91">
        <v>0</v>
      </c>
      <c r="H91">
        <v>0</v>
      </c>
      <c r="I91">
        <v>0</v>
      </c>
      <c r="J91">
        <v>9.3000000000000007</v>
      </c>
      <c r="K91">
        <v>11.9</v>
      </c>
      <c r="L91">
        <v>0</v>
      </c>
      <c r="M91">
        <v>0</v>
      </c>
      <c r="N91">
        <v>0</v>
      </c>
      <c r="O91" s="6">
        <v>0</v>
      </c>
      <c r="P91" s="3">
        <f t="shared" si="9"/>
        <v>15</v>
      </c>
      <c r="Q91">
        <v>1.8976555555555552E-4</v>
      </c>
      <c r="R91">
        <v>0.16931532934131732</v>
      </c>
      <c r="S91">
        <v>0.98596767934707774</v>
      </c>
      <c r="T91">
        <v>0.01</v>
      </c>
      <c r="U91" s="2">
        <v>1400</v>
      </c>
      <c r="V91" s="3">
        <v>100</v>
      </c>
      <c r="W91" s="2">
        <v>0</v>
      </c>
      <c r="X91" s="12">
        <v>0</v>
      </c>
      <c r="Y91" s="1">
        <v>0</v>
      </c>
      <c r="Z91" s="1">
        <v>0</v>
      </c>
      <c r="AA91">
        <v>0</v>
      </c>
      <c r="AB91" s="8">
        <v>0</v>
      </c>
      <c r="AD91" s="3"/>
    </row>
    <row r="92" spans="1:30">
      <c r="A92" s="20" t="s">
        <v>164</v>
      </c>
      <c r="B92" s="2">
        <f t="shared" si="10"/>
        <v>18.5</v>
      </c>
      <c r="C92" s="2">
        <f t="shared" si="8"/>
        <v>25.45584412271571</v>
      </c>
      <c r="D92" s="9">
        <v>42.1</v>
      </c>
      <c r="E92">
        <v>10.6</v>
      </c>
      <c r="F92">
        <v>13.3</v>
      </c>
      <c r="G92">
        <v>0</v>
      </c>
      <c r="H92">
        <v>15.5</v>
      </c>
      <c r="I92">
        <v>0</v>
      </c>
      <c r="J92">
        <v>8.1</v>
      </c>
      <c r="K92">
        <v>10.3</v>
      </c>
      <c r="L92">
        <v>0</v>
      </c>
      <c r="M92">
        <v>0</v>
      </c>
      <c r="N92">
        <v>0</v>
      </c>
      <c r="O92" s="6">
        <v>0</v>
      </c>
      <c r="P92" s="3">
        <f t="shared" si="9"/>
        <v>26.1</v>
      </c>
      <c r="Q92">
        <v>1.2413888888888888E-4</v>
      </c>
      <c r="R92" s="14">
        <v>0.22271533855366152</v>
      </c>
      <c r="S92">
        <v>0.23166368515205688</v>
      </c>
      <c r="T92">
        <v>0.01</v>
      </c>
      <c r="U92" s="2">
        <v>1400</v>
      </c>
      <c r="V92" s="3">
        <v>100</v>
      </c>
      <c r="W92" s="2">
        <v>0</v>
      </c>
      <c r="X92" s="12">
        <v>0</v>
      </c>
      <c r="Y92" s="1">
        <v>0</v>
      </c>
      <c r="Z92" s="1">
        <v>0</v>
      </c>
      <c r="AA92">
        <v>0</v>
      </c>
      <c r="AB92" s="8">
        <v>0</v>
      </c>
      <c r="AD92" s="3"/>
    </row>
    <row r="93" spans="1:30">
      <c r="A93" s="20" t="s">
        <v>165</v>
      </c>
      <c r="B93" s="2">
        <f t="shared" si="10"/>
        <v>18.5</v>
      </c>
      <c r="C93" s="2">
        <f t="shared" si="8"/>
        <v>25.45584412271571</v>
      </c>
      <c r="D93" s="9">
        <v>44.1</v>
      </c>
      <c r="E93">
        <v>5.2</v>
      </c>
      <c r="F93">
        <v>13.9</v>
      </c>
      <c r="G93">
        <v>0</v>
      </c>
      <c r="H93">
        <v>17.399999999999999</v>
      </c>
      <c r="I93">
        <v>0</v>
      </c>
      <c r="J93">
        <v>8.5</v>
      </c>
      <c r="K93">
        <v>10.8</v>
      </c>
      <c r="L93">
        <v>0</v>
      </c>
      <c r="M93">
        <v>0</v>
      </c>
      <c r="N93">
        <v>0</v>
      </c>
      <c r="O93" s="6">
        <v>0</v>
      </c>
      <c r="P93" s="3">
        <f t="shared" si="9"/>
        <v>22.599999999999998</v>
      </c>
      <c r="Q93">
        <v>1.0469230769230773E-4</v>
      </c>
      <c r="R93" s="14">
        <v>0.21540652029274732</v>
      </c>
      <c r="S93">
        <v>0.34835025380710699</v>
      </c>
      <c r="T93">
        <v>0.01</v>
      </c>
      <c r="U93" s="2">
        <v>1400</v>
      </c>
      <c r="V93" s="3">
        <v>100</v>
      </c>
      <c r="W93" s="2">
        <v>0</v>
      </c>
      <c r="X93" s="12">
        <v>0</v>
      </c>
      <c r="Y93" s="1">
        <v>0</v>
      </c>
      <c r="Z93" s="1">
        <v>0</v>
      </c>
      <c r="AA93">
        <v>0</v>
      </c>
      <c r="AB93" s="8">
        <v>0</v>
      </c>
      <c r="AD93" s="3"/>
    </row>
    <row r="94" spans="1:30">
      <c r="A94" s="20" t="s">
        <v>166</v>
      </c>
      <c r="B94" s="2">
        <f t="shared" si="10"/>
        <v>18.5</v>
      </c>
      <c r="C94" s="2">
        <f t="shared" si="8"/>
        <v>25.45584412271571</v>
      </c>
      <c r="D94" s="9">
        <v>46.4</v>
      </c>
      <c r="E94">
        <v>1</v>
      </c>
      <c r="F94">
        <v>14.7</v>
      </c>
      <c r="G94">
        <v>0</v>
      </c>
      <c r="H94">
        <v>17.5</v>
      </c>
      <c r="I94">
        <v>0</v>
      </c>
      <c r="J94">
        <v>9</v>
      </c>
      <c r="K94">
        <v>11.4</v>
      </c>
      <c r="L94">
        <v>0</v>
      </c>
      <c r="M94">
        <v>0</v>
      </c>
      <c r="N94">
        <v>0</v>
      </c>
      <c r="O94" s="6">
        <v>0</v>
      </c>
      <c r="P94" s="3">
        <f t="shared" si="9"/>
        <v>18.5</v>
      </c>
      <c r="Q94">
        <v>9.1500000000000001E-5</v>
      </c>
      <c r="R94" s="14">
        <v>0.2082155688622751</v>
      </c>
      <c r="S94">
        <v>0.58139534883720489</v>
      </c>
      <c r="T94">
        <v>0.01</v>
      </c>
      <c r="U94" s="2">
        <v>1400</v>
      </c>
      <c r="V94" s="3">
        <v>100</v>
      </c>
      <c r="W94" s="2">
        <v>0</v>
      </c>
      <c r="X94" s="12">
        <v>0</v>
      </c>
      <c r="Y94" s="1">
        <v>0</v>
      </c>
      <c r="Z94" s="1">
        <v>0</v>
      </c>
      <c r="AA94">
        <v>0</v>
      </c>
      <c r="AB94" s="8">
        <v>0</v>
      </c>
      <c r="AD94" s="3"/>
    </row>
    <row r="95" spans="1:30">
      <c r="A95" s="20" t="s">
        <v>167</v>
      </c>
      <c r="B95" s="2">
        <f t="shared" si="10"/>
        <v>18.5</v>
      </c>
      <c r="C95" s="2">
        <f t="shared" si="8"/>
        <v>25.45584412271571</v>
      </c>
      <c r="D95" s="9">
        <v>46.3</v>
      </c>
      <c r="E95">
        <v>10.199999999999999</v>
      </c>
      <c r="F95">
        <v>14.7</v>
      </c>
      <c r="G95">
        <v>0</v>
      </c>
      <c r="H95">
        <v>8.6</v>
      </c>
      <c r="I95">
        <v>0</v>
      </c>
      <c r="J95">
        <v>8.9</v>
      </c>
      <c r="K95">
        <v>11.4</v>
      </c>
      <c r="L95">
        <v>0</v>
      </c>
      <c r="M95">
        <v>0</v>
      </c>
      <c r="N95">
        <v>0</v>
      </c>
      <c r="O95" s="6">
        <v>0</v>
      </c>
      <c r="P95" s="3">
        <f t="shared" si="9"/>
        <v>18.799999999999997</v>
      </c>
      <c r="Q95">
        <v>1.3070833333333334E-4</v>
      </c>
      <c r="R95">
        <v>0.29829841716566857</v>
      </c>
      <c r="S95">
        <v>0.33202061384345172</v>
      </c>
      <c r="T95">
        <v>0.01</v>
      </c>
      <c r="U95" s="2">
        <v>1400</v>
      </c>
      <c r="V95" s="3">
        <v>100</v>
      </c>
      <c r="W95" s="2">
        <v>0</v>
      </c>
      <c r="X95" s="12">
        <v>0</v>
      </c>
      <c r="Y95" s="1">
        <v>0</v>
      </c>
      <c r="Z95" s="1">
        <v>0</v>
      </c>
      <c r="AA95">
        <v>0</v>
      </c>
      <c r="AB95" s="8">
        <v>0</v>
      </c>
      <c r="AD95" s="3"/>
    </row>
    <row r="96" spans="1:30">
      <c r="A96" s="20" t="s">
        <v>168</v>
      </c>
      <c r="B96" s="2">
        <f t="shared" si="10"/>
        <v>18.5</v>
      </c>
      <c r="C96" s="2">
        <f t="shared" si="8"/>
        <v>25.45584412271571</v>
      </c>
      <c r="D96" s="9">
        <v>49.6</v>
      </c>
      <c r="E96">
        <v>5.0999999999999996</v>
      </c>
      <c r="F96">
        <v>15.7</v>
      </c>
      <c r="G96">
        <v>0</v>
      </c>
      <c r="H96">
        <v>7.8</v>
      </c>
      <c r="I96">
        <v>0</v>
      </c>
      <c r="J96">
        <v>9.6</v>
      </c>
      <c r="K96">
        <v>12.2</v>
      </c>
      <c r="L96">
        <v>0</v>
      </c>
      <c r="M96">
        <v>0</v>
      </c>
      <c r="N96">
        <v>0</v>
      </c>
      <c r="O96" s="6">
        <v>0</v>
      </c>
      <c r="P96" s="3">
        <f t="shared" si="9"/>
        <v>12.899999999999999</v>
      </c>
      <c r="Q96">
        <v>1.1233222222222223E-4</v>
      </c>
      <c r="R96">
        <v>0.37856222355289393</v>
      </c>
      <c r="S96">
        <v>0.45491684170980723</v>
      </c>
      <c r="T96">
        <v>0.01</v>
      </c>
      <c r="U96" s="2">
        <v>1400</v>
      </c>
      <c r="V96" s="3">
        <v>100</v>
      </c>
      <c r="W96" s="2">
        <v>0</v>
      </c>
      <c r="X96" s="12">
        <v>0</v>
      </c>
      <c r="Y96" s="1">
        <v>0</v>
      </c>
      <c r="Z96" s="1">
        <v>0</v>
      </c>
      <c r="AA96">
        <v>0</v>
      </c>
      <c r="AB96" s="8">
        <v>0</v>
      </c>
      <c r="AD96" s="3"/>
    </row>
    <row r="97" spans="1:30">
      <c r="A97" s="20" t="s">
        <v>169</v>
      </c>
      <c r="B97" s="2">
        <f t="shared" si="10"/>
        <v>18.5</v>
      </c>
      <c r="C97" s="2">
        <f t="shared" si="8"/>
        <v>25.45584412271571</v>
      </c>
      <c r="D97" s="9">
        <v>51.3</v>
      </c>
      <c r="E97">
        <v>1</v>
      </c>
      <c r="F97">
        <v>16.2</v>
      </c>
      <c r="G97">
        <v>0</v>
      </c>
      <c r="H97">
        <v>9</v>
      </c>
      <c r="I97">
        <v>0</v>
      </c>
      <c r="J97">
        <v>9.9</v>
      </c>
      <c r="K97">
        <v>12.6</v>
      </c>
      <c r="L97">
        <v>0</v>
      </c>
      <c r="M97">
        <v>0</v>
      </c>
      <c r="N97">
        <v>0</v>
      </c>
      <c r="O97" s="6">
        <v>0</v>
      </c>
      <c r="P97" s="3">
        <f t="shared" si="9"/>
        <v>10</v>
      </c>
      <c r="Q97">
        <v>5.7858585858585549E-5</v>
      </c>
      <c r="R97">
        <v>0.4111848610471362</v>
      </c>
      <c r="S97">
        <v>0.79618320610687165</v>
      </c>
      <c r="T97">
        <v>0.01</v>
      </c>
      <c r="U97" s="2">
        <v>1400</v>
      </c>
      <c r="V97" s="3">
        <v>100</v>
      </c>
      <c r="W97" s="2">
        <v>0</v>
      </c>
      <c r="X97" s="12">
        <v>0</v>
      </c>
      <c r="Y97" s="1">
        <v>0</v>
      </c>
      <c r="Z97" s="1">
        <v>0</v>
      </c>
      <c r="AA97">
        <v>0</v>
      </c>
      <c r="AB97" s="8">
        <v>0</v>
      </c>
      <c r="AD97" s="3"/>
    </row>
    <row r="98" spans="1:30">
      <c r="A98" s="20" t="s">
        <v>170</v>
      </c>
      <c r="B98" s="2">
        <f>AVERAGE(37,74)</f>
        <v>55.5</v>
      </c>
      <c r="C98" s="2">
        <f>STDEV(37,74)</f>
        <v>26.16295090390226</v>
      </c>
      <c r="D98" s="9">
        <v>48.5</v>
      </c>
      <c r="E98">
        <v>2.7</v>
      </c>
      <c r="F98">
        <v>10.7</v>
      </c>
      <c r="G98">
        <v>0</v>
      </c>
      <c r="H98">
        <v>14.7</v>
      </c>
      <c r="I98">
        <v>0</v>
      </c>
      <c r="J98">
        <v>12.8</v>
      </c>
      <c r="K98">
        <v>10.7</v>
      </c>
      <c r="L98">
        <v>0</v>
      </c>
      <c r="M98">
        <v>0</v>
      </c>
      <c r="N98">
        <v>0</v>
      </c>
      <c r="O98" s="6">
        <v>0</v>
      </c>
      <c r="P98" s="3">
        <f t="shared" si="9"/>
        <v>17.399999999999999</v>
      </c>
      <c r="Q98">
        <v>5.291423001949316E-5</v>
      </c>
      <c r="R98" s="14">
        <v>0.11226511682517303</v>
      </c>
      <c r="S98">
        <v>0.41360294117647278</v>
      </c>
      <c r="T98">
        <v>0.01</v>
      </c>
      <c r="U98" s="2">
        <v>1400</v>
      </c>
      <c r="V98" s="3">
        <v>100</v>
      </c>
      <c r="W98" s="2">
        <v>0</v>
      </c>
      <c r="X98" s="12">
        <v>0</v>
      </c>
      <c r="Y98" s="1">
        <v>0</v>
      </c>
      <c r="Z98" s="1">
        <v>0</v>
      </c>
      <c r="AA98">
        <v>0</v>
      </c>
      <c r="AB98" s="8">
        <v>0</v>
      </c>
      <c r="AD98" s="3"/>
    </row>
    <row r="99" spans="1:30">
      <c r="A99" s="20" t="s">
        <v>171</v>
      </c>
      <c r="B99" s="2">
        <f t="shared" ref="B99:B102" si="11">AVERAGE(37,74)</f>
        <v>55.5</v>
      </c>
      <c r="C99" s="2">
        <f t="shared" ref="C99:C102" si="12">STDEV(37,74)</f>
        <v>26.16295090390226</v>
      </c>
      <c r="D99" s="9">
        <v>42.1</v>
      </c>
      <c r="E99">
        <v>10.6</v>
      </c>
      <c r="F99">
        <v>13.3</v>
      </c>
      <c r="G99">
        <v>0</v>
      </c>
      <c r="H99">
        <v>15.5</v>
      </c>
      <c r="I99">
        <v>0</v>
      </c>
      <c r="J99">
        <v>8.1</v>
      </c>
      <c r="K99">
        <v>10.3</v>
      </c>
      <c r="L99">
        <v>0</v>
      </c>
      <c r="M99">
        <v>0</v>
      </c>
      <c r="N99">
        <v>0</v>
      </c>
      <c r="O99" s="6">
        <v>0</v>
      </c>
      <c r="P99" s="3">
        <f t="shared" si="9"/>
        <v>26.1</v>
      </c>
      <c r="Q99">
        <v>5.5864197530863884E-5</v>
      </c>
      <c r="R99" s="14">
        <v>0.11118102755527895</v>
      </c>
      <c r="S99">
        <v>0.32648401826483975</v>
      </c>
      <c r="T99">
        <v>0.01</v>
      </c>
      <c r="U99" s="2">
        <v>1400</v>
      </c>
      <c r="V99" s="3">
        <v>100</v>
      </c>
      <c r="W99" s="2">
        <v>0</v>
      </c>
      <c r="X99" s="12">
        <v>0</v>
      </c>
      <c r="Y99" s="1">
        <v>0</v>
      </c>
      <c r="Z99" s="1">
        <v>0</v>
      </c>
      <c r="AA99">
        <v>0</v>
      </c>
      <c r="AB99" s="8">
        <v>0</v>
      </c>
      <c r="AD99" s="3"/>
    </row>
    <row r="100" spans="1:30">
      <c r="A100" s="20" t="s">
        <v>172</v>
      </c>
      <c r="B100" s="2">
        <f t="shared" si="11"/>
        <v>55.5</v>
      </c>
      <c r="C100" s="2">
        <f t="shared" si="12"/>
        <v>26.16295090390226</v>
      </c>
      <c r="D100">
        <v>44.1</v>
      </c>
      <c r="E100">
        <v>5.2</v>
      </c>
      <c r="F100">
        <v>13.9</v>
      </c>
      <c r="G100">
        <v>0</v>
      </c>
      <c r="H100">
        <v>17.399999999999999</v>
      </c>
      <c r="I100">
        <v>0</v>
      </c>
      <c r="J100">
        <v>8.5</v>
      </c>
      <c r="K100">
        <v>10.8</v>
      </c>
      <c r="L100">
        <v>0</v>
      </c>
      <c r="M100">
        <v>0</v>
      </c>
      <c r="N100">
        <v>0</v>
      </c>
      <c r="O100" s="6">
        <v>0</v>
      </c>
      <c r="P100" s="3">
        <f t="shared" si="9"/>
        <v>22.599999999999998</v>
      </c>
      <c r="Q100">
        <v>4.3957360722066393E-5</v>
      </c>
      <c r="R100" s="14">
        <v>0.10349301397205564</v>
      </c>
      <c r="S100">
        <v>0.40824872368496778</v>
      </c>
      <c r="T100">
        <v>0.01</v>
      </c>
      <c r="U100" s="2">
        <v>1400</v>
      </c>
      <c r="V100" s="3">
        <v>100</v>
      </c>
      <c r="W100" s="2">
        <v>0</v>
      </c>
      <c r="X100" s="12">
        <v>0</v>
      </c>
      <c r="Y100" s="1">
        <v>0</v>
      </c>
      <c r="Z100" s="1">
        <v>0</v>
      </c>
      <c r="AA100">
        <v>0</v>
      </c>
      <c r="AB100" s="8">
        <v>0</v>
      </c>
      <c r="AD100" s="3"/>
    </row>
    <row r="101" spans="1:30">
      <c r="A101" s="20" t="s">
        <v>173</v>
      </c>
      <c r="B101" s="2">
        <f t="shared" si="11"/>
        <v>55.5</v>
      </c>
      <c r="C101" s="2">
        <f t="shared" si="12"/>
        <v>26.16295090390226</v>
      </c>
      <c r="D101">
        <v>46.4</v>
      </c>
      <c r="E101">
        <v>1</v>
      </c>
      <c r="F101">
        <v>14.7</v>
      </c>
      <c r="G101">
        <v>0</v>
      </c>
      <c r="H101">
        <v>17.5</v>
      </c>
      <c r="I101">
        <v>0</v>
      </c>
      <c r="J101">
        <v>9</v>
      </c>
      <c r="K101">
        <v>11.4</v>
      </c>
      <c r="L101">
        <v>0</v>
      </c>
      <c r="M101">
        <v>0</v>
      </c>
      <c r="N101">
        <v>0</v>
      </c>
      <c r="O101" s="6">
        <v>0</v>
      </c>
      <c r="P101" s="3">
        <f t="shared" si="9"/>
        <v>18.5</v>
      </c>
      <c r="Q101">
        <v>4.9111111111111114E-5</v>
      </c>
      <c r="R101" s="14">
        <v>0.11198935462408501</v>
      </c>
      <c r="S101">
        <v>0.61345852895148978</v>
      </c>
      <c r="T101">
        <v>0.01</v>
      </c>
      <c r="U101" s="2">
        <v>1400</v>
      </c>
      <c r="V101" s="3">
        <v>100</v>
      </c>
      <c r="W101" s="2">
        <v>0</v>
      </c>
      <c r="X101" s="12">
        <v>0</v>
      </c>
      <c r="Y101" s="1">
        <v>0</v>
      </c>
      <c r="Z101" s="1">
        <v>0</v>
      </c>
      <c r="AA101">
        <v>0</v>
      </c>
      <c r="AB101" s="8">
        <v>0</v>
      </c>
      <c r="AD101" s="3"/>
    </row>
    <row r="102" spans="1:30">
      <c r="A102" s="20" t="s">
        <v>174</v>
      </c>
      <c r="B102" s="2">
        <f t="shared" si="11"/>
        <v>55.5</v>
      </c>
      <c r="C102" s="2">
        <f t="shared" si="12"/>
        <v>26.16295090390226</v>
      </c>
      <c r="D102" s="9">
        <v>51.3</v>
      </c>
      <c r="E102">
        <v>1</v>
      </c>
      <c r="F102">
        <v>16.2</v>
      </c>
      <c r="G102">
        <v>0</v>
      </c>
      <c r="H102">
        <v>9</v>
      </c>
      <c r="I102">
        <v>0</v>
      </c>
      <c r="J102">
        <v>9.9</v>
      </c>
      <c r="K102">
        <v>12.6</v>
      </c>
      <c r="L102">
        <v>0</v>
      </c>
      <c r="M102">
        <v>0</v>
      </c>
      <c r="N102">
        <v>0</v>
      </c>
      <c r="O102" s="6">
        <v>0</v>
      </c>
      <c r="P102" s="3">
        <f t="shared" si="9"/>
        <v>10</v>
      </c>
      <c r="Q102">
        <v>4.0444444444444444E-5</v>
      </c>
      <c r="R102" s="14">
        <v>0.26124151696606795</v>
      </c>
      <c r="S102">
        <v>0.75013789299503475</v>
      </c>
      <c r="T102">
        <v>0.01</v>
      </c>
      <c r="U102" s="2">
        <v>1400</v>
      </c>
      <c r="V102" s="3">
        <v>100</v>
      </c>
      <c r="W102" s="2">
        <v>0</v>
      </c>
      <c r="X102" s="12">
        <v>0</v>
      </c>
      <c r="Y102" s="1">
        <v>0</v>
      </c>
      <c r="Z102" s="1">
        <v>0</v>
      </c>
      <c r="AA102">
        <v>0</v>
      </c>
      <c r="AB102" s="8">
        <v>0</v>
      </c>
      <c r="AD102" s="3"/>
    </row>
    <row r="103" spans="1:30">
      <c r="A103" s="22" t="s">
        <v>92</v>
      </c>
      <c r="B103" s="2">
        <f>AVERAGE(75,500)</f>
        <v>287.5</v>
      </c>
      <c r="C103" s="2">
        <f>STDEV(75,500)</f>
        <v>300.52038200428268</v>
      </c>
      <c r="D103">
        <v>51.07</v>
      </c>
      <c r="E103">
        <v>0.99</v>
      </c>
      <c r="F103">
        <v>8.25</v>
      </c>
      <c r="G103">
        <v>0</v>
      </c>
      <c r="H103">
        <v>19.149999999999999</v>
      </c>
      <c r="I103">
        <v>0.44</v>
      </c>
      <c r="J103">
        <v>7.21</v>
      </c>
      <c r="K103">
        <v>10.029999999999999</v>
      </c>
      <c r="L103">
        <v>1.73</v>
      </c>
      <c r="M103">
        <v>0.44</v>
      </c>
      <c r="N103">
        <v>0.59</v>
      </c>
      <c r="O103">
        <f>100-SUM(D103:N103)</f>
        <v>9.9999999999994316E-2</v>
      </c>
      <c r="P103" s="3">
        <f t="shared" si="9"/>
        <v>20.139999999999997</v>
      </c>
      <c r="Q103" s="14">
        <v>7.4944444444444497E-6</v>
      </c>
      <c r="R103" s="14">
        <v>3.3960998003991986E-2</v>
      </c>
      <c r="S103" s="14">
        <v>0.99559471365638774</v>
      </c>
      <c r="T103" s="11" t="s">
        <v>101</v>
      </c>
      <c r="U103">
        <v>1300</v>
      </c>
      <c r="V103">
        <v>100</v>
      </c>
      <c r="W103">
        <v>0</v>
      </c>
      <c r="X103" s="9">
        <v>0</v>
      </c>
      <c r="Y103">
        <v>0</v>
      </c>
      <c r="Z103">
        <v>0</v>
      </c>
      <c r="AA103">
        <v>0</v>
      </c>
      <c r="AB103" s="8">
        <v>0</v>
      </c>
      <c r="AD103" s="3"/>
    </row>
    <row r="104" spans="1:30">
      <c r="A104" s="22" t="s">
        <v>102</v>
      </c>
      <c r="B104" s="2">
        <f>AVERAGE(75,250)</f>
        <v>162.5</v>
      </c>
      <c r="C104" s="2">
        <f>STDEV(75,250)</f>
        <v>123.74368670764582</v>
      </c>
      <c r="D104">
        <v>51.07</v>
      </c>
      <c r="E104">
        <v>0.99</v>
      </c>
      <c r="F104">
        <v>8.25</v>
      </c>
      <c r="G104">
        <v>0</v>
      </c>
      <c r="H104">
        <v>19.149999999999999</v>
      </c>
      <c r="I104">
        <v>0.44</v>
      </c>
      <c r="J104">
        <v>7.21</v>
      </c>
      <c r="K104">
        <v>10.029999999999999</v>
      </c>
      <c r="L104">
        <v>1.73</v>
      </c>
      <c r="M104">
        <v>0.44</v>
      </c>
      <c r="N104">
        <v>0.59</v>
      </c>
      <c r="O104">
        <f t="shared" ref="O104:O124" si="13">100-SUM(D104:N104)</f>
        <v>9.9999999999994316E-2</v>
      </c>
      <c r="P104" s="3">
        <f t="shared" si="9"/>
        <v>20.139999999999997</v>
      </c>
      <c r="Q104">
        <v>1.2477777777777778E-5</v>
      </c>
      <c r="R104" s="14">
        <v>3.396309381237525E-2</v>
      </c>
      <c r="S104">
        <v>0.99404939006247839</v>
      </c>
      <c r="T104" s="11" t="s">
        <v>101</v>
      </c>
      <c r="U104">
        <v>1300</v>
      </c>
      <c r="V104">
        <f>100-Z104</f>
        <v>99.7</v>
      </c>
      <c r="W104">
        <v>0</v>
      </c>
      <c r="X104" s="9">
        <v>0</v>
      </c>
      <c r="Y104">
        <v>0</v>
      </c>
      <c r="Z104">
        <v>0.3</v>
      </c>
      <c r="AA104">
        <v>0</v>
      </c>
      <c r="AB104" s="8">
        <v>0</v>
      </c>
      <c r="AD104" s="3"/>
    </row>
    <row r="105" spans="1:30">
      <c r="A105" s="20" t="s">
        <v>108</v>
      </c>
      <c r="B105">
        <f>AVERAGE(0,75)</f>
        <v>37.5</v>
      </c>
      <c r="C105">
        <f>STDEV(0,75)</f>
        <v>53.033008588991066</v>
      </c>
      <c r="D105">
        <v>51.07</v>
      </c>
      <c r="E105">
        <v>0.99</v>
      </c>
      <c r="F105">
        <v>8.25</v>
      </c>
      <c r="G105">
        <v>0</v>
      </c>
      <c r="H105">
        <v>19.149999999999999</v>
      </c>
      <c r="I105">
        <v>0.44</v>
      </c>
      <c r="J105">
        <v>7.21</v>
      </c>
      <c r="K105">
        <v>10.029999999999999</v>
      </c>
      <c r="L105">
        <v>1.73</v>
      </c>
      <c r="M105">
        <v>0.44</v>
      </c>
      <c r="N105">
        <v>0.59</v>
      </c>
      <c r="O105">
        <f t="shared" si="13"/>
        <v>9.9999999999994316E-2</v>
      </c>
      <c r="P105" s="3">
        <f t="shared" si="9"/>
        <v>20.139999999999997</v>
      </c>
      <c r="Q105">
        <v>9.4183333333333337E-5</v>
      </c>
      <c r="R105" s="14">
        <v>6.0212285429141685E-2</v>
      </c>
      <c r="S105">
        <v>0.61725736999006287</v>
      </c>
      <c r="T105" s="11" t="s">
        <v>101</v>
      </c>
      <c r="U105">
        <v>1300</v>
      </c>
      <c r="V105">
        <f>100-Z105</f>
        <v>99.7</v>
      </c>
      <c r="W105">
        <v>0</v>
      </c>
      <c r="X105" s="9">
        <v>0</v>
      </c>
      <c r="Y105">
        <v>0</v>
      </c>
      <c r="Z105">
        <v>0.3</v>
      </c>
      <c r="AA105">
        <v>0</v>
      </c>
      <c r="AB105" s="8">
        <v>0</v>
      </c>
      <c r="AD105" s="3"/>
    </row>
    <row r="106" spans="1:30">
      <c r="A106" s="20" t="s">
        <v>94</v>
      </c>
      <c r="B106">
        <f>AVERAGE(75,500)</f>
        <v>287.5</v>
      </c>
      <c r="C106">
        <f>STDEV(75,500)</f>
        <v>300.52038200428268</v>
      </c>
      <c r="D106">
        <v>50.66</v>
      </c>
      <c r="E106">
        <v>1.5</v>
      </c>
      <c r="F106">
        <v>8.08</v>
      </c>
      <c r="G106">
        <v>0</v>
      </c>
      <c r="H106">
        <v>19.989999999999998</v>
      </c>
      <c r="I106">
        <v>0.64</v>
      </c>
      <c r="J106">
        <v>7.18</v>
      </c>
      <c r="K106">
        <v>8.76</v>
      </c>
      <c r="L106">
        <v>1.6</v>
      </c>
      <c r="M106">
        <v>0.28000000000000003</v>
      </c>
      <c r="N106">
        <v>0.39</v>
      </c>
      <c r="O106">
        <f t="shared" si="13"/>
        <v>0.92000000000001592</v>
      </c>
      <c r="P106" s="3">
        <f t="shared" si="9"/>
        <v>21.49</v>
      </c>
      <c r="Q106">
        <v>4.6333333333333353E-6</v>
      </c>
      <c r="R106" s="14">
        <v>3.2644530938123729E-2</v>
      </c>
      <c r="S106">
        <v>0.85310166570936252</v>
      </c>
      <c r="T106" s="11" t="s">
        <v>101</v>
      </c>
      <c r="U106">
        <v>1130</v>
      </c>
      <c r="V106">
        <v>81.3</v>
      </c>
      <c r="W106">
        <v>18.7</v>
      </c>
      <c r="X106" s="9">
        <v>0</v>
      </c>
      <c r="Y106">
        <v>0</v>
      </c>
      <c r="Z106">
        <v>0</v>
      </c>
      <c r="AA106">
        <v>0</v>
      </c>
      <c r="AB106" s="8">
        <v>0</v>
      </c>
      <c r="AD106" s="3"/>
    </row>
    <row r="107" spans="1:30">
      <c r="A107" s="20" t="s">
        <v>95</v>
      </c>
      <c r="B107">
        <f>AVERAGE(75,500)</f>
        <v>287.5</v>
      </c>
      <c r="C107">
        <f>STDEV(75,500)</f>
        <v>300.52038200428268</v>
      </c>
      <c r="D107">
        <v>50.66</v>
      </c>
      <c r="E107">
        <v>1.5</v>
      </c>
      <c r="F107">
        <v>8.08</v>
      </c>
      <c r="G107">
        <v>0</v>
      </c>
      <c r="H107">
        <v>19.989999999999998</v>
      </c>
      <c r="I107">
        <v>0.64</v>
      </c>
      <c r="J107">
        <v>7.18</v>
      </c>
      <c r="K107">
        <v>8.76</v>
      </c>
      <c r="L107">
        <v>1.6</v>
      </c>
      <c r="M107">
        <v>0.28000000000000003</v>
      </c>
      <c r="N107">
        <v>0.39</v>
      </c>
      <c r="O107">
        <f t="shared" si="13"/>
        <v>0.92000000000001592</v>
      </c>
      <c r="P107" s="3">
        <f t="shared" si="9"/>
        <v>21.49</v>
      </c>
      <c r="Q107">
        <v>6.1055555555555556E-6</v>
      </c>
      <c r="R107" s="14">
        <v>3.8474131736526938E-2</v>
      </c>
      <c r="S107">
        <v>0.81287677839401973</v>
      </c>
      <c r="T107" s="11" t="s">
        <v>101</v>
      </c>
      <c r="U107">
        <v>1080</v>
      </c>
      <c r="V107">
        <v>57.7</v>
      </c>
      <c r="W107">
        <v>22.7</v>
      </c>
      <c r="X107" s="9">
        <v>14.2</v>
      </c>
      <c r="Y107">
        <v>5.4</v>
      </c>
      <c r="Z107">
        <v>0</v>
      </c>
      <c r="AA107">
        <v>0</v>
      </c>
      <c r="AB107" s="8">
        <v>0</v>
      </c>
      <c r="AD107" s="3"/>
    </row>
    <row r="108" spans="1:30">
      <c r="A108" s="20" t="s">
        <v>99</v>
      </c>
      <c r="B108">
        <f>AVERAGE(75,500)</f>
        <v>287.5</v>
      </c>
      <c r="C108">
        <f>STDEV(75,500)</f>
        <v>300.52038200428268</v>
      </c>
      <c r="D108">
        <v>50.66</v>
      </c>
      <c r="E108">
        <v>1.5</v>
      </c>
      <c r="F108">
        <v>8.08</v>
      </c>
      <c r="G108">
        <v>0</v>
      </c>
      <c r="H108">
        <v>19.989999999999998</v>
      </c>
      <c r="I108">
        <v>0.64</v>
      </c>
      <c r="J108">
        <v>7.18</v>
      </c>
      <c r="K108">
        <v>8.76</v>
      </c>
      <c r="L108">
        <v>1.6</v>
      </c>
      <c r="M108">
        <v>0.28000000000000003</v>
      </c>
      <c r="N108">
        <v>0.39</v>
      </c>
      <c r="O108">
        <f t="shared" si="13"/>
        <v>0.92000000000001592</v>
      </c>
      <c r="P108" s="3">
        <f t="shared" si="9"/>
        <v>21.49</v>
      </c>
      <c r="Q108">
        <v>3.566666666666668E-6</v>
      </c>
      <c r="R108" s="14">
        <v>4.0132544910179674E-2</v>
      </c>
      <c r="S108">
        <v>0.79343365253077969</v>
      </c>
      <c r="T108" s="11" t="s">
        <v>101</v>
      </c>
      <c r="U108">
        <v>1050</v>
      </c>
      <c r="V108">
        <v>33.700000000000003</v>
      </c>
      <c r="W108">
        <v>34.700000000000003</v>
      </c>
      <c r="X108" s="9">
        <v>15.9</v>
      </c>
      <c r="Y108">
        <v>14.3</v>
      </c>
      <c r="Z108">
        <v>1.4</v>
      </c>
      <c r="AA108">
        <v>0</v>
      </c>
      <c r="AB108" s="8">
        <v>0</v>
      </c>
      <c r="AD108" s="3"/>
    </row>
    <row r="109" spans="1:30">
      <c r="A109" s="20" t="s">
        <v>100</v>
      </c>
      <c r="B109">
        <f>AVERAGE(75,500)</f>
        <v>287.5</v>
      </c>
      <c r="C109">
        <f>STDEV(75,500)</f>
        <v>300.52038200428268</v>
      </c>
      <c r="D109">
        <v>50.66</v>
      </c>
      <c r="E109">
        <v>1.5</v>
      </c>
      <c r="F109">
        <v>8.08</v>
      </c>
      <c r="G109">
        <v>0</v>
      </c>
      <c r="H109">
        <v>19.989999999999998</v>
      </c>
      <c r="I109">
        <v>0.64</v>
      </c>
      <c r="J109">
        <v>7.18</v>
      </c>
      <c r="K109">
        <v>8.76</v>
      </c>
      <c r="L109">
        <v>1.6</v>
      </c>
      <c r="M109">
        <v>0.28000000000000003</v>
      </c>
      <c r="N109">
        <v>0.39</v>
      </c>
      <c r="O109">
        <f t="shared" si="13"/>
        <v>0.92000000000001592</v>
      </c>
      <c r="P109" s="3">
        <f t="shared" si="9"/>
        <v>21.49</v>
      </c>
      <c r="Q109">
        <v>3.6722222222222247E-6</v>
      </c>
      <c r="R109" s="14">
        <v>7.6986516966067828E-2</v>
      </c>
      <c r="S109">
        <v>0.73222556739231115</v>
      </c>
      <c r="T109" s="11" t="s">
        <v>101</v>
      </c>
      <c r="U109">
        <v>1030</v>
      </c>
      <c r="V109">
        <v>19.399999999999999</v>
      </c>
      <c r="W109">
        <v>24.7</v>
      </c>
      <c r="X109" s="9">
        <v>32.700000000000003</v>
      </c>
      <c r="Y109">
        <v>19.100000000000001</v>
      </c>
      <c r="Z109">
        <v>4.0999999999999996</v>
      </c>
      <c r="AA109">
        <v>0</v>
      </c>
      <c r="AB109" s="8">
        <v>0</v>
      </c>
      <c r="AD109" s="3"/>
    </row>
    <row r="110" spans="1:30">
      <c r="A110" s="20" t="s">
        <v>96</v>
      </c>
      <c r="B110">
        <f>AVERAGE(0,75)</f>
        <v>37.5</v>
      </c>
      <c r="C110">
        <f>STDEV(0,75)</f>
        <v>53.033008588991066</v>
      </c>
      <c r="D110">
        <v>51.07</v>
      </c>
      <c r="E110">
        <v>0.99</v>
      </c>
      <c r="F110">
        <v>8.25</v>
      </c>
      <c r="G110">
        <v>0</v>
      </c>
      <c r="H110">
        <v>19.149999999999999</v>
      </c>
      <c r="I110">
        <v>0.44</v>
      </c>
      <c r="J110">
        <v>7.21</v>
      </c>
      <c r="K110">
        <v>10.029999999999999</v>
      </c>
      <c r="L110">
        <v>1.73</v>
      </c>
      <c r="M110">
        <v>0.44</v>
      </c>
      <c r="N110">
        <v>0.59</v>
      </c>
      <c r="O110">
        <f t="shared" si="13"/>
        <v>9.9999999999994316E-2</v>
      </c>
      <c r="P110" s="3">
        <f t="shared" si="9"/>
        <v>20.139999999999997</v>
      </c>
      <c r="Q110">
        <v>6.2550000000000003E-5</v>
      </c>
      <c r="R110" s="14">
        <v>0.11417670658682631</v>
      </c>
      <c r="S110">
        <v>0.570152659741894</v>
      </c>
      <c r="T110" s="11" t="s">
        <v>101</v>
      </c>
      <c r="U110">
        <v>1080</v>
      </c>
      <c r="V110">
        <v>52.3</v>
      </c>
      <c r="W110">
        <v>19</v>
      </c>
      <c r="X110" s="9">
        <v>20.5</v>
      </c>
      <c r="Y110">
        <v>8.1999999999999993</v>
      </c>
      <c r="Z110">
        <v>0</v>
      </c>
      <c r="AA110">
        <v>0</v>
      </c>
      <c r="AB110" s="8">
        <v>0</v>
      </c>
      <c r="AD110" s="3"/>
    </row>
    <row r="111" spans="1:30">
      <c r="A111" s="20" t="s">
        <v>111</v>
      </c>
      <c r="B111">
        <f>AVERAGE(500,2000)</f>
        <v>1250</v>
      </c>
      <c r="C111">
        <f>STDEV(500,2000)</f>
        <v>1060.6601717798212</v>
      </c>
      <c r="D111">
        <v>49.95</v>
      </c>
      <c r="E111">
        <v>1</v>
      </c>
      <c r="F111">
        <v>7.4</v>
      </c>
      <c r="G111">
        <v>0</v>
      </c>
      <c r="H111">
        <v>19.36</v>
      </c>
      <c r="I111">
        <v>0.48</v>
      </c>
      <c r="J111">
        <v>7.13</v>
      </c>
      <c r="K111">
        <v>10.99</v>
      </c>
      <c r="L111">
        <v>1.5</v>
      </c>
      <c r="M111">
        <v>0.38</v>
      </c>
      <c r="N111">
        <v>0.7</v>
      </c>
      <c r="O111">
        <f t="shared" si="13"/>
        <v>1.1099999999999994</v>
      </c>
      <c r="P111" s="3">
        <f t="shared" si="9"/>
        <v>20.36</v>
      </c>
      <c r="Q111">
        <v>6.7222222222222218E-6</v>
      </c>
      <c r="R111" s="14">
        <v>2.9080588822355303E-2</v>
      </c>
      <c r="S111">
        <v>0.95201933034173292</v>
      </c>
      <c r="T111" s="11" t="s">
        <v>101</v>
      </c>
      <c r="U111">
        <v>1100</v>
      </c>
      <c r="V111">
        <v>100</v>
      </c>
      <c r="W111">
        <v>0</v>
      </c>
      <c r="X111" s="9">
        <v>0</v>
      </c>
      <c r="Y111">
        <v>0</v>
      </c>
      <c r="Z111">
        <v>0</v>
      </c>
      <c r="AA111">
        <v>0</v>
      </c>
      <c r="AB111" s="8">
        <v>0</v>
      </c>
      <c r="AD111" s="3"/>
    </row>
    <row r="112" spans="1:30">
      <c r="A112" s="20" t="s">
        <v>93</v>
      </c>
      <c r="B112">
        <f>AVERAGE(75,500)</f>
        <v>287.5</v>
      </c>
      <c r="C112">
        <f>STDEV(75,500)</f>
        <v>300.52038200428268</v>
      </c>
      <c r="D112" s="1">
        <v>50.66</v>
      </c>
      <c r="E112" s="1">
        <v>1.5</v>
      </c>
      <c r="F112" s="1">
        <v>8.08</v>
      </c>
      <c r="G112">
        <v>0</v>
      </c>
      <c r="H112" s="1">
        <v>19.989999999999998</v>
      </c>
      <c r="I112" s="1">
        <v>0.64</v>
      </c>
      <c r="J112" s="1">
        <v>7.18</v>
      </c>
      <c r="K112" s="1">
        <v>8.76</v>
      </c>
      <c r="L112" s="1">
        <v>1.6</v>
      </c>
      <c r="M112" s="1">
        <v>0.28000000000000003</v>
      </c>
      <c r="N112" s="1">
        <v>0.39</v>
      </c>
      <c r="O112">
        <f t="shared" si="13"/>
        <v>0.92000000000001592</v>
      </c>
      <c r="P112" s="3">
        <f t="shared" si="9"/>
        <v>21.49</v>
      </c>
      <c r="Q112">
        <v>1.0201899338111539E-4</v>
      </c>
      <c r="R112">
        <v>0.10195254328946832</v>
      </c>
      <c r="S112">
        <v>0.53759228818986837</v>
      </c>
      <c r="T112" s="11" t="s">
        <v>101</v>
      </c>
      <c r="U112" s="1">
        <v>1130</v>
      </c>
      <c r="V112" s="1">
        <v>86</v>
      </c>
      <c r="W112" s="1">
        <v>14</v>
      </c>
      <c r="X112" s="9">
        <v>0</v>
      </c>
      <c r="Y112" s="1">
        <v>0</v>
      </c>
      <c r="Z112" s="1">
        <v>0</v>
      </c>
      <c r="AA112">
        <v>0</v>
      </c>
      <c r="AB112" s="8">
        <v>0</v>
      </c>
      <c r="AD112" s="3"/>
    </row>
    <row r="113" spans="1:30">
      <c r="A113" s="20" t="s">
        <v>109</v>
      </c>
      <c r="B113">
        <f>AVERAGE(500,2000)</f>
        <v>1250</v>
      </c>
      <c r="C113">
        <f>STDEV(500,2000)</f>
        <v>1060.6601717798212</v>
      </c>
      <c r="D113">
        <v>67.819999999999993</v>
      </c>
      <c r="E113">
        <v>0.66</v>
      </c>
      <c r="F113">
        <v>11.71</v>
      </c>
      <c r="G113">
        <v>0</v>
      </c>
      <c r="H113">
        <v>8.02</v>
      </c>
      <c r="I113">
        <v>0.28000000000000003</v>
      </c>
      <c r="J113">
        <v>0.92</v>
      </c>
      <c r="K113">
        <v>4.47</v>
      </c>
      <c r="L113">
        <v>4.3099999999999996</v>
      </c>
      <c r="M113">
        <v>1.57</v>
      </c>
      <c r="N113">
        <v>0.26</v>
      </c>
      <c r="O113">
        <v>0</v>
      </c>
      <c r="P113" s="3">
        <f t="shared" si="9"/>
        <v>8.68</v>
      </c>
      <c r="Q113" s="1">
        <v>5.8888888888888994E-7</v>
      </c>
      <c r="R113" s="23">
        <v>2.4280279441117741E-2</v>
      </c>
      <c r="S113" s="1">
        <v>0.65074229158736197</v>
      </c>
      <c r="T113" s="11" t="s">
        <v>101</v>
      </c>
      <c r="U113">
        <v>1050</v>
      </c>
      <c r="V113">
        <v>100</v>
      </c>
      <c r="W113">
        <v>0</v>
      </c>
      <c r="X113" s="9">
        <v>0</v>
      </c>
      <c r="Y113">
        <v>0</v>
      </c>
      <c r="Z113">
        <v>0</v>
      </c>
      <c r="AA113">
        <v>0</v>
      </c>
      <c r="AB113" s="8">
        <v>0</v>
      </c>
      <c r="AD113" s="3"/>
    </row>
    <row r="114" spans="1:30">
      <c r="A114" s="20" t="s">
        <v>110</v>
      </c>
      <c r="B114">
        <f>AVERAGE(0,500)</f>
        <v>250</v>
      </c>
      <c r="C114">
        <f>STDEV(0,500)</f>
        <v>353.55339059327378</v>
      </c>
      <c r="D114">
        <v>67.819999999999993</v>
      </c>
      <c r="E114">
        <v>0.66</v>
      </c>
      <c r="F114">
        <v>11.71</v>
      </c>
      <c r="G114">
        <v>0</v>
      </c>
      <c r="H114">
        <v>8.02</v>
      </c>
      <c r="I114">
        <v>0.28000000000000003</v>
      </c>
      <c r="J114">
        <v>0.92</v>
      </c>
      <c r="K114">
        <v>4.47</v>
      </c>
      <c r="L114">
        <v>4.3099999999999996</v>
      </c>
      <c r="M114">
        <v>1.57</v>
      </c>
      <c r="N114">
        <v>0.26</v>
      </c>
      <c r="O114">
        <v>0</v>
      </c>
      <c r="P114" s="3">
        <f t="shared" si="9"/>
        <v>8.68</v>
      </c>
      <c r="Q114">
        <v>2.472222222222222E-5</v>
      </c>
      <c r="R114" s="14">
        <v>6.4287225548902205E-2</v>
      </c>
      <c r="S114">
        <v>0.49921630094043878</v>
      </c>
      <c r="T114" s="11" t="s">
        <v>101</v>
      </c>
      <c r="U114">
        <v>1050</v>
      </c>
      <c r="V114">
        <v>100</v>
      </c>
      <c r="W114">
        <v>0</v>
      </c>
      <c r="X114" s="9">
        <v>0</v>
      </c>
      <c r="Y114">
        <v>0</v>
      </c>
      <c r="Z114">
        <v>0</v>
      </c>
      <c r="AA114">
        <v>0</v>
      </c>
      <c r="AB114" s="8">
        <v>0</v>
      </c>
      <c r="AD114" s="3"/>
    </row>
    <row r="115" spans="1:30">
      <c r="A115" s="20" t="s">
        <v>97</v>
      </c>
      <c r="B115">
        <f>AVERAGE(0,75)</f>
        <v>37.5</v>
      </c>
      <c r="C115">
        <f>STDEV(0,75)</f>
        <v>53.033008588991066</v>
      </c>
      <c r="D115">
        <v>49</v>
      </c>
      <c r="E115">
        <v>1.4</v>
      </c>
      <c r="F115">
        <v>10.199999999999999</v>
      </c>
      <c r="G115">
        <v>0</v>
      </c>
      <c r="H115">
        <v>22.8</v>
      </c>
      <c r="I115">
        <v>0.4</v>
      </c>
      <c r="J115">
        <v>3</v>
      </c>
      <c r="K115">
        <v>9.4</v>
      </c>
      <c r="L115">
        <v>1.8</v>
      </c>
      <c r="M115">
        <v>0.5</v>
      </c>
      <c r="N115">
        <v>0.9</v>
      </c>
      <c r="O115">
        <f t="shared" si="13"/>
        <v>0.59999999999999432</v>
      </c>
      <c r="P115" s="3">
        <f t="shared" si="9"/>
        <v>24.2</v>
      </c>
      <c r="Q115">
        <v>5.7398452787822273E-5</v>
      </c>
      <c r="R115">
        <v>0.12422171261426465</v>
      </c>
      <c r="S115">
        <v>0.54775349038058052</v>
      </c>
      <c r="T115" s="11" t="s">
        <v>101</v>
      </c>
      <c r="U115">
        <v>1065</v>
      </c>
      <c r="V115">
        <v>45.2</v>
      </c>
      <c r="W115">
        <v>29.7</v>
      </c>
      <c r="X115" s="9">
        <v>14.4</v>
      </c>
      <c r="Y115">
        <v>10.7</v>
      </c>
      <c r="Z115">
        <v>0</v>
      </c>
      <c r="AA115">
        <v>0</v>
      </c>
      <c r="AB115" s="8">
        <v>0</v>
      </c>
      <c r="AD115" s="3"/>
    </row>
    <row r="116" spans="1:30">
      <c r="A116" s="20" t="s">
        <v>98</v>
      </c>
      <c r="B116">
        <v>37.5</v>
      </c>
      <c r="C116">
        <f>STDEV(0,75)</f>
        <v>53.033008588991066</v>
      </c>
      <c r="D116">
        <v>50.3</v>
      </c>
      <c r="E116">
        <v>1.7</v>
      </c>
      <c r="F116">
        <v>10.3</v>
      </c>
      <c r="G116">
        <v>0</v>
      </c>
      <c r="H116">
        <v>21.7</v>
      </c>
      <c r="I116">
        <v>0.4</v>
      </c>
      <c r="J116">
        <v>2.4</v>
      </c>
      <c r="K116">
        <v>8.8000000000000007</v>
      </c>
      <c r="L116">
        <v>2.1</v>
      </c>
      <c r="M116">
        <v>0.8</v>
      </c>
      <c r="N116">
        <v>0.8</v>
      </c>
      <c r="O116">
        <f t="shared" si="13"/>
        <v>0.70000000000000284</v>
      </c>
      <c r="P116" s="3">
        <f t="shared" si="9"/>
        <v>23.4</v>
      </c>
      <c r="Q116">
        <v>4.2603184167373726E-5</v>
      </c>
      <c r="R116">
        <v>0.13285382877822746</v>
      </c>
      <c r="S116">
        <v>0.61755793576070384</v>
      </c>
      <c r="T116" s="11" t="s">
        <v>101</v>
      </c>
      <c r="U116">
        <v>1050</v>
      </c>
      <c r="V116">
        <v>34.799999999999997</v>
      </c>
      <c r="W116">
        <v>36.700000000000003</v>
      </c>
      <c r="X116" s="9">
        <v>13.6</v>
      </c>
      <c r="Y116">
        <v>13.8</v>
      </c>
      <c r="Z116">
        <v>1.1000000000000001</v>
      </c>
      <c r="AA116">
        <v>0</v>
      </c>
      <c r="AB116" s="8">
        <v>0</v>
      </c>
      <c r="AD116" s="3"/>
    </row>
    <row r="117" spans="1:30">
      <c r="A117" s="20" t="s">
        <v>115</v>
      </c>
      <c r="B117">
        <f t="shared" ref="B117:B124" si="14">AVERAGE(75,500)</f>
        <v>287.5</v>
      </c>
      <c r="C117">
        <f t="shared" ref="C117:C124" si="15">STDEV(75,500)</f>
        <v>300.52038200428268</v>
      </c>
      <c r="D117">
        <v>50.66</v>
      </c>
      <c r="E117">
        <v>1.5</v>
      </c>
      <c r="F117">
        <v>8.08</v>
      </c>
      <c r="G117">
        <v>0</v>
      </c>
      <c r="H117">
        <v>19.989999999999998</v>
      </c>
      <c r="I117">
        <v>0.64</v>
      </c>
      <c r="J117">
        <v>7.18</v>
      </c>
      <c r="K117">
        <v>8.76</v>
      </c>
      <c r="L117">
        <v>1.6</v>
      </c>
      <c r="M117">
        <v>0.28000000000000003</v>
      </c>
      <c r="N117">
        <v>0.39</v>
      </c>
      <c r="O117">
        <f t="shared" si="13"/>
        <v>0.92000000000001592</v>
      </c>
      <c r="P117" s="3">
        <f t="shared" ref="P117" si="16">H117+E117</f>
        <v>21.49</v>
      </c>
      <c r="Q117">
        <v>-3.6166666666666679E-6</v>
      </c>
      <c r="R117" s="14">
        <v>4.8170059880239494E-2</v>
      </c>
      <c r="S117">
        <v>1.0047599756937391</v>
      </c>
      <c r="T117" s="11" t="s">
        <v>101</v>
      </c>
      <c r="U117">
        <v>1050</v>
      </c>
      <c r="V117">
        <f>100-19</f>
        <v>81</v>
      </c>
      <c r="W117">
        <v>19</v>
      </c>
      <c r="X117" s="9">
        <v>0</v>
      </c>
      <c r="Y117">
        <v>0</v>
      </c>
      <c r="Z117">
        <v>0</v>
      </c>
      <c r="AA117">
        <v>0</v>
      </c>
      <c r="AB117" s="8">
        <v>24</v>
      </c>
      <c r="AD117" s="3"/>
    </row>
    <row r="118" spans="1:30">
      <c r="A118" s="20" t="s">
        <v>117</v>
      </c>
      <c r="B118">
        <f t="shared" si="14"/>
        <v>287.5</v>
      </c>
      <c r="C118">
        <f t="shared" si="15"/>
        <v>300.52038200428268</v>
      </c>
      <c r="D118">
        <v>50.66</v>
      </c>
      <c r="E118">
        <v>1.5</v>
      </c>
      <c r="F118">
        <v>8.08</v>
      </c>
      <c r="G118">
        <v>0</v>
      </c>
      <c r="H118">
        <v>19.989999999999998</v>
      </c>
      <c r="I118">
        <v>0.64</v>
      </c>
      <c r="J118">
        <v>7.18</v>
      </c>
      <c r="K118">
        <v>8.76</v>
      </c>
      <c r="L118">
        <v>1.6</v>
      </c>
      <c r="M118">
        <v>0.28000000000000003</v>
      </c>
      <c r="N118">
        <v>0.39</v>
      </c>
      <c r="O118">
        <f t="shared" si="13"/>
        <v>0.92000000000001592</v>
      </c>
      <c r="P118" s="3">
        <f t="shared" ref="P118" si="17">H118+E118</f>
        <v>21.49</v>
      </c>
      <c r="Q118">
        <v>-7.5944444444444411E-6</v>
      </c>
      <c r="R118" s="14">
        <v>4.8841387225548885E-2</v>
      </c>
      <c r="S118">
        <v>0.97801037065488761</v>
      </c>
      <c r="T118" s="11" t="s">
        <v>101</v>
      </c>
      <c r="U118">
        <v>1050</v>
      </c>
      <c r="V118">
        <f>100-15</f>
        <v>85</v>
      </c>
      <c r="W118">
        <v>15</v>
      </c>
      <c r="X118" s="9">
        <v>0</v>
      </c>
      <c r="Y118">
        <v>0</v>
      </c>
      <c r="Z118">
        <v>0</v>
      </c>
      <c r="AA118">
        <v>0</v>
      </c>
      <c r="AB118" s="8">
        <f>24*3</f>
        <v>72</v>
      </c>
      <c r="AD118" s="3"/>
    </row>
    <row r="119" spans="1:30">
      <c r="A119" s="20" t="s">
        <v>121</v>
      </c>
      <c r="B119">
        <f t="shared" si="14"/>
        <v>287.5</v>
      </c>
      <c r="C119">
        <f t="shared" si="15"/>
        <v>300.52038200428268</v>
      </c>
      <c r="D119">
        <v>50.66</v>
      </c>
      <c r="E119">
        <v>1.5</v>
      </c>
      <c r="F119">
        <v>8.08</v>
      </c>
      <c r="G119">
        <v>0</v>
      </c>
      <c r="H119">
        <v>19.989999999999998</v>
      </c>
      <c r="I119">
        <v>0.64</v>
      </c>
      <c r="J119">
        <v>7.18</v>
      </c>
      <c r="K119">
        <v>8.76</v>
      </c>
      <c r="L119">
        <v>1.6</v>
      </c>
      <c r="M119">
        <v>0.28000000000000003</v>
      </c>
      <c r="N119">
        <v>0.39</v>
      </c>
      <c r="O119">
        <f t="shared" si="13"/>
        <v>0.92000000000001592</v>
      </c>
      <c r="P119" s="3">
        <f t="shared" ref="P119:P120" si="18">H119+E119</f>
        <v>21.49</v>
      </c>
      <c r="Q119">
        <v>-6.9333333333333319E-6</v>
      </c>
      <c r="R119" s="14">
        <v>5.4731257485029952E-2</v>
      </c>
      <c r="S119">
        <v>0.89347716163829427</v>
      </c>
      <c r="T119" s="11" t="s">
        <v>101</v>
      </c>
      <c r="U119">
        <v>1050</v>
      </c>
      <c r="V119">
        <f>100-15</f>
        <v>85</v>
      </c>
      <c r="W119">
        <v>15</v>
      </c>
      <c r="X119" s="9">
        <v>0</v>
      </c>
      <c r="Y119">
        <v>0</v>
      </c>
      <c r="Z119">
        <v>0</v>
      </c>
      <c r="AA119">
        <v>0</v>
      </c>
      <c r="AB119" s="8">
        <f>24*7</f>
        <v>168</v>
      </c>
      <c r="AD119" s="3"/>
    </row>
    <row r="120" spans="1:30">
      <c r="A120" s="20" t="s">
        <v>118</v>
      </c>
      <c r="B120">
        <f t="shared" si="14"/>
        <v>287.5</v>
      </c>
      <c r="C120">
        <f t="shared" si="15"/>
        <v>300.52038200428268</v>
      </c>
      <c r="D120">
        <v>50.66</v>
      </c>
      <c r="E120">
        <v>1.5</v>
      </c>
      <c r="F120">
        <v>8.08</v>
      </c>
      <c r="G120">
        <v>0</v>
      </c>
      <c r="H120">
        <v>19.989999999999998</v>
      </c>
      <c r="I120">
        <v>0.64</v>
      </c>
      <c r="J120">
        <v>7.18</v>
      </c>
      <c r="K120">
        <v>8.76</v>
      </c>
      <c r="L120">
        <v>1.6</v>
      </c>
      <c r="M120">
        <v>0.28000000000000003</v>
      </c>
      <c r="N120">
        <v>0.39</v>
      </c>
      <c r="O120">
        <f t="shared" si="13"/>
        <v>0.92000000000001592</v>
      </c>
      <c r="P120" s="3">
        <f t="shared" si="18"/>
        <v>21.49</v>
      </c>
      <c r="Q120">
        <v>-1.1094444444444446E-5</v>
      </c>
      <c r="R120" s="14">
        <v>4.4796706586826364E-2</v>
      </c>
      <c r="S120">
        <v>1.0564024390243902</v>
      </c>
      <c r="T120" s="11" t="s">
        <v>101</v>
      </c>
      <c r="U120">
        <v>1050</v>
      </c>
      <c r="V120">
        <v>33.700000000000003</v>
      </c>
      <c r="W120">
        <v>34.700000000000003</v>
      </c>
      <c r="X120" s="9">
        <v>15.9</v>
      </c>
      <c r="Y120">
        <v>14.3</v>
      </c>
      <c r="Z120">
        <v>1.4</v>
      </c>
      <c r="AA120">
        <v>0</v>
      </c>
      <c r="AB120" s="8">
        <v>24</v>
      </c>
      <c r="AD120" s="3"/>
    </row>
    <row r="121" spans="1:30">
      <c r="A121" s="20" t="s">
        <v>120</v>
      </c>
      <c r="B121">
        <f t="shared" si="14"/>
        <v>287.5</v>
      </c>
      <c r="C121">
        <f t="shared" si="15"/>
        <v>300.52038200428268</v>
      </c>
      <c r="D121">
        <v>50.66</v>
      </c>
      <c r="E121">
        <v>1.5</v>
      </c>
      <c r="F121">
        <v>8.08</v>
      </c>
      <c r="G121">
        <v>0</v>
      </c>
      <c r="H121">
        <v>19.989999999999998</v>
      </c>
      <c r="I121">
        <v>0.64</v>
      </c>
      <c r="J121">
        <v>7.18</v>
      </c>
      <c r="K121">
        <v>8.76</v>
      </c>
      <c r="L121">
        <v>1.6</v>
      </c>
      <c r="M121">
        <v>0.28000000000000003</v>
      </c>
      <c r="N121">
        <v>0.39</v>
      </c>
      <c r="O121">
        <f t="shared" si="13"/>
        <v>0.92000000000001592</v>
      </c>
      <c r="P121" s="3">
        <f t="shared" ref="P121" si="19">H121+E121</f>
        <v>21.49</v>
      </c>
      <c r="Q121">
        <v>-9.916666666666666E-6</v>
      </c>
      <c r="R121" s="14">
        <v>4.6367175648702512E-2</v>
      </c>
      <c r="S121">
        <v>0.99559748427672956</v>
      </c>
      <c r="T121" s="11" t="s">
        <v>101</v>
      </c>
      <c r="U121">
        <v>1050</v>
      </c>
      <c r="V121">
        <v>33.700000000000003</v>
      </c>
      <c r="W121">
        <v>34.700000000000003</v>
      </c>
      <c r="X121" s="9">
        <v>15.9</v>
      </c>
      <c r="Y121">
        <v>14.3</v>
      </c>
      <c r="Z121">
        <v>1.4</v>
      </c>
      <c r="AA121">
        <v>0</v>
      </c>
      <c r="AB121" s="8">
        <v>72</v>
      </c>
      <c r="AD121" s="3"/>
    </row>
    <row r="122" spans="1:30">
      <c r="A122" s="20" t="s">
        <v>119</v>
      </c>
      <c r="B122">
        <f t="shared" si="14"/>
        <v>287.5</v>
      </c>
      <c r="C122">
        <f t="shared" si="15"/>
        <v>300.52038200428268</v>
      </c>
      <c r="D122">
        <v>50.66</v>
      </c>
      <c r="E122">
        <v>1.5</v>
      </c>
      <c r="F122">
        <v>8.08</v>
      </c>
      <c r="G122">
        <v>0</v>
      </c>
      <c r="H122">
        <v>19.989999999999998</v>
      </c>
      <c r="I122">
        <v>0.64</v>
      </c>
      <c r="J122">
        <v>7.18</v>
      </c>
      <c r="K122">
        <v>8.76</v>
      </c>
      <c r="L122">
        <v>1.6</v>
      </c>
      <c r="M122">
        <v>0.28000000000000003</v>
      </c>
      <c r="N122">
        <v>0.39</v>
      </c>
      <c r="O122">
        <f t="shared" si="13"/>
        <v>0.92000000000001592</v>
      </c>
      <c r="P122" s="3">
        <f t="shared" ref="P122:P123" si="20">H122+E122</f>
        <v>21.49</v>
      </c>
      <c r="Q122">
        <v>-1.1122222222222223E-5</v>
      </c>
      <c r="R122" s="14">
        <v>5.0370548902195597E-2</v>
      </c>
      <c r="S122">
        <v>0.95799432355723746</v>
      </c>
      <c r="T122" s="11" t="s">
        <v>101</v>
      </c>
      <c r="U122">
        <v>1050</v>
      </c>
      <c r="V122">
        <v>33.700000000000003</v>
      </c>
      <c r="W122">
        <v>34.700000000000003</v>
      </c>
      <c r="X122" s="9">
        <v>15.9</v>
      </c>
      <c r="Y122">
        <v>14.3</v>
      </c>
      <c r="Z122">
        <v>1.4</v>
      </c>
      <c r="AA122">
        <v>0</v>
      </c>
      <c r="AB122" s="8">
        <v>168</v>
      </c>
      <c r="AD122" s="3"/>
    </row>
    <row r="123" spans="1:30">
      <c r="A123" s="20" t="s">
        <v>122</v>
      </c>
      <c r="B123">
        <f t="shared" si="14"/>
        <v>287.5</v>
      </c>
      <c r="C123">
        <f t="shared" si="15"/>
        <v>300.52038200428268</v>
      </c>
      <c r="D123">
        <v>50.66</v>
      </c>
      <c r="E123">
        <v>1.5</v>
      </c>
      <c r="F123">
        <v>8.08</v>
      </c>
      <c r="G123">
        <v>0</v>
      </c>
      <c r="H123">
        <v>19.989999999999998</v>
      </c>
      <c r="I123">
        <v>0.64</v>
      </c>
      <c r="J123">
        <v>7.18</v>
      </c>
      <c r="K123">
        <v>8.76</v>
      </c>
      <c r="L123">
        <v>1.6</v>
      </c>
      <c r="M123">
        <v>0.28000000000000003</v>
      </c>
      <c r="N123">
        <v>0.39</v>
      </c>
      <c r="O123">
        <f t="shared" si="13"/>
        <v>0.92000000000001592</v>
      </c>
      <c r="P123" s="3">
        <f t="shared" si="20"/>
        <v>21.49</v>
      </c>
      <c r="Q123">
        <v>-2.1666666666666747E-7</v>
      </c>
      <c r="R123" s="14">
        <v>5.5118582834331312E-2</v>
      </c>
      <c r="S123">
        <v>0.75408469489829943</v>
      </c>
      <c r="T123" s="11" t="s">
        <v>101</v>
      </c>
      <c r="U123">
        <v>1030</v>
      </c>
      <c r="V123">
        <v>19.399999999999999</v>
      </c>
      <c r="W123">
        <v>24.7</v>
      </c>
      <c r="X123" s="9">
        <v>32.700000000000003</v>
      </c>
      <c r="Y123">
        <v>19.100000000000001</v>
      </c>
      <c r="Z123">
        <v>4.0999999999999996</v>
      </c>
      <c r="AA123">
        <v>0</v>
      </c>
      <c r="AB123" s="8">
        <v>24</v>
      </c>
      <c r="AD123" s="3"/>
    </row>
    <row r="124" spans="1:30">
      <c r="A124" s="20" t="s">
        <v>123</v>
      </c>
      <c r="B124">
        <f t="shared" si="14"/>
        <v>287.5</v>
      </c>
      <c r="C124">
        <f t="shared" si="15"/>
        <v>300.52038200428268</v>
      </c>
      <c r="D124">
        <v>50.66</v>
      </c>
      <c r="E124">
        <v>1.5</v>
      </c>
      <c r="F124">
        <v>8.08</v>
      </c>
      <c r="G124">
        <v>0</v>
      </c>
      <c r="H124">
        <v>19.989999999999998</v>
      </c>
      <c r="I124">
        <v>0.64</v>
      </c>
      <c r="J124">
        <v>7.18</v>
      </c>
      <c r="K124">
        <v>8.76</v>
      </c>
      <c r="L124">
        <v>1.6</v>
      </c>
      <c r="M124">
        <v>0.28000000000000003</v>
      </c>
      <c r="N124">
        <v>0.39</v>
      </c>
      <c r="O124">
        <f t="shared" si="13"/>
        <v>0.92000000000001592</v>
      </c>
      <c r="P124" s="3">
        <f t="shared" ref="P124:P159" si="21">H124+E124</f>
        <v>21.49</v>
      </c>
      <c r="Q124">
        <v>7.7888888888888921E-6</v>
      </c>
      <c r="R124" s="14">
        <v>6.6681676646706586E-2</v>
      </c>
      <c r="S124">
        <v>0.67690299532838694</v>
      </c>
      <c r="T124" s="11" t="s">
        <v>101</v>
      </c>
      <c r="U124">
        <v>1030</v>
      </c>
      <c r="V124">
        <v>19.399999999999999</v>
      </c>
      <c r="W124">
        <v>24.7</v>
      </c>
      <c r="X124" s="9">
        <v>32.700000000000003</v>
      </c>
      <c r="Y124">
        <v>19.100000000000001</v>
      </c>
      <c r="Z124">
        <v>4.0999999999999996</v>
      </c>
      <c r="AA124">
        <v>0</v>
      </c>
      <c r="AB124" s="8">
        <v>168</v>
      </c>
      <c r="AD124" s="3"/>
    </row>
    <row r="125" spans="1:30">
      <c r="A125" s="20" t="s">
        <v>140</v>
      </c>
      <c r="B125">
        <f>AVERAGE(0,40)</f>
        <v>20</v>
      </c>
      <c r="C125">
        <f>STDEV(0,40)</f>
        <v>28.284271247461902</v>
      </c>
      <c r="D125">
        <v>34.5</v>
      </c>
      <c r="E125">
        <v>3</v>
      </c>
      <c r="F125">
        <v>18.5</v>
      </c>
      <c r="G125">
        <v>0</v>
      </c>
      <c r="H125">
        <v>11.157647147231771</v>
      </c>
      <c r="I125">
        <v>0.2</v>
      </c>
      <c r="J125">
        <v>2.7</v>
      </c>
      <c r="K125">
        <v>4.9000000000000004</v>
      </c>
      <c r="L125">
        <v>1.9</v>
      </c>
      <c r="M125">
        <v>0.5</v>
      </c>
      <c r="N125">
        <v>0.7</v>
      </c>
      <c r="O125">
        <v>21.8</v>
      </c>
      <c r="P125" s="3">
        <f t="shared" si="21"/>
        <v>14.157647147231771</v>
      </c>
      <c r="Q125">
        <v>1.8794068225645456E-4</v>
      </c>
      <c r="R125" s="14">
        <v>0.30755060591857908</v>
      </c>
      <c r="S125">
        <v>0.14606498111403265</v>
      </c>
      <c r="T125" s="1">
        <v>0.65</v>
      </c>
      <c r="U125" s="16">
        <v>900</v>
      </c>
      <c r="V125">
        <v>70</v>
      </c>
      <c r="W125">
        <v>0</v>
      </c>
      <c r="X125" s="9">
        <v>0</v>
      </c>
      <c r="Y125">
        <f>100-V125-Z125-AA125</f>
        <v>13</v>
      </c>
      <c r="Z125">
        <v>10</v>
      </c>
      <c r="AA125">
        <v>7</v>
      </c>
      <c r="AB125" s="8">
        <v>0</v>
      </c>
      <c r="AD125" s="3"/>
    </row>
    <row r="126" spans="1:30">
      <c r="A126" s="20" t="s">
        <v>124</v>
      </c>
      <c r="B126">
        <f>AVERAGE(40,80)</f>
        <v>60</v>
      </c>
      <c r="C126">
        <f>STDEV(40,80)</f>
        <v>28.284271247461902</v>
      </c>
      <c r="D126">
        <v>34.5</v>
      </c>
      <c r="E126">
        <v>3</v>
      </c>
      <c r="F126">
        <v>18.5</v>
      </c>
      <c r="G126">
        <v>0</v>
      </c>
      <c r="H126">
        <v>11.157647147231771</v>
      </c>
      <c r="I126">
        <v>0.2</v>
      </c>
      <c r="J126">
        <v>2.7</v>
      </c>
      <c r="K126">
        <v>4.9000000000000004</v>
      </c>
      <c r="L126">
        <v>1.9</v>
      </c>
      <c r="M126">
        <v>0.5</v>
      </c>
      <c r="N126">
        <v>0.7</v>
      </c>
      <c r="O126">
        <v>21.8</v>
      </c>
      <c r="P126" s="3">
        <f t="shared" si="21"/>
        <v>14.157647147231771</v>
      </c>
      <c r="Q126">
        <v>1.131937329659284E-4</v>
      </c>
      <c r="R126" s="14">
        <v>0.1878745090428447</v>
      </c>
      <c r="S126">
        <v>0.14725168910588296</v>
      </c>
      <c r="T126" s="1">
        <v>0.65</v>
      </c>
      <c r="U126" s="16">
        <v>900</v>
      </c>
      <c r="V126">
        <v>70</v>
      </c>
      <c r="W126">
        <v>0</v>
      </c>
      <c r="X126" s="9">
        <v>0</v>
      </c>
      <c r="Y126">
        <f>100-V126-Z126-AA126</f>
        <v>13</v>
      </c>
      <c r="Z126">
        <v>10</v>
      </c>
      <c r="AA126">
        <v>7</v>
      </c>
      <c r="AB126" s="8">
        <v>0</v>
      </c>
      <c r="AD126" s="3"/>
    </row>
    <row r="127" spans="1:30">
      <c r="A127" s="20" t="s">
        <v>125</v>
      </c>
      <c r="B127">
        <f>AVERAGE(80,125)</f>
        <v>102.5</v>
      </c>
      <c r="C127">
        <f>STDEV(80,125)</f>
        <v>31.81980515339464</v>
      </c>
      <c r="D127">
        <v>34.5</v>
      </c>
      <c r="E127">
        <v>3</v>
      </c>
      <c r="F127">
        <v>18.5</v>
      </c>
      <c r="G127">
        <v>0</v>
      </c>
      <c r="H127">
        <v>11.157647147231771</v>
      </c>
      <c r="I127">
        <v>0.2</v>
      </c>
      <c r="J127">
        <v>2.7</v>
      </c>
      <c r="K127">
        <v>4.9000000000000004</v>
      </c>
      <c r="L127">
        <v>1.9</v>
      </c>
      <c r="M127">
        <v>0.5</v>
      </c>
      <c r="N127">
        <v>0.7</v>
      </c>
      <c r="O127">
        <v>21.8</v>
      </c>
      <c r="P127" s="3">
        <f t="shared" si="21"/>
        <v>14.157647147231771</v>
      </c>
      <c r="Q127">
        <v>8.9154876112229335E-5</v>
      </c>
      <c r="R127" s="14">
        <v>0.17010372259188156</v>
      </c>
      <c r="S127">
        <v>0.19868063039626246</v>
      </c>
      <c r="T127" s="1">
        <v>0.65</v>
      </c>
      <c r="U127" s="16">
        <v>900</v>
      </c>
      <c r="V127">
        <v>70</v>
      </c>
      <c r="W127">
        <v>0</v>
      </c>
      <c r="X127" s="9">
        <v>0</v>
      </c>
      <c r="Y127">
        <f>100-V127-Z127-AA127</f>
        <v>13</v>
      </c>
      <c r="Z127">
        <v>10</v>
      </c>
      <c r="AA127">
        <v>7</v>
      </c>
      <c r="AB127" s="8">
        <v>0</v>
      </c>
      <c r="AD127" s="3"/>
    </row>
    <row r="128" spans="1:30">
      <c r="A128" s="20" t="s">
        <v>126</v>
      </c>
      <c r="B128">
        <f>AVERAGE(125,200)</f>
        <v>162.5</v>
      </c>
      <c r="C128">
        <f>STDEV(125,200)</f>
        <v>53.033008588991066</v>
      </c>
      <c r="D128">
        <v>34.5</v>
      </c>
      <c r="E128">
        <v>3</v>
      </c>
      <c r="F128">
        <v>18.5</v>
      </c>
      <c r="G128">
        <v>0</v>
      </c>
      <c r="H128">
        <v>11.157647147231771</v>
      </c>
      <c r="I128">
        <v>0.2</v>
      </c>
      <c r="J128">
        <v>2.7</v>
      </c>
      <c r="K128">
        <v>4.9000000000000004</v>
      </c>
      <c r="L128">
        <v>1.9</v>
      </c>
      <c r="M128">
        <v>0.5</v>
      </c>
      <c r="N128">
        <v>0.7</v>
      </c>
      <c r="O128">
        <v>21.8</v>
      </c>
      <c r="P128" s="3">
        <f t="shared" si="21"/>
        <v>14.157647147231771</v>
      </c>
      <c r="Q128">
        <v>7.5093186743043617E-5</v>
      </c>
      <c r="R128" s="14">
        <v>0.16610685839533321</v>
      </c>
      <c r="S128">
        <v>0.20824787309031587</v>
      </c>
      <c r="T128" s="1">
        <v>0.65</v>
      </c>
      <c r="U128" s="16">
        <v>900</v>
      </c>
      <c r="V128">
        <v>70</v>
      </c>
      <c r="W128">
        <v>0</v>
      </c>
      <c r="X128" s="9">
        <v>0</v>
      </c>
      <c r="Y128">
        <f>100-V128-Z128-AA128</f>
        <v>13</v>
      </c>
      <c r="Z128">
        <v>10</v>
      </c>
      <c r="AA128">
        <v>7</v>
      </c>
      <c r="AB128" s="8">
        <v>0</v>
      </c>
      <c r="AD128" s="3"/>
    </row>
    <row r="129" spans="1:30">
      <c r="A129" s="20" t="s">
        <v>127</v>
      </c>
      <c r="B129">
        <v>250</v>
      </c>
      <c r="C129">
        <f>STDEV(200,300)</f>
        <v>70.710678118654755</v>
      </c>
      <c r="D129">
        <v>34.5</v>
      </c>
      <c r="E129">
        <v>3</v>
      </c>
      <c r="F129">
        <v>18.5</v>
      </c>
      <c r="G129">
        <v>0</v>
      </c>
      <c r="H129">
        <v>11.157647147231771</v>
      </c>
      <c r="I129">
        <v>0.2</v>
      </c>
      <c r="J129">
        <v>2.7</v>
      </c>
      <c r="K129">
        <v>4.9000000000000004</v>
      </c>
      <c r="L129">
        <v>1.9</v>
      </c>
      <c r="M129">
        <v>0.5</v>
      </c>
      <c r="N129">
        <v>0.7</v>
      </c>
      <c r="O129">
        <v>21.8</v>
      </c>
      <c r="P129" s="3">
        <f t="shared" si="21"/>
        <v>14.157647147231771</v>
      </c>
      <c r="Q129">
        <v>6.8377787634796888E-5</v>
      </c>
      <c r="R129" s="14">
        <v>0.15050155362379308</v>
      </c>
      <c r="S129">
        <v>0.1874179464513</v>
      </c>
      <c r="T129" s="1">
        <v>0.65</v>
      </c>
      <c r="U129" s="16">
        <v>900</v>
      </c>
      <c r="V129">
        <v>70</v>
      </c>
      <c r="W129">
        <v>0</v>
      </c>
      <c r="X129" s="9">
        <v>0</v>
      </c>
      <c r="Y129">
        <f>100-V129-Z129-AA129</f>
        <v>13</v>
      </c>
      <c r="Z129">
        <v>10</v>
      </c>
      <c r="AA129">
        <v>7</v>
      </c>
      <c r="AB129" s="8">
        <v>0</v>
      </c>
      <c r="AD129" s="3"/>
    </row>
    <row r="130" spans="1:30">
      <c r="A130" s="20" t="s">
        <v>128</v>
      </c>
      <c r="B130">
        <f t="shared" ref="B130:B138" si="22">AVERAGE(0,40)</f>
        <v>20</v>
      </c>
      <c r="C130">
        <f>STDEV(0,40)</f>
        <v>28.284271247461902</v>
      </c>
      <c r="D130">
        <v>44.198103915336198</v>
      </c>
      <c r="E130">
        <v>3.8433133839422799</v>
      </c>
      <c r="F130">
        <v>23.7004325343107</v>
      </c>
      <c r="G130">
        <v>0</v>
      </c>
      <c r="H130">
        <v>14.294111538087099</v>
      </c>
      <c r="I130">
        <v>0.25622089226281902</v>
      </c>
      <c r="J130">
        <v>3.45898204554805</v>
      </c>
      <c r="K130">
        <v>6.2774118604390603</v>
      </c>
      <c r="L130">
        <v>2.4340984764967799</v>
      </c>
      <c r="M130">
        <v>0.64055223065704703</v>
      </c>
      <c r="N130">
        <v>0.89677312291986599</v>
      </c>
      <c r="O130">
        <v>0</v>
      </c>
      <c r="P130" s="3">
        <f t="shared" si="21"/>
        <v>18.137424922029378</v>
      </c>
      <c r="Q130">
        <v>4.6045323915308283E-5</v>
      </c>
      <c r="R130" s="14">
        <v>8.5241360383272291E-2</v>
      </c>
      <c r="S130">
        <v>0.49570459653965671</v>
      </c>
      <c r="T130" s="1">
        <v>0.31</v>
      </c>
      <c r="U130" s="16">
        <v>850</v>
      </c>
      <c r="V130">
        <f>100-Y130-Z130</f>
        <v>66.5</v>
      </c>
      <c r="W130">
        <v>0</v>
      </c>
      <c r="X130" s="9">
        <v>0</v>
      </c>
      <c r="Y130">
        <v>30</v>
      </c>
      <c r="Z130">
        <v>3.5</v>
      </c>
      <c r="AA130">
        <v>0</v>
      </c>
      <c r="AB130" s="8">
        <v>0</v>
      </c>
      <c r="AD130" s="3"/>
    </row>
    <row r="131" spans="1:30">
      <c r="A131" s="20" t="s">
        <v>129</v>
      </c>
      <c r="B131">
        <f>AVERAGE(40,80)</f>
        <v>60</v>
      </c>
      <c r="C131">
        <f>STDEV(40,80)</f>
        <v>28.284271247461902</v>
      </c>
      <c r="D131">
        <v>44.198103915336198</v>
      </c>
      <c r="E131">
        <v>3.8433133839422799</v>
      </c>
      <c r="F131">
        <v>23.7004325343107</v>
      </c>
      <c r="G131">
        <v>0</v>
      </c>
      <c r="H131">
        <v>14.294111538087099</v>
      </c>
      <c r="I131">
        <v>0.25622089226281902</v>
      </c>
      <c r="J131">
        <v>3.45898204554805</v>
      </c>
      <c r="K131">
        <v>6.2774118604390603</v>
      </c>
      <c r="L131">
        <v>2.4340984764967799</v>
      </c>
      <c r="M131">
        <v>0.64055223065704703</v>
      </c>
      <c r="N131">
        <v>0.89677312291986599</v>
      </c>
      <c r="O131">
        <v>0</v>
      </c>
      <c r="P131" s="3">
        <f t="shared" si="21"/>
        <v>18.137424922029378</v>
      </c>
      <c r="Q131">
        <v>1.5973504259684333E-5</v>
      </c>
      <c r="R131" s="14">
        <v>3.3980339748121473E-2</v>
      </c>
      <c r="S131">
        <v>0.6822150260069394</v>
      </c>
      <c r="T131" s="1">
        <v>0.31</v>
      </c>
      <c r="U131" s="16">
        <v>850</v>
      </c>
      <c r="V131">
        <f>100-Y131-Z131</f>
        <v>66.5</v>
      </c>
      <c r="W131">
        <v>0</v>
      </c>
      <c r="X131" s="9">
        <v>0</v>
      </c>
      <c r="Y131">
        <v>30</v>
      </c>
      <c r="Z131">
        <v>3.5</v>
      </c>
      <c r="AA131">
        <v>0</v>
      </c>
      <c r="AB131" s="8">
        <v>0</v>
      </c>
      <c r="AD131" s="3"/>
    </row>
    <row r="132" spans="1:30">
      <c r="A132" s="20" t="s">
        <v>130</v>
      </c>
      <c r="B132">
        <f>AVERAGE(125,200)</f>
        <v>162.5</v>
      </c>
      <c r="C132">
        <f>STDEV(125,200)</f>
        <v>53.033008588991066</v>
      </c>
      <c r="D132">
        <v>44.198103915336198</v>
      </c>
      <c r="E132">
        <v>3.8433133839422799</v>
      </c>
      <c r="F132">
        <v>23.7004325343107</v>
      </c>
      <c r="G132">
        <v>0</v>
      </c>
      <c r="H132">
        <v>14.294111538087099</v>
      </c>
      <c r="I132">
        <v>0.25622089226281902</v>
      </c>
      <c r="J132">
        <v>3.45898204554805</v>
      </c>
      <c r="K132">
        <v>6.2774118604390603</v>
      </c>
      <c r="L132">
        <v>2.4340984764967799</v>
      </c>
      <c r="M132">
        <v>0.64055223065704703</v>
      </c>
      <c r="N132">
        <v>0.89677312291986599</v>
      </c>
      <c r="O132">
        <v>0</v>
      </c>
      <c r="P132" s="3">
        <f t="shared" si="21"/>
        <v>18.137424922029378</v>
      </c>
      <c r="Q132">
        <v>8.3861507145819438E-6</v>
      </c>
      <c r="R132" s="14">
        <v>2.736280988431115E-2</v>
      </c>
      <c r="S132">
        <v>0.79734332625029547</v>
      </c>
      <c r="T132" s="1">
        <v>0.31</v>
      </c>
      <c r="U132" s="16">
        <v>850</v>
      </c>
      <c r="V132">
        <f>100-Y132-Z132</f>
        <v>66.5</v>
      </c>
      <c r="W132">
        <v>0</v>
      </c>
      <c r="X132" s="9">
        <v>0</v>
      </c>
      <c r="Y132">
        <v>30</v>
      </c>
      <c r="Z132">
        <v>3.5</v>
      </c>
      <c r="AA132">
        <v>0</v>
      </c>
      <c r="AB132" s="8">
        <v>0</v>
      </c>
      <c r="AD132" s="3"/>
    </row>
    <row r="133" spans="1:30" ht="14.25" customHeight="1">
      <c r="A133" s="20" t="s">
        <v>131</v>
      </c>
      <c r="B133">
        <v>250</v>
      </c>
      <c r="C133">
        <f>STDEV(200,300)</f>
        <v>70.710678118654755</v>
      </c>
      <c r="D133">
        <v>44.198103915336198</v>
      </c>
      <c r="E133">
        <v>3.8433133839422799</v>
      </c>
      <c r="F133">
        <v>23.7004325343107</v>
      </c>
      <c r="G133">
        <v>0</v>
      </c>
      <c r="H133">
        <v>14.294111538087099</v>
      </c>
      <c r="I133">
        <v>0.25622089226281902</v>
      </c>
      <c r="J133">
        <v>3.45898204554805</v>
      </c>
      <c r="K133">
        <v>6.2774118604390603</v>
      </c>
      <c r="L133">
        <v>2.4340984764967799</v>
      </c>
      <c r="M133">
        <v>0.64055223065704703</v>
      </c>
      <c r="N133">
        <v>0.89677312291986599</v>
      </c>
      <c r="O133">
        <v>0</v>
      </c>
      <c r="P133" s="3">
        <f t="shared" si="21"/>
        <v>18.137424922029378</v>
      </c>
      <c r="Q133">
        <v>5.755570057378277E-6</v>
      </c>
      <c r="R133" s="14">
        <v>2.4491801111472332E-2</v>
      </c>
      <c r="S133">
        <v>0.81446525301275341</v>
      </c>
      <c r="T133" s="1">
        <v>0.31</v>
      </c>
      <c r="U133" s="16">
        <v>850</v>
      </c>
      <c r="V133">
        <f>100-Y133-Z133</f>
        <v>66.5</v>
      </c>
      <c r="W133">
        <v>0</v>
      </c>
      <c r="X133" s="9">
        <v>0</v>
      </c>
      <c r="Y133">
        <v>30</v>
      </c>
      <c r="Z133">
        <v>3.5</v>
      </c>
      <c r="AA133">
        <v>0</v>
      </c>
      <c r="AB133" s="8">
        <v>0</v>
      </c>
      <c r="AD133" s="3"/>
    </row>
    <row r="134" spans="1:30">
      <c r="A134" s="20" t="s">
        <v>132</v>
      </c>
      <c r="B134">
        <f t="shared" si="22"/>
        <v>20</v>
      </c>
      <c r="C134">
        <f>STDEV(0,40)</f>
        <v>28.284271247461902</v>
      </c>
      <c r="D134">
        <v>44.198103915336198</v>
      </c>
      <c r="E134">
        <v>3.8433133839422799</v>
      </c>
      <c r="F134">
        <v>23.7004325343107</v>
      </c>
      <c r="G134">
        <v>0</v>
      </c>
      <c r="H134">
        <v>14.294111538087099</v>
      </c>
      <c r="I134">
        <v>0.25622089226281902</v>
      </c>
      <c r="J134">
        <v>3.45898204554805</v>
      </c>
      <c r="K134">
        <v>6.2774118604390603</v>
      </c>
      <c r="L134">
        <v>2.4340984764967799</v>
      </c>
      <c r="M134">
        <v>0.64055223065704703</v>
      </c>
      <c r="N134">
        <v>0.89677312291986599</v>
      </c>
      <c r="O134">
        <v>0</v>
      </c>
      <c r="P134" s="3">
        <f t="shared" si="21"/>
        <v>18.137424922029378</v>
      </c>
      <c r="Q134">
        <v>1.0041963115775605E-4</v>
      </c>
      <c r="R134" s="14">
        <v>0.16092352300157048</v>
      </c>
      <c r="S134">
        <v>0.44172888953001038</v>
      </c>
      <c r="T134" s="1">
        <v>0.24</v>
      </c>
      <c r="U134" s="16">
        <v>1000</v>
      </c>
      <c r="V134">
        <v>100</v>
      </c>
      <c r="W134">
        <v>0</v>
      </c>
      <c r="X134" s="9">
        <v>0</v>
      </c>
      <c r="Y134">
        <v>0</v>
      </c>
      <c r="Z134">
        <v>0</v>
      </c>
      <c r="AA134">
        <v>0</v>
      </c>
      <c r="AB134" s="8">
        <v>0</v>
      </c>
      <c r="AD134" s="3"/>
    </row>
    <row r="135" spans="1:30">
      <c r="A135" s="20" t="s">
        <v>133</v>
      </c>
      <c r="B135">
        <f>AVERAGE(40,80)</f>
        <v>60</v>
      </c>
      <c r="C135">
        <f>STDEV(40,80)</f>
        <v>28.284271247461902</v>
      </c>
      <c r="D135">
        <v>44.198103915336198</v>
      </c>
      <c r="E135">
        <v>3.8433133839422799</v>
      </c>
      <c r="F135">
        <v>23.7004325343107</v>
      </c>
      <c r="G135">
        <v>0</v>
      </c>
      <c r="H135">
        <v>14.294111538087099</v>
      </c>
      <c r="I135">
        <v>0.25622089226281902</v>
      </c>
      <c r="J135">
        <v>3.45898204554805</v>
      </c>
      <c r="K135">
        <v>6.2774118604390603</v>
      </c>
      <c r="L135">
        <v>2.4340984764967799</v>
      </c>
      <c r="M135">
        <v>0.64055223065704703</v>
      </c>
      <c r="N135">
        <v>0.89677312291986599</v>
      </c>
      <c r="O135">
        <v>0</v>
      </c>
      <c r="P135" s="3">
        <f t="shared" si="21"/>
        <v>18.137424922029378</v>
      </c>
      <c r="Q135">
        <v>5.3591453918873886E-5</v>
      </c>
      <c r="R135" s="14">
        <v>5.277896533117777E-2</v>
      </c>
      <c r="S135">
        <v>0.43515007619553736</v>
      </c>
      <c r="T135" s="1">
        <v>0.24</v>
      </c>
      <c r="U135" s="16">
        <v>1000</v>
      </c>
      <c r="V135">
        <v>100</v>
      </c>
      <c r="W135">
        <v>0</v>
      </c>
      <c r="X135" s="9">
        <v>0</v>
      </c>
      <c r="Y135">
        <v>0</v>
      </c>
      <c r="Z135">
        <v>0</v>
      </c>
      <c r="AA135">
        <v>0</v>
      </c>
      <c r="AB135" s="8">
        <v>0</v>
      </c>
      <c r="AD135" s="3"/>
    </row>
    <row r="136" spans="1:30">
      <c r="A136" s="20" t="s">
        <v>134</v>
      </c>
      <c r="B136">
        <f>AVERAGE(80,125)</f>
        <v>102.5</v>
      </c>
      <c r="C136">
        <f>STDEV(80,125)</f>
        <v>31.81980515339464</v>
      </c>
      <c r="D136">
        <v>44.198103915336198</v>
      </c>
      <c r="E136">
        <v>3.8433133839422799</v>
      </c>
      <c r="F136">
        <v>23.7004325343107</v>
      </c>
      <c r="G136">
        <v>0</v>
      </c>
      <c r="H136">
        <v>14.294111538087099</v>
      </c>
      <c r="I136">
        <v>0.25622089226281902</v>
      </c>
      <c r="J136">
        <v>3.45898204554805</v>
      </c>
      <c r="K136">
        <v>6.2774118604390603</v>
      </c>
      <c r="L136">
        <v>2.4340984764967799</v>
      </c>
      <c r="M136">
        <v>0.64055223065704703</v>
      </c>
      <c r="N136">
        <v>0.89677312291986599</v>
      </c>
      <c r="O136">
        <v>0</v>
      </c>
      <c r="P136" s="3">
        <f t="shared" si="21"/>
        <v>18.137424922029378</v>
      </c>
      <c r="Q136">
        <v>2.9605121330462941E-5</v>
      </c>
      <c r="R136" s="14">
        <v>3.3882194131727765E-2</v>
      </c>
      <c r="S136">
        <v>0.62709246443385946</v>
      </c>
      <c r="T136" s="1">
        <v>0.24</v>
      </c>
      <c r="U136" s="16">
        <v>1000</v>
      </c>
      <c r="V136">
        <v>100</v>
      </c>
      <c r="W136">
        <v>0</v>
      </c>
      <c r="X136" s="9">
        <v>0</v>
      </c>
      <c r="Y136">
        <v>0</v>
      </c>
      <c r="Z136">
        <v>0</v>
      </c>
      <c r="AA136">
        <v>0</v>
      </c>
      <c r="AB136" s="8">
        <v>0</v>
      </c>
      <c r="AD136" s="3"/>
    </row>
    <row r="137" spans="1:30">
      <c r="A137" s="20" t="s">
        <v>135</v>
      </c>
      <c r="B137">
        <v>250</v>
      </c>
      <c r="C137">
        <f>STDEV(200,300)</f>
        <v>70.710678118654755</v>
      </c>
      <c r="D137">
        <v>44.198103915336198</v>
      </c>
      <c r="E137">
        <v>3.8433133839422799</v>
      </c>
      <c r="F137">
        <v>23.7004325343107</v>
      </c>
      <c r="G137">
        <v>0</v>
      </c>
      <c r="H137">
        <v>14.294111538087099</v>
      </c>
      <c r="I137">
        <v>0.25622089226281902</v>
      </c>
      <c r="J137">
        <v>3.45898204554805</v>
      </c>
      <c r="K137">
        <v>6.2774118604390603</v>
      </c>
      <c r="L137">
        <v>2.4340984764967799</v>
      </c>
      <c r="M137">
        <v>0.64055223065704703</v>
      </c>
      <c r="N137">
        <v>0.89677312291986599</v>
      </c>
      <c r="O137">
        <v>0</v>
      </c>
      <c r="P137" s="3">
        <f t="shared" si="21"/>
        <v>18.137424922029378</v>
      </c>
      <c r="Q137">
        <v>9.2031410958142228E-6</v>
      </c>
      <c r="R137" s="14">
        <v>2.6992121741870628E-2</v>
      </c>
      <c r="S137">
        <v>0.87370729093961352</v>
      </c>
      <c r="T137" s="1">
        <v>0.24</v>
      </c>
      <c r="U137" s="16">
        <v>1000</v>
      </c>
      <c r="V137">
        <v>100</v>
      </c>
      <c r="W137">
        <v>0</v>
      </c>
      <c r="X137" s="9">
        <v>0</v>
      </c>
      <c r="Y137">
        <v>0</v>
      </c>
      <c r="Z137">
        <v>0</v>
      </c>
      <c r="AA137">
        <v>0</v>
      </c>
      <c r="AB137" s="8">
        <v>0</v>
      </c>
      <c r="AD137" s="3"/>
    </row>
    <row r="138" spans="1:30">
      <c r="A138" s="20" t="s">
        <v>136</v>
      </c>
      <c r="B138">
        <f t="shared" si="22"/>
        <v>20</v>
      </c>
      <c r="C138">
        <f>STDEV(40,80)</f>
        <v>28.284271247461902</v>
      </c>
      <c r="D138">
        <v>44.198103915336198</v>
      </c>
      <c r="E138">
        <v>3.8433133839422799</v>
      </c>
      <c r="F138">
        <v>23.7004325343107</v>
      </c>
      <c r="G138">
        <v>0</v>
      </c>
      <c r="H138">
        <v>14.294111538087099</v>
      </c>
      <c r="I138">
        <v>0.25622089226281902</v>
      </c>
      <c r="J138">
        <v>3.45898204554805</v>
      </c>
      <c r="K138">
        <v>6.2774118604390603</v>
      </c>
      <c r="L138">
        <v>2.4340984764967799</v>
      </c>
      <c r="M138">
        <v>0.64055223065704703</v>
      </c>
      <c r="N138">
        <v>0.89677312291986599</v>
      </c>
      <c r="O138">
        <v>0</v>
      </c>
      <c r="P138" s="3">
        <f t="shared" si="21"/>
        <v>18.137424922029378</v>
      </c>
      <c r="Q138">
        <v>1.2035495196403674E-4</v>
      </c>
      <c r="R138" s="14">
        <v>0.19261587879509445</v>
      </c>
      <c r="S138">
        <v>0.27063603188027913</v>
      </c>
      <c r="T138" s="1">
        <v>0.04</v>
      </c>
      <c r="U138" s="16">
        <v>1100</v>
      </c>
      <c r="V138">
        <v>100</v>
      </c>
      <c r="W138">
        <v>0</v>
      </c>
      <c r="X138" s="9">
        <v>0</v>
      </c>
      <c r="Y138">
        <v>0</v>
      </c>
      <c r="Z138">
        <v>0</v>
      </c>
      <c r="AA138">
        <v>0</v>
      </c>
      <c r="AB138" s="8">
        <v>0</v>
      </c>
      <c r="AD138" s="3"/>
    </row>
    <row r="139" spans="1:30">
      <c r="A139" s="20" t="s">
        <v>137</v>
      </c>
      <c r="B139">
        <v>60</v>
      </c>
      <c r="C139">
        <f>STDEV(0,40)</f>
        <v>28.284271247461902</v>
      </c>
      <c r="D139">
        <v>44.198103915336198</v>
      </c>
      <c r="E139">
        <v>3.8433133839422799</v>
      </c>
      <c r="F139">
        <v>23.7004325343107</v>
      </c>
      <c r="G139">
        <v>0</v>
      </c>
      <c r="H139">
        <v>14.294111538087099</v>
      </c>
      <c r="I139">
        <v>0.25622089226281902</v>
      </c>
      <c r="J139">
        <v>3.45898204554805</v>
      </c>
      <c r="K139">
        <v>6.2774118604390603</v>
      </c>
      <c r="L139">
        <v>2.4340984764967799</v>
      </c>
      <c r="M139">
        <v>0.64055223065704703</v>
      </c>
      <c r="N139">
        <v>0.89677312291986599</v>
      </c>
      <c r="O139">
        <v>0</v>
      </c>
      <c r="P139" s="3">
        <f t="shared" si="21"/>
        <v>18.137424922029378</v>
      </c>
      <c r="Q139">
        <v>5.3147308929996159E-5</v>
      </c>
      <c r="R139" s="14">
        <v>9.653678534658032E-2</v>
      </c>
      <c r="S139">
        <v>0.39444607352926708</v>
      </c>
      <c r="T139" s="1">
        <v>0.04</v>
      </c>
      <c r="U139" s="16">
        <v>1100</v>
      </c>
      <c r="V139">
        <v>100</v>
      </c>
      <c r="W139">
        <v>0</v>
      </c>
      <c r="X139" s="9">
        <v>0</v>
      </c>
      <c r="Y139">
        <v>0</v>
      </c>
      <c r="Z139">
        <v>0</v>
      </c>
      <c r="AA139">
        <v>0</v>
      </c>
      <c r="AB139" s="8">
        <v>0</v>
      </c>
      <c r="AD139" s="3"/>
    </row>
    <row r="140" spans="1:30">
      <c r="A140" s="20" t="s">
        <v>138</v>
      </c>
      <c r="B140">
        <f>AVERAGE(125,200)</f>
        <v>162.5</v>
      </c>
      <c r="C140">
        <f>STDEV(125,200)</f>
        <v>53.033008588991066</v>
      </c>
      <c r="D140">
        <v>44.198103915336198</v>
      </c>
      <c r="E140">
        <v>3.8433133839422799</v>
      </c>
      <c r="F140">
        <v>23.7004325343107</v>
      </c>
      <c r="G140">
        <v>0</v>
      </c>
      <c r="H140">
        <v>14.294111538087099</v>
      </c>
      <c r="I140">
        <v>0.25622089226281902</v>
      </c>
      <c r="J140">
        <v>3.45898204554805</v>
      </c>
      <c r="K140">
        <v>6.2774118604390603</v>
      </c>
      <c r="L140">
        <v>2.4340984764967799</v>
      </c>
      <c r="M140">
        <v>0.64055223065704703</v>
      </c>
      <c r="N140">
        <v>0.89677312291986599</v>
      </c>
      <c r="O140">
        <v>0</v>
      </c>
      <c r="P140" s="3">
        <f t="shared" si="21"/>
        <v>18.137424922029378</v>
      </c>
      <c r="Q140">
        <v>3.5555121575427887E-5</v>
      </c>
      <c r="R140" s="14">
        <v>8.0898631315260192E-2</v>
      </c>
      <c r="S140">
        <v>0.44664419326310356</v>
      </c>
      <c r="T140" s="1">
        <v>0.04</v>
      </c>
      <c r="U140" s="16">
        <v>1100</v>
      </c>
      <c r="V140">
        <v>100</v>
      </c>
      <c r="W140">
        <v>0</v>
      </c>
      <c r="X140" s="9">
        <v>0</v>
      </c>
      <c r="Y140">
        <v>0</v>
      </c>
      <c r="Z140">
        <v>0</v>
      </c>
      <c r="AA140">
        <v>0</v>
      </c>
      <c r="AB140" s="8">
        <v>0</v>
      </c>
      <c r="AD140" s="3"/>
    </row>
    <row r="141" spans="1:30">
      <c r="A141" s="20" t="s">
        <v>139</v>
      </c>
      <c r="B141">
        <v>250</v>
      </c>
      <c r="C141">
        <f>STDEV(200,300)</f>
        <v>70.710678118654755</v>
      </c>
      <c r="D141">
        <v>44.198103915336198</v>
      </c>
      <c r="E141">
        <v>3.8433133839422799</v>
      </c>
      <c r="F141">
        <v>23.7004325343107</v>
      </c>
      <c r="G141">
        <v>0</v>
      </c>
      <c r="H141">
        <v>14.294111538087099</v>
      </c>
      <c r="I141">
        <v>0.25622089226281902</v>
      </c>
      <c r="J141">
        <v>3.45898204554805</v>
      </c>
      <c r="K141">
        <v>6.2774118604390603</v>
      </c>
      <c r="L141">
        <v>2.4340984764967799</v>
      </c>
      <c r="M141">
        <v>0.64055223065704703</v>
      </c>
      <c r="N141">
        <v>0.89677312291986599</v>
      </c>
      <c r="O141">
        <v>0</v>
      </c>
      <c r="P141" s="3">
        <f t="shared" si="21"/>
        <v>18.137424922029378</v>
      </c>
      <c r="Q141">
        <v>3.1863228480528276E-5</v>
      </c>
      <c r="R141" s="14">
        <v>7.6664155805969705E-2</v>
      </c>
      <c r="S141">
        <v>0.47885484663980893</v>
      </c>
      <c r="T141" s="1">
        <v>0.04</v>
      </c>
      <c r="U141" s="16">
        <v>1100</v>
      </c>
      <c r="V141">
        <v>100</v>
      </c>
      <c r="W141">
        <v>0</v>
      </c>
      <c r="X141" s="9">
        <v>0</v>
      </c>
      <c r="Y141">
        <v>0</v>
      </c>
      <c r="Z141">
        <v>0</v>
      </c>
      <c r="AA141">
        <v>0</v>
      </c>
      <c r="AB141" s="8">
        <v>0</v>
      </c>
      <c r="AD141" s="3"/>
    </row>
    <row r="142" spans="1:30">
      <c r="A142" s="20" t="s">
        <v>141</v>
      </c>
      <c r="B142">
        <v>200</v>
      </c>
      <c r="C142">
        <f>STDEV(0,400)</f>
        <v>282.84271247461902</v>
      </c>
      <c r="D142">
        <v>49.55</v>
      </c>
      <c r="E142">
        <v>1.68</v>
      </c>
      <c r="F142">
        <v>15.4</v>
      </c>
      <c r="G142">
        <v>0</v>
      </c>
      <c r="H142">
        <v>11.81</v>
      </c>
      <c r="I142">
        <v>0.2</v>
      </c>
      <c r="J142">
        <v>6.1</v>
      </c>
      <c r="K142">
        <v>9.18</v>
      </c>
      <c r="L142">
        <v>3.28</v>
      </c>
      <c r="M142">
        <v>1.07</v>
      </c>
      <c r="N142">
        <v>0.39</v>
      </c>
      <c r="O142">
        <f>100-SUM(D142:N142)</f>
        <v>1.3400000000000176</v>
      </c>
      <c r="P142" s="3">
        <f t="shared" si="21"/>
        <v>13.49</v>
      </c>
      <c r="Q142">
        <v>7.7685731477915673E-5</v>
      </c>
      <c r="R142" s="14">
        <v>0.14948571256311372</v>
      </c>
      <c r="S142">
        <v>0.5233158343618376</v>
      </c>
      <c r="T142">
        <v>0.26869453777441882</v>
      </c>
      <c r="U142" s="11" t="s">
        <v>101</v>
      </c>
      <c r="V142">
        <v>60</v>
      </c>
      <c r="W142">
        <v>2</v>
      </c>
      <c r="X142" s="9">
        <v>2</v>
      </c>
      <c r="Y142">
        <v>4</v>
      </c>
      <c r="Z142">
        <v>6</v>
      </c>
      <c r="AA142">
        <v>26</v>
      </c>
      <c r="AB142" s="8">
        <v>0</v>
      </c>
      <c r="AD142" s="3"/>
    </row>
    <row r="143" spans="1:30">
      <c r="A143" s="20" t="s">
        <v>142</v>
      </c>
      <c r="B143">
        <v>200</v>
      </c>
      <c r="C143">
        <f t="shared" ref="C143:C150" si="23">400-200</f>
        <v>200</v>
      </c>
      <c r="D143">
        <v>47.53</v>
      </c>
      <c r="E143">
        <v>2.88</v>
      </c>
      <c r="F143">
        <v>14.59</v>
      </c>
      <c r="G143">
        <v>0</v>
      </c>
      <c r="H143">
        <v>13.7</v>
      </c>
      <c r="I143">
        <v>0.21</v>
      </c>
      <c r="J143">
        <v>6.55</v>
      </c>
      <c r="K143">
        <v>9.0500000000000007</v>
      </c>
      <c r="L143">
        <v>2.42</v>
      </c>
      <c r="M143">
        <v>0.69</v>
      </c>
      <c r="N143">
        <v>0.53</v>
      </c>
      <c r="O143">
        <f t="shared" ref="O143:O206" si="24">100-SUM(D143:N143)</f>
        <v>1.8500000000000085</v>
      </c>
      <c r="P143" s="3">
        <f t="shared" si="21"/>
        <v>16.579999999999998</v>
      </c>
      <c r="Q143">
        <v>4.1103797689055336E-5</v>
      </c>
      <c r="R143" s="14">
        <v>7.0246510810454993E-2</v>
      </c>
      <c r="S143">
        <v>0.53295711706750404</v>
      </c>
      <c r="T143">
        <v>0.20701488379771407</v>
      </c>
      <c r="U143" s="11" t="s">
        <v>101</v>
      </c>
      <c r="V143">
        <f>81+2</f>
        <v>83</v>
      </c>
      <c r="W143">
        <v>2</v>
      </c>
      <c r="X143" s="9">
        <v>2</v>
      </c>
      <c r="Y143">
        <v>0.05</v>
      </c>
      <c r="Z143">
        <v>4</v>
      </c>
      <c r="AA143">
        <v>9</v>
      </c>
      <c r="AB143" s="8">
        <v>0</v>
      </c>
      <c r="AD143" s="3"/>
    </row>
    <row r="144" spans="1:30">
      <c r="A144" s="20" t="s">
        <v>143</v>
      </c>
      <c r="B144">
        <v>200</v>
      </c>
      <c r="C144">
        <f t="shared" si="23"/>
        <v>200</v>
      </c>
      <c r="D144">
        <v>47.14</v>
      </c>
      <c r="E144">
        <v>2.89</v>
      </c>
      <c r="F144">
        <v>14.42</v>
      </c>
      <c r="G144">
        <v>0</v>
      </c>
      <c r="H144">
        <v>13.9</v>
      </c>
      <c r="I144">
        <v>0.21</v>
      </c>
      <c r="J144">
        <v>6.75</v>
      </c>
      <c r="K144">
        <v>9.1</v>
      </c>
      <c r="L144">
        <v>2.44</v>
      </c>
      <c r="M144">
        <v>0.61</v>
      </c>
      <c r="N144">
        <v>0.52</v>
      </c>
      <c r="O144">
        <f t="shared" si="24"/>
        <v>2.0200000000000102</v>
      </c>
      <c r="P144" s="3">
        <f t="shared" si="21"/>
        <v>16.79</v>
      </c>
      <c r="Q144">
        <v>2.9928423336690222E-5</v>
      </c>
      <c r="R144" s="14">
        <v>5.7996803256653025E-2</v>
      </c>
      <c r="S144">
        <v>0.64317999435844664</v>
      </c>
      <c r="T144">
        <v>0.21201880665292586</v>
      </c>
      <c r="U144" s="11" t="s">
        <v>101</v>
      </c>
      <c r="V144">
        <v>54</v>
      </c>
      <c r="W144">
        <v>0.5</v>
      </c>
      <c r="X144" s="9">
        <v>0.5</v>
      </c>
      <c r="Y144">
        <v>0.05</v>
      </c>
      <c r="Z144">
        <v>9</v>
      </c>
      <c r="AA144">
        <v>35</v>
      </c>
      <c r="AB144" s="8">
        <v>0</v>
      </c>
      <c r="AD144" s="3"/>
    </row>
    <row r="145" spans="1:30">
      <c r="A145" s="20" t="s">
        <v>144</v>
      </c>
      <c r="B145">
        <v>200</v>
      </c>
      <c r="C145">
        <f t="shared" si="23"/>
        <v>200</v>
      </c>
      <c r="D145">
        <v>46.85</v>
      </c>
      <c r="E145">
        <v>2.93</v>
      </c>
      <c r="F145">
        <v>14.61</v>
      </c>
      <c r="G145">
        <v>0</v>
      </c>
      <c r="H145">
        <v>13.9</v>
      </c>
      <c r="I145">
        <v>0.21</v>
      </c>
      <c r="J145">
        <v>6.88</v>
      </c>
      <c r="K145">
        <v>9.32</v>
      </c>
      <c r="L145">
        <v>2.4900000000000002</v>
      </c>
      <c r="M145">
        <v>0.66</v>
      </c>
      <c r="N145">
        <v>0.54</v>
      </c>
      <c r="O145">
        <f t="shared" si="24"/>
        <v>1.6100000000000136</v>
      </c>
      <c r="P145" s="3">
        <f t="shared" si="21"/>
        <v>16.830000000000002</v>
      </c>
      <c r="Q145">
        <v>2.2175847685579886E-5</v>
      </c>
      <c r="R145" s="14">
        <v>5.2538716069388272E-2</v>
      </c>
      <c r="S145">
        <v>0.67820279657102223</v>
      </c>
      <c r="T145">
        <v>0.23204242353041124</v>
      </c>
      <c r="U145" s="11" t="s">
        <v>101</v>
      </c>
      <c r="V145">
        <f>77+1</f>
        <v>78</v>
      </c>
      <c r="W145">
        <v>0.5</v>
      </c>
      <c r="X145" s="9">
        <v>0.5</v>
      </c>
      <c r="Y145">
        <v>1</v>
      </c>
      <c r="Z145">
        <v>8</v>
      </c>
      <c r="AA145">
        <v>12</v>
      </c>
      <c r="AB145" s="8">
        <v>0</v>
      </c>
      <c r="AD145" s="3"/>
    </row>
    <row r="146" spans="1:30">
      <c r="A146" s="20" t="s">
        <v>145</v>
      </c>
      <c r="B146">
        <v>200</v>
      </c>
      <c r="C146">
        <f t="shared" si="23"/>
        <v>200</v>
      </c>
      <c r="D146">
        <v>47.905000000000001</v>
      </c>
      <c r="E146">
        <v>1.72</v>
      </c>
      <c r="F146">
        <v>14.79</v>
      </c>
      <c r="G146">
        <v>0</v>
      </c>
      <c r="H146">
        <v>12.48</v>
      </c>
      <c r="I146">
        <v>0.215</v>
      </c>
      <c r="J146">
        <v>8.3850000000000016</v>
      </c>
      <c r="K146">
        <v>10.515000000000001</v>
      </c>
      <c r="L146">
        <v>1.875</v>
      </c>
      <c r="M146">
        <v>0.2</v>
      </c>
      <c r="N146">
        <v>0.185</v>
      </c>
      <c r="O146">
        <f t="shared" si="24"/>
        <v>1.7299999999999898</v>
      </c>
      <c r="P146" s="3">
        <f t="shared" si="21"/>
        <v>14.200000000000001</v>
      </c>
      <c r="Q146">
        <v>4.7975995782294005E-5</v>
      </c>
      <c r="R146" s="14">
        <v>0.11118145577439842</v>
      </c>
      <c r="S146">
        <v>0.45042580687841349</v>
      </c>
      <c r="T146">
        <v>0.28000000000000003</v>
      </c>
      <c r="U146" s="11" t="s">
        <v>101</v>
      </c>
      <c r="V146">
        <f>75+7</f>
        <v>82</v>
      </c>
      <c r="W146">
        <v>0.5</v>
      </c>
      <c r="X146" s="9">
        <v>0.5</v>
      </c>
      <c r="Y146">
        <v>1</v>
      </c>
      <c r="Z146">
        <v>6</v>
      </c>
      <c r="AA146">
        <v>11</v>
      </c>
      <c r="AB146" s="8">
        <v>0</v>
      </c>
      <c r="AD146" s="3"/>
    </row>
    <row r="147" spans="1:30">
      <c r="A147" s="20" t="s">
        <v>146</v>
      </c>
      <c r="B147">
        <v>200</v>
      </c>
      <c r="C147">
        <f t="shared" si="23"/>
        <v>200</v>
      </c>
      <c r="D147">
        <v>47.62</v>
      </c>
      <c r="E147">
        <v>1.68</v>
      </c>
      <c r="F147">
        <v>14.62</v>
      </c>
      <c r="G147">
        <v>0</v>
      </c>
      <c r="H147">
        <v>12.39</v>
      </c>
      <c r="I147">
        <v>0.21</v>
      </c>
      <c r="J147">
        <v>8.4700000000000006</v>
      </c>
      <c r="K147">
        <v>10.96</v>
      </c>
      <c r="L147">
        <v>1.96</v>
      </c>
      <c r="M147">
        <v>0.18</v>
      </c>
      <c r="N147">
        <v>0.19</v>
      </c>
      <c r="O147">
        <f t="shared" si="24"/>
        <v>1.7200000000000131</v>
      </c>
      <c r="P147" s="3">
        <f t="shared" si="21"/>
        <v>14.07</v>
      </c>
      <c r="Q147">
        <v>3.3250657803037445E-5</v>
      </c>
      <c r="R147" s="14">
        <v>8.1941333517378839E-2</v>
      </c>
      <c r="S147">
        <v>0.42372347083873696</v>
      </c>
      <c r="T147">
        <v>0.21309821138249571</v>
      </c>
      <c r="U147" s="11" t="s">
        <v>101</v>
      </c>
      <c r="V147">
        <v>82</v>
      </c>
      <c r="W147">
        <v>0.5</v>
      </c>
      <c r="X147" s="9">
        <v>0.5</v>
      </c>
      <c r="Y147">
        <v>1</v>
      </c>
      <c r="Z147">
        <v>6</v>
      </c>
      <c r="AA147">
        <v>11</v>
      </c>
      <c r="AB147" s="8">
        <v>0</v>
      </c>
      <c r="AD147" s="3"/>
    </row>
    <row r="148" spans="1:30">
      <c r="A148" s="20" t="s">
        <v>147</v>
      </c>
      <c r="B148">
        <v>200</v>
      </c>
      <c r="C148">
        <f t="shared" si="23"/>
        <v>200</v>
      </c>
      <c r="D148" s="3">
        <v>46.886666666666663</v>
      </c>
      <c r="E148">
        <v>1.47</v>
      </c>
      <c r="F148" s="17">
        <v>20.636666666666667</v>
      </c>
      <c r="G148">
        <v>0</v>
      </c>
      <c r="H148">
        <v>12.69</v>
      </c>
      <c r="I148" s="17">
        <v>0.22333333333333336</v>
      </c>
      <c r="J148" s="17">
        <v>5.9200000000000008</v>
      </c>
      <c r="K148" s="17">
        <v>7.8933333333333335</v>
      </c>
      <c r="L148" s="17">
        <v>2.3033333333333332</v>
      </c>
      <c r="M148" s="17">
        <v>0.17333333333333334</v>
      </c>
      <c r="N148" s="17">
        <v>0.15333333333333335</v>
      </c>
      <c r="O148">
        <f t="shared" si="24"/>
        <v>1.6500000000000199</v>
      </c>
      <c r="P148" s="3">
        <f t="shared" si="21"/>
        <v>14.16</v>
      </c>
      <c r="Q148">
        <v>1.6117204722621551E-4</v>
      </c>
      <c r="R148">
        <v>0.69656039190871433</v>
      </c>
      <c r="S148">
        <v>0.71542390874360196</v>
      </c>
      <c r="T148">
        <v>0.52419650731187784</v>
      </c>
      <c r="U148" s="11" t="s">
        <v>101</v>
      </c>
      <c r="V148">
        <f>82</f>
        <v>82</v>
      </c>
      <c r="W148">
        <v>0.5</v>
      </c>
      <c r="X148" s="9">
        <v>0.5</v>
      </c>
      <c r="Y148">
        <v>2</v>
      </c>
      <c r="Z148">
        <v>2</v>
      </c>
      <c r="AA148">
        <v>14</v>
      </c>
      <c r="AB148" s="8">
        <v>0</v>
      </c>
      <c r="AD148" s="3"/>
    </row>
    <row r="149" spans="1:30">
      <c r="A149" s="20" t="s">
        <v>148</v>
      </c>
      <c r="B149">
        <v>200</v>
      </c>
      <c r="C149">
        <f t="shared" si="23"/>
        <v>200</v>
      </c>
      <c r="D149">
        <v>50.14</v>
      </c>
      <c r="E149">
        <v>1.46</v>
      </c>
      <c r="F149">
        <v>15.5</v>
      </c>
      <c r="G149">
        <v>0</v>
      </c>
      <c r="H149">
        <v>12.67</v>
      </c>
      <c r="I149">
        <v>0.22</v>
      </c>
      <c r="J149">
        <v>6.02</v>
      </c>
      <c r="K149">
        <v>7.98</v>
      </c>
      <c r="L149">
        <v>3.26</v>
      </c>
      <c r="M149">
        <v>1.1499999999999999</v>
      </c>
      <c r="N149">
        <v>0.33</v>
      </c>
      <c r="O149">
        <f t="shared" si="24"/>
        <v>1.269999999999996</v>
      </c>
      <c r="P149" s="3">
        <f t="shared" si="21"/>
        <v>14.129999999999999</v>
      </c>
      <c r="Q149">
        <v>1.7351925104402792E-5</v>
      </c>
      <c r="R149">
        <v>0.50365889538335917</v>
      </c>
      <c r="S149">
        <v>1.0316599042118608</v>
      </c>
      <c r="T149">
        <v>0.22568763089720925</v>
      </c>
      <c r="U149" s="11" t="s">
        <v>101</v>
      </c>
      <c r="V149">
        <v>60</v>
      </c>
      <c r="W149">
        <v>2</v>
      </c>
      <c r="X149" s="9">
        <v>2</v>
      </c>
      <c r="Y149">
        <v>4</v>
      </c>
      <c r="Z149">
        <v>6</v>
      </c>
      <c r="AA149">
        <v>26</v>
      </c>
      <c r="AB149" s="8">
        <v>0</v>
      </c>
      <c r="AD149" s="3"/>
    </row>
    <row r="150" spans="1:30">
      <c r="A150" s="20" t="s">
        <v>149</v>
      </c>
      <c r="B150">
        <v>200</v>
      </c>
      <c r="C150">
        <f t="shared" si="23"/>
        <v>200</v>
      </c>
      <c r="D150">
        <v>48.91</v>
      </c>
      <c r="E150">
        <v>1.2</v>
      </c>
      <c r="F150">
        <v>17.190000000000001</v>
      </c>
      <c r="G150">
        <v>0</v>
      </c>
      <c r="H150">
        <v>10.63</v>
      </c>
      <c r="I150">
        <v>0.19</v>
      </c>
      <c r="J150">
        <v>6.98</v>
      </c>
      <c r="K150">
        <v>9.99</v>
      </c>
      <c r="L150">
        <v>3.03</v>
      </c>
      <c r="M150">
        <v>0.22</v>
      </c>
      <c r="N150">
        <v>0.12</v>
      </c>
      <c r="O150">
        <f t="shared" si="24"/>
        <v>1.5400000000000063</v>
      </c>
      <c r="P150" s="3">
        <f t="shared" si="21"/>
        <v>11.83</v>
      </c>
      <c r="Q150">
        <v>9.9857777093183113E-6</v>
      </c>
      <c r="R150">
        <v>0.29252102298557348</v>
      </c>
      <c r="S150">
        <v>0.88690661748154187</v>
      </c>
      <c r="T150">
        <v>0.12767206598825154</v>
      </c>
      <c r="U150" s="11" t="s">
        <v>101</v>
      </c>
      <c r="V150">
        <f>82</f>
        <v>82</v>
      </c>
      <c r="W150">
        <v>0.5</v>
      </c>
      <c r="X150" s="9">
        <v>0.5</v>
      </c>
      <c r="Y150">
        <v>2</v>
      </c>
      <c r="Z150">
        <v>2</v>
      </c>
      <c r="AA150">
        <v>14</v>
      </c>
      <c r="AB150" s="8">
        <v>0</v>
      </c>
      <c r="AD150" s="3"/>
    </row>
    <row r="151" spans="1:30" s="30" customFormat="1">
      <c r="A151" s="25" t="s">
        <v>175</v>
      </c>
      <c r="B151" s="30">
        <f>AVERAGE(0,25)</f>
        <v>12.5</v>
      </c>
      <c r="C151" s="30">
        <f>AVERAGE(0,25)</f>
        <v>12.5</v>
      </c>
      <c r="D151" s="30">
        <v>74.56</v>
      </c>
      <c r="E151" s="30">
        <v>0.49</v>
      </c>
      <c r="F151" s="30">
        <v>12.09</v>
      </c>
      <c r="G151" s="30">
        <v>0</v>
      </c>
      <c r="H151" s="30">
        <v>2.5499999999999998</v>
      </c>
      <c r="I151" s="30">
        <v>0.04</v>
      </c>
      <c r="J151" s="30">
        <v>0.2</v>
      </c>
      <c r="K151" s="30">
        <v>0.94</v>
      </c>
      <c r="L151" s="30">
        <v>2.83</v>
      </c>
      <c r="M151" s="30">
        <v>4.8499999999999996</v>
      </c>
      <c r="N151" s="30">
        <v>0.24</v>
      </c>
      <c r="O151" s="30">
        <f t="shared" si="24"/>
        <v>1.210000000000008</v>
      </c>
      <c r="P151" s="28">
        <f t="shared" si="21"/>
        <v>3.04</v>
      </c>
      <c r="Q151" s="30">
        <v>1.8871430555555556E-4</v>
      </c>
      <c r="R151" s="30">
        <v>0.29000503692614776</v>
      </c>
      <c r="S151" s="30">
        <v>0.6255843307870359</v>
      </c>
      <c r="T151">
        <v>0.19700000000000001</v>
      </c>
      <c r="U151" s="34" t="s">
        <v>101</v>
      </c>
      <c r="V151" s="34" t="s">
        <v>101</v>
      </c>
      <c r="W151" s="34" t="s">
        <v>101</v>
      </c>
      <c r="X151" s="34" t="s">
        <v>101</v>
      </c>
      <c r="Y151" s="34" t="s">
        <v>101</v>
      </c>
      <c r="Z151" s="34" t="s">
        <v>101</v>
      </c>
      <c r="AA151" s="34" t="s">
        <v>101</v>
      </c>
      <c r="AB151" s="34" t="s">
        <v>101</v>
      </c>
      <c r="AD151" s="28"/>
    </row>
    <row r="152" spans="1:30">
      <c r="A152" s="20" t="s">
        <v>176</v>
      </c>
      <c r="B152">
        <f>AVERAGE(25,63)</f>
        <v>44</v>
      </c>
      <c r="C152">
        <f>STDEV(25,63)</f>
        <v>26.870057685088806</v>
      </c>
      <c r="D152">
        <v>74.56</v>
      </c>
      <c r="E152">
        <v>0.49</v>
      </c>
      <c r="F152">
        <v>12.09</v>
      </c>
      <c r="G152">
        <v>0</v>
      </c>
      <c r="H152">
        <v>2.5499999999999998</v>
      </c>
      <c r="I152">
        <v>0.04</v>
      </c>
      <c r="J152">
        <v>0.2</v>
      </c>
      <c r="K152">
        <v>0.94</v>
      </c>
      <c r="L152">
        <v>2.83</v>
      </c>
      <c r="M152">
        <v>4.8499999999999996</v>
      </c>
      <c r="N152">
        <v>0.24</v>
      </c>
      <c r="O152">
        <f t="shared" si="24"/>
        <v>1.210000000000008</v>
      </c>
      <c r="P152" s="3">
        <f t="shared" si="21"/>
        <v>3.04</v>
      </c>
      <c r="Q152">
        <v>1.6263250000000002E-4</v>
      </c>
      <c r="R152">
        <v>0.16695473852295389</v>
      </c>
      <c r="S152">
        <v>0.69496259308157193</v>
      </c>
      <c r="T152">
        <v>0.19700000000000001</v>
      </c>
      <c r="U152" s="11" t="s">
        <v>101</v>
      </c>
      <c r="V152" s="11" t="s">
        <v>101</v>
      </c>
      <c r="W152" s="11" t="s">
        <v>101</v>
      </c>
      <c r="X152" s="11" t="s">
        <v>101</v>
      </c>
      <c r="Y152" s="11" t="s">
        <v>101</v>
      </c>
      <c r="Z152" s="11" t="s">
        <v>101</v>
      </c>
      <c r="AA152" s="11" t="s">
        <v>101</v>
      </c>
      <c r="AB152" s="11" t="s">
        <v>101</v>
      </c>
      <c r="AD152" s="3"/>
    </row>
    <row r="153" spans="1:30">
      <c r="A153" s="20" t="s">
        <v>177</v>
      </c>
      <c r="B153">
        <f>AVERAGE(63,100)</f>
        <v>81.5</v>
      </c>
      <c r="C153">
        <f>STDEV(63,100)</f>
        <v>26.16295090390226</v>
      </c>
      <c r="D153">
        <v>74.56</v>
      </c>
      <c r="E153">
        <v>0.49</v>
      </c>
      <c r="F153">
        <v>12.09</v>
      </c>
      <c r="G153">
        <v>0</v>
      </c>
      <c r="H153">
        <v>2.5499999999999998</v>
      </c>
      <c r="I153">
        <v>0.04</v>
      </c>
      <c r="J153">
        <v>0.2</v>
      </c>
      <c r="K153">
        <v>0.94</v>
      </c>
      <c r="L153">
        <v>2.83</v>
      </c>
      <c r="M153">
        <v>4.8499999999999996</v>
      </c>
      <c r="N153">
        <v>0.24</v>
      </c>
      <c r="O153">
        <f t="shared" si="24"/>
        <v>1.210000000000008</v>
      </c>
      <c r="P153" s="3">
        <f t="shared" si="21"/>
        <v>3.04</v>
      </c>
      <c r="Q153">
        <v>1.2409805555555555E-4</v>
      </c>
      <c r="R153">
        <v>0.13511865069860282</v>
      </c>
      <c r="S153">
        <v>0.72152801284867507</v>
      </c>
      <c r="T153">
        <v>0.19700000000000001</v>
      </c>
      <c r="U153" s="11" t="s">
        <v>101</v>
      </c>
      <c r="V153" s="11" t="s">
        <v>101</v>
      </c>
      <c r="W153" s="11" t="s">
        <v>101</v>
      </c>
      <c r="X153" s="11" t="s">
        <v>101</v>
      </c>
      <c r="Y153" s="11" t="s">
        <v>101</v>
      </c>
      <c r="Z153" s="11" t="s">
        <v>101</v>
      </c>
      <c r="AA153" s="11" t="s">
        <v>101</v>
      </c>
      <c r="AB153" s="11" t="s">
        <v>101</v>
      </c>
      <c r="AD153" s="3"/>
    </row>
    <row r="154" spans="1:30">
      <c r="A154" s="20" t="s">
        <v>178</v>
      </c>
      <c r="B154">
        <f>AVERAGE(100,125)</f>
        <v>112.5</v>
      </c>
      <c r="C154">
        <f>STDEV(100,125)</f>
        <v>17.677669529663689</v>
      </c>
      <c r="D154">
        <v>74.56</v>
      </c>
      <c r="E154">
        <v>0.49</v>
      </c>
      <c r="F154">
        <v>12.09</v>
      </c>
      <c r="G154">
        <v>0</v>
      </c>
      <c r="H154">
        <v>2.5499999999999998</v>
      </c>
      <c r="I154">
        <v>0.04</v>
      </c>
      <c r="J154">
        <v>0.2</v>
      </c>
      <c r="K154">
        <v>0.94</v>
      </c>
      <c r="L154">
        <v>2.83</v>
      </c>
      <c r="M154">
        <v>4.8499999999999996</v>
      </c>
      <c r="N154">
        <v>0.24</v>
      </c>
      <c r="O154">
        <f t="shared" si="24"/>
        <v>1.210000000000008</v>
      </c>
      <c r="P154" s="3">
        <f t="shared" si="21"/>
        <v>3.04</v>
      </c>
      <c r="Q154">
        <v>1.1360611111111113E-4</v>
      </c>
      <c r="R154">
        <v>0.1290486986027945</v>
      </c>
      <c r="S154">
        <v>0.70963003405870573</v>
      </c>
      <c r="T154">
        <v>0.19700000000000001</v>
      </c>
      <c r="U154" s="11" t="s">
        <v>101</v>
      </c>
      <c r="V154" s="11" t="s">
        <v>101</v>
      </c>
      <c r="W154" s="11" t="s">
        <v>101</v>
      </c>
      <c r="X154" s="11" t="s">
        <v>101</v>
      </c>
      <c r="Y154" s="11" t="s">
        <v>101</v>
      </c>
      <c r="Z154" s="11" t="s">
        <v>101</v>
      </c>
      <c r="AA154" s="11" t="s">
        <v>101</v>
      </c>
      <c r="AB154" s="11" t="s">
        <v>101</v>
      </c>
      <c r="AD154" s="3"/>
    </row>
    <row r="155" spans="1:30">
      <c r="A155" s="20" t="s">
        <v>179</v>
      </c>
      <c r="B155">
        <f>AVERAGE(125,150)</f>
        <v>137.5</v>
      </c>
      <c r="C155">
        <f>STDEV(125,150)</f>
        <v>17.677669529663689</v>
      </c>
      <c r="D155">
        <v>74.56</v>
      </c>
      <c r="E155">
        <v>0.49</v>
      </c>
      <c r="F155">
        <v>12.09</v>
      </c>
      <c r="G155">
        <v>0</v>
      </c>
      <c r="H155">
        <v>2.5499999999999998</v>
      </c>
      <c r="I155">
        <v>0.04</v>
      </c>
      <c r="J155">
        <v>0.2</v>
      </c>
      <c r="K155">
        <v>0.94</v>
      </c>
      <c r="L155">
        <v>2.83</v>
      </c>
      <c r="M155">
        <v>4.8499999999999996</v>
      </c>
      <c r="N155">
        <v>0.24</v>
      </c>
      <c r="O155">
        <f t="shared" si="24"/>
        <v>1.210000000000008</v>
      </c>
      <c r="P155" s="3">
        <f t="shared" si="21"/>
        <v>3.04</v>
      </c>
      <c r="Q155">
        <v>8.9946388888888888E-5</v>
      </c>
      <c r="R155">
        <v>0.11227444211576849</v>
      </c>
      <c r="S155">
        <v>0.80415362891105635</v>
      </c>
      <c r="T155">
        <v>0.19700000000000001</v>
      </c>
      <c r="U155" s="11" t="s">
        <v>101</v>
      </c>
      <c r="V155" s="11" t="s">
        <v>101</v>
      </c>
      <c r="W155" s="11" t="s">
        <v>101</v>
      </c>
      <c r="X155" s="11" t="s">
        <v>101</v>
      </c>
      <c r="Y155" s="11" t="s">
        <v>101</v>
      </c>
      <c r="Z155" s="11" t="s">
        <v>101</v>
      </c>
      <c r="AA155" s="11" t="s">
        <v>101</v>
      </c>
      <c r="AB155" s="11" t="s">
        <v>101</v>
      </c>
      <c r="AD155" s="3"/>
    </row>
    <row r="156" spans="1:30">
      <c r="A156" s="20" t="s">
        <v>180</v>
      </c>
      <c r="B156">
        <f>AVERAGE(150,180)</f>
        <v>165</v>
      </c>
      <c r="C156">
        <f>STDEV(150,180)</f>
        <v>21.213203435596427</v>
      </c>
      <c r="D156">
        <v>74.56</v>
      </c>
      <c r="E156">
        <v>0.49</v>
      </c>
      <c r="F156">
        <v>12.09</v>
      </c>
      <c r="G156">
        <v>0</v>
      </c>
      <c r="H156">
        <v>2.5499999999999998</v>
      </c>
      <c r="I156">
        <v>0.04</v>
      </c>
      <c r="J156">
        <v>0.2</v>
      </c>
      <c r="K156">
        <v>0.94</v>
      </c>
      <c r="L156">
        <v>2.83</v>
      </c>
      <c r="M156">
        <v>4.8499999999999996</v>
      </c>
      <c r="N156">
        <v>0.24</v>
      </c>
      <c r="O156">
        <f t="shared" si="24"/>
        <v>1.210000000000008</v>
      </c>
      <c r="P156" s="3">
        <f t="shared" si="21"/>
        <v>3.04</v>
      </c>
      <c r="Q156">
        <v>8.528000000000001E-5</v>
      </c>
      <c r="R156">
        <v>0.105053118762475</v>
      </c>
      <c r="S156">
        <v>0.76153030306516156</v>
      </c>
      <c r="T156">
        <v>0.19700000000000001</v>
      </c>
      <c r="U156" s="11" t="s">
        <v>101</v>
      </c>
      <c r="V156" s="11" t="s">
        <v>101</v>
      </c>
      <c r="W156" s="11" t="s">
        <v>101</v>
      </c>
      <c r="X156" s="11" t="s">
        <v>101</v>
      </c>
      <c r="Y156" s="11" t="s">
        <v>101</v>
      </c>
      <c r="Z156" s="11" t="s">
        <v>101</v>
      </c>
      <c r="AA156" s="11" t="s">
        <v>101</v>
      </c>
      <c r="AB156" s="11" t="s">
        <v>101</v>
      </c>
      <c r="AD156" s="3"/>
    </row>
    <row r="157" spans="1:30">
      <c r="A157" s="20" t="s">
        <v>181</v>
      </c>
      <c r="B157">
        <f>AVERAGE(180,200)</f>
        <v>190</v>
      </c>
      <c r="C157">
        <f>STDEV(180,200)</f>
        <v>14.142135623730951</v>
      </c>
      <c r="D157">
        <v>74.56</v>
      </c>
      <c r="E157">
        <v>0.49</v>
      </c>
      <c r="F157">
        <v>12.09</v>
      </c>
      <c r="G157">
        <v>0</v>
      </c>
      <c r="H157">
        <v>2.5499999999999998</v>
      </c>
      <c r="I157">
        <v>0.04</v>
      </c>
      <c r="J157">
        <v>0.2</v>
      </c>
      <c r="K157">
        <v>0.94</v>
      </c>
      <c r="L157">
        <v>2.83</v>
      </c>
      <c r="M157">
        <v>4.8499999999999996</v>
      </c>
      <c r="N157">
        <v>0.24</v>
      </c>
      <c r="O157">
        <f t="shared" si="24"/>
        <v>1.210000000000008</v>
      </c>
      <c r="P157" s="3">
        <f t="shared" si="21"/>
        <v>3.04</v>
      </c>
      <c r="Q157">
        <v>7.85363888888889E-5</v>
      </c>
      <c r="R157">
        <v>0.10133865169660673</v>
      </c>
      <c r="S157">
        <v>0.78617102294771035</v>
      </c>
      <c r="T157">
        <v>0.19700000000000001</v>
      </c>
      <c r="U157" s="11" t="s">
        <v>101</v>
      </c>
      <c r="V157" s="11" t="s">
        <v>101</v>
      </c>
      <c r="W157" s="11" t="s">
        <v>101</v>
      </c>
      <c r="X157" s="11" t="s">
        <v>101</v>
      </c>
      <c r="Y157" s="11" t="s">
        <v>101</v>
      </c>
      <c r="Z157" s="11" t="s">
        <v>101</v>
      </c>
      <c r="AA157" s="11" t="s">
        <v>101</v>
      </c>
      <c r="AB157" s="11" t="s">
        <v>101</v>
      </c>
      <c r="AD157" s="3"/>
    </row>
    <row r="158" spans="1:30">
      <c r="A158" s="20" t="s">
        <v>182</v>
      </c>
      <c r="B158">
        <f>AVERAGE(200,250)</f>
        <v>225</v>
      </c>
      <c r="C158">
        <f>STDEV(200,250)</f>
        <v>35.355339059327378</v>
      </c>
      <c r="D158">
        <v>74.56</v>
      </c>
      <c r="E158">
        <v>0.49</v>
      </c>
      <c r="F158">
        <v>12.09</v>
      </c>
      <c r="G158">
        <v>0</v>
      </c>
      <c r="H158">
        <v>2.5499999999999998</v>
      </c>
      <c r="I158">
        <v>0.04</v>
      </c>
      <c r="J158">
        <v>0.2</v>
      </c>
      <c r="K158">
        <v>0.94</v>
      </c>
      <c r="L158">
        <v>2.83</v>
      </c>
      <c r="M158">
        <v>4.8499999999999996</v>
      </c>
      <c r="N158">
        <v>0.24</v>
      </c>
      <c r="O158">
        <f t="shared" si="24"/>
        <v>1.210000000000008</v>
      </c>
      <c r="P158" s="3">
        <f t="shared" si="21"/>
        <v>3.04</v>
      </c>
      <c r="Q158">
        <v>6.9360666666666668E-5</v>
      </c>
      <c r="R158" s="14">
        <v>9.0830563273453055E-2</v>
      </c>
      <c r="S158">
        <v>0.74514453076853981</v>
      </c>
      <c r="T158">
        <v>0.19700000000000001</v>
      </c>
      <c r="U158" s="11" t="s">
        <v>101</v>
      </c>
      <c r="V158" s="11" t="s">
        <v>101</v>
      </c>
      <c r="W158" s="11" t="s">
        <v>101</v>
      </c>
      <c r="X158" s="11" t="s">
        <v>101</v>
      </c>
      <c r="Y158" s="11" t="s">
        <v>101</v>
      </c>
      <c r="Z158" s="11" t="s">
        <v>101</v>
      </c>
      <c r="AA158" s="11" t="s">
        <v>101</v>
      </c>
      <c r="AB158" s="11" t="s">
        <v>101</v>
      </c>
      <c r="AD158" s="3"/>
    </row>
    <row r="159" spans="1:30" s="30" customFormat="1">
      <c r="A159" s="25" t="s">
        <v>183</v>
      </c>
      <c r="B159" s="30">
        <f>AVERAGE(0,25)</f>
        <v>12.5</v>
      </c>
      <c r="C159" s="30">
        <f>STDEV(0,25)</f>
        <v>17.677669529663689</v>
      </c>
      <c r="D159" s="30">
        <v>69.819999999999993</v>
      </c>
      <c r="E159" s="30">
        <v>0.4</v>
      </c>
      <c r="F159" s="30">
        <v>14.83</v>
      </c>
      <c r="G159" s="30">
        <v>0</v>
      </c>
      <c r="H159" s="30">
        <v>1.99</v>
      </c>
      <c r="I159" s="30">
        <v>0.03</v>
      </c>
      <c r="J159" s="30">
        <v>0.38</v>
      </c>
      <c r="K159" s="30">
        <v>1.83</v>
      </c>
      <c r="L159" s="30">
        <v>3.18</v>
      </c>
      <c r="M159" s="30">
        <v>5.29</v>
      </c>
      <c r="N159" s="30">
        <v>0.16</v>
      </c>
      <c r="O159" s="30">
        <f t="shared" si="24"/>
        <v>2.0900000000000034</v>
      </c>
      <c r="P159" s="28">
        <f t="shared" si="21"/>
        <v>2.39</v>
      </c>
      <c r="Q159" s="30">
        <v>1.0207944444444443E-4</v>
      </c>
      <c r="R159" s="30">
        <v>0.32893028942115765</v>
      </c>
      <c r="S159" s="30">
        <v>0.66668106420973783</v>
      </c>
      <c r="T159">
        <v>0.20799999999999999</v>
      </c>
      <c r="U159" s="34" t="s">
        <v>101</v>
      </c>
      <c r="V159" s="34" t="s">
        <v>101</v>
      </c>
      <c r="W159" s="34" t="s">
        <v>101</v>
      </c>
      <c r="X159" s="34" t="s">
        <v>101</v>
      </c>
      <c r="Y159" s="34" t="s">
        <v>101</v>
      </c>
      <c r="Z159" s="34" t="s">
        <v>101</v>
      </c>
      <c r="AA159" s="34" t="s">
        <v>101</v>
      </c>
      <c r="AB159" s="34" t="s">
        <v>101</v>
      </c>
      <c r="AD159" s="28"/>
    </row>
    <row r="160" spans="1:30">
      <c r="A160" s="20" t="s">
        <v>184</v>
      </c>
      <c r="B160">
        <f>AVERAGE(25,63)</f>
        <v>44</v>
      </c>
      <c r="C160">
        <f>STDEV(25,63)</f>
        <v>26.870057685088806</v>
      </c>
      <c r="D160">
        <v>69.819999999999993</v>
      </c>
      <c r="E160">
        <v>0.4</v>
      </c>
      <c r="F160">
        <v>14.83</v>
      </c>
      <c r="G160">
        <v>0</v>
      </c>
      <c r="H160">
        <v>1.99</v>
      </c>
      <c r="I160">
        <v>0.03</v>
      </c>
      <c r="J160">
        <v>0.38</v>
      </c>
      <c r="K160">
        <v>1.83</v>
      </c>
      <c r="L160">
        <v>3.18</v>
      </c>
      <c r="M160">
        <v>5.29</v>
      </c>
      <c r="N160">
        <v>0.16</v>
      </c>
      <c r="O160">
        <f t="shared" si="24"/>
        <v>2.0900000000000034</v>
      </c>
      <c r="P160" s="3">
        <f t="shared" ref="P160:P167" si="25">H160+E160</f>
        <v>2.39</v>
      </c>
      <c r="Q160">
        <v>7.1881388888888904E-5</v>
      </c>
      <c r="R160" s="14">
        <v>0.23344305439121751</v>
      </c>
      <c r="S160">
        <v>0.68582257754778198</v>
      </c>
      <c r="T160">
        <v>0.20799999999999999</v>
      </c>
      <c r="U160" s="11" t="s">
        <v>101</v>
      </c>
      <c r="V160" s="11" t="s">
        <v>101</v>
      </c>
      <c r="W160" s="11" t="s">
        <v>101</v>
      </c>
      <c r="X160" s="11" t="s">
        <v>101</v>
      </c>
      <c r="Y160" s="11" t="s">
        <v>101</v>
      </c>
      <c r="Z160" s="11" t="s">
        <v>101</v>
      </c>
      <c r="AA160" s="11" t="s">
        <v>101</v>
      </c>
      <c r="AB160" s="11" t="s">
        <v>101</v>
      </c>
      <c r="AD160" s="3"/>
    </row>
    <row r="161" spans="1:30">
      <c r="A161" s="20" t="s">
        <v>185</v>
      </c>
      <c r="B161">
        <f>AVERAGE(63,100)</f>
        <v>81.5</v>
      </c>
      <c r="C161">
        <f>STDEV(63,100)</f>
        <v>26.16295090390226</v>
      </c>
      <c r="D161">
        <v>69.819999999999993</v>
      </c>
      <c r="E161">
        <v>0.4</v>
      </c>
      <c r="F161">
        <v>14.83</v>
      </c>
      <c r="G161">
        <v>0</v>
      </c>
      <c r="H161">
        <v>1.99</v>
      </c>
      <c r="I161">
        <v>0.03</v>
      </c>
      <c r="J161">
        <v>0.38</v>
      </c>
      <c r="K161">
        <v>1.83</v>
      </c>
      <c r="L161">
        <v>3.18</v>
      </c>
      <c r="M161">
        <v>5.29</v>
      </c>
      <c r="N161">
        <v>0.16</v>
      </c>
      <c r="O161">
        <f t="shared" si="24"/>
        <v>2.0900000000000034</v>
      </c>
      <c r="P161" s="3">
        <f t="shared" si="25"/>
        <v>2.39</v>
      </c>
      <c r="Q161">
        <v>3.0502666666666668E-5</v>
      </c>
      <c r="R161" s="14">
        <v>0.13570832894211579</v>
      </c>
      <c r="S161">
        <v>0.73408139502647574</v>
      </c>
      <c r="T161">
        <v>0.20799999999999999</v>
      </c>
      <c r="U161" s="11" t="s">
        <v>101</v>
      </c>
      <c r="V161" s="11" t="s">
        <v>101</v>
      </c>
      <c r="W161" s="11" t="s">
        <v>101</v>
      </c>
      <c r="X161" s="11" t="s">
        <v>101</v>
      </c>
      <c r="Y161" s="11" t="s">
        <v>101</v>
      </c>
      <c r="Z161" s="11" t="s">
        <v>101</v>
      </c>
      <c r="AA161" s="11" t="s">
        <v>101</v>
      </c>
      <c r="AB161" s="11" t="s">
        <v>101</v>
      </c>
      <c r="AD161" s="3"/>
    </row>
    <row r="162" spans="1:30">
      <c r="A162" s="20" t="s">
        <v>186</v>
      </c>
      <c r="B162">
        <f>AVERAGE(100,125)</f>
        <v>112.5</v>
      </c>
      <c r="C162">
        <f>STDEV(100,125)</f>
        <v>17.677669529663689</v>
      </c>
      <c r="D162">
        <v>69.819999999999993</v>
      </c>
      <c r="E162">
        <v>0.4</v>
      </c>
      <c r="F162">
        <v>14.83</v>
      </c>
      <c r="G162">
        <v>0</v>
      </c>
      <c r="H162">
        <v>1.99</v>
      </c>
      <c r="I162">
        <v>0.03</v>
      </c>
      <c r="J162">
        <v>0.38</v>
      </c>
      <c r="K162">
        <v>1.83</v>
      </c>
      <c r="L162">
        <v>3.18</v>
      </c>
      <c r="M162">
        <v>5.29</v>
      </c>
      <c r="N162">
        <v>0.16</v>
      </c>
      <c r="O162">
        <f t="shared" si="24"/>
        <v>2.0900000000000034</v>
      </c>
      <c r="P162" s="3">
        <f t="shared" si="25"/>
        <v>2.39</v>
      </c>
      <c r="Q162">
        <v>2.1791310926293795E-6</v>
      </c>
      <c r="R162" s="14">
        <v>0.11192015768463075</v>
      </c>
      <c r="S162">
        <v>0.44018558528746915</v>
      </c>
      <c r="T162">
        <v>0.20799999999999999</v>
      </c>
      <c r="U162" s="11" t="s">
        <v>101</v>
      </c>
      <c r="V162" s="11" t="s">
        <v>101</v>
      </c>
      <c r="W162" s="11" t="s">
        <v>101</v>
      </c>
      <c r="X162" s="11" t="s">
        <v>101</v>
      </c>
      <c r="Y162" s="11" t="s">
        <v>101</v>
      </c>
      <c r="Z162" s="11" t="s">
        <v>101</v>
      </c>
      <c r="AA162" s="11" t="s">
        <v>101</v>
      </c>
      <c r="AB162" s="11" t="s">
        <v>101</v>
      </c>
      <c r="AD162" s="3"/>
    </row>
    <row r="163" spans="1:30">
      <c r="A163" s="20" t="s">
        <v>187</v>
      </c>
      <c r="B163">
        <f>AVERAGE(125,150)</f>
        <v>137.5</v>
      </c>
      <c r="C163">
        <f>STDEV(125,150)</f>
        <v>17.677669529663689</v>
      </c>
      <c r="D163">
        <v>69.819999999999993</v>
      </c>
      <c r="E163">
        <v>0.4</v>
      </c>
      <c r="F163">
        <v>14.83</v>
      </c>
      <c r="G163">
        <v>0</v>
      </c>
      <c r="H163">
        <v>1.99</v>
      </c>
      <c r="I163">
        <v>0.03</v>
      </c>
      <c r="J163">
        <v>0.38</v>
      </c>
      <c r="K163">
        <v>1.83</v>
      </c>
      <c r="L163">
        <v>3.18</v>
      </c>
      <c r="M163">
        <v>5.29</v>
      </c>
      <c r="N163">
        <v>0.16</v>
      </c>
      <c r="O163">
        <f t="shared" si="24"/>
        <v>2.0900000000000034</v>
      </c>
      <c r="P163" s="3">
        <f t="shared" si="25"/>
        <v>2.39</v>
      </c>
      <c r="Q163">
        <v>1.3065694444444447E-5</v>
      </c>
      <c r="R163" s="14">
        <v>0.10160757834331334</v>
      </c>
      <c r="S163">
        <v>0.77798401768647951</v>
      </c>
      <c r="T163">
        <v>0.20799999999999999</v>
      </c>
      <c r="U163" s="11" t="s">
        <v>101</v>
      </c>
      <c r="V163" s="11" t="s">
        <v>101</v>
      </c>
      <c r="W163" s="11" t="s">
        <v>101</v>
      </c>
      <c r="X163" s="11" t="s">
        <v>101</v>
      </c>
      <c r="Y163" s="11" t="s">
        <v>101</v>
      </c>
      <c r="Z163" s="11" t="s">
        <v>101</v>
      </c>
      <c r="AA163" s="11" t="s">
        <v>101</v>
      </c>
      <c r="AB163" s="11" t="s">
        <v>101</v>
      </c>
      <c r="AD163" s="3"/>
    </row>
    <row r="164" spans="1:30">
      <c r="A164" s="20" t="s">
        <v>188</v>
      </c>
      <c r="B164">
        <f>AVERAGE(150,180)</f>
        <v>165</v>
      </c>
      <c r="C164">
        <f>STDEV(150,180)</f>
        <v>21.213203435596427</v>
      </c>
      <c r="D164">
        <v>69.819999999999993</v>
      </c>
      <c r="E164">
        <v>0.4</v>
      </c>
      <c r="F164">
        <v>14.83</v>
      </c>
      <c r="G164">
        <v>0</v>
      </c>
      <c r="H164">
        <v>1.99</v>
      </c>
      <c r="I164">
        <v>0.03</v>
      </c>
      <c r="J164">
        <v>0.38</v>
      </c>
      <c r="K164">
        <v>1.83</v>
      </c>
      <c r="L164">
        <v>3.18</v>
      </c>
      <c r="M164">
        <v>5.29</v>
      </c>
      <c r="N164">
        <v>0.16</v>
      </c>
      <c r="O164">
        <f t="shared" si="24"/>
        <v>2.0900000000000034</v>
      </c>
      <c r="P164" s="3">
        <f t="shared" si="25"/>
        <v>2.39</v>
      </c>
      <c r="Q164">
        <v>1.0791777777777779E-5</v>
      </c>
      <c r="R164" s="14">
        <v>9.7656073453093697E-2</v>
      </c>
      <c r="S164">
        <v>0.80368484634309822</v>
      </c>
      <c r="T164">
        <v>0.20799999999999999</v>
      </c>
      <c r="U164" s="11" t="s">
        <v>101</v>
      </c>
      <c r="V164" s="11" t="s">
        <v>101</v>
      </c>
      <c r="W164" s="11" t="s">
        <v>101</v>
      </c>
      <c r="X164" s="11" t="s">
        <v>101</v>
      </c>
      <c r="Y164" s="11" t="s">
        <v>101</v>
      </c>
      <c r="Z164" s="11" t="s">
        <v>101</v>
      </c>
      <c r="AA164" s="11" t="s">
        <v>101</v>
      </c>
      <c r="AB164" s="11" t="s">
        <v>101</v>
      </c>
      <c r="AD164" s="3"/>
    </row>
    <row r="165" spans="1:30">
      <c r="A165" s="20" t="s">
        <v>189</v>
      </c>
      <c r="B165">
        <f>AVERAGE(180,200)</f>
        <v>190</v>
      </c>
      <c r="C165">
        <f>STDEV(180,200)</f>
        <v>14.142135623730951</v>
      </c>
      <c r="D165">
        <v>69.819999999999993</v>
      </c>
      <c r="E165">
        <v>0.4</v>
      </c>
      <c r="F165">
        <v>14.83</v>
      </c>
      <c r="G165">
        <v>0</v>
      </c>
      <c r="H165">
        <v>1.99</v>
      </c>
      <c r="I165">
        <v>0.03</v>
      </c>
      <c r="J165">
        <v>0.38</v>
      </c>
      <c r="K165">
        <v>1.83</v>
      </c>
      <c r="L165">
        <v>3.18</v>
      </c>
      <c r="M165">
        <v>5.29</v>
      </c>
      <c r="N165">
        <v>0.16</v>
      </c>
      <c r="O165">
        <f t="shared" si="24"/>
        <v>2.0900000000000034</v>
      </c>
      <c r="P165" s="3">
        <f t="shared" si="25"/>
        <v>2.39</v>
      </c>
      <c r="Q165">
        <v>4.8869444444444437E-6</v>
      </c>
      <c r="R165" s="14">
        <v>9.4348443113772482E-2</v>
      </c>
      <c r="S165">
        <v>0.84202385110523414</v>
      </c>
      <c r="T165">
        <v>0.20799999999999999</v>
      </c>
      <c r="U165" s="11" t="s">
        <v>101</v>
      </c>
      <c r="V165" s="11" t="s">
        <v>101</v>
      </c>
      <c r="W165" s="11" t="s">
        <v>101</v>
      </c>
      <c r="X165" s="11" t="s">
        <v>101</v>
      </c>
      <c r="Y165" s="11" t="s">
        <v>101</v>
      </c>
      <c r="Z165" s="11" t="s">
        <v>101</v>
      </c>
      <c r="AA165" s="11" t="s">
        <v>101</v>
      </c>
      <c r="AB165" s="11" t="s">
        <v>101</v>
      </c>
      <c r="AD165" s="3"/>
    </row>
    <row r="166" spans="1:30">
      <c r="A166" s="20" t="s">
        <v>190</v>
      </c>
      <c r="B166">
        <f>AVERAGE(200,250)</f>
        <v>225</v>
      </c>
      <c r="C166">
        <f>STDEV(200,250)</f>
        <v>35.355339059327378</v>
      </c>
      <c r="D166">
        <v>69.819999999999993</v>
      </c>
      <c r="E166">
        <v>0.4</v>
      </c>
      <c r="F166">
        <v>14.83</v>
      </c>
      <c r="G166">
        <v>0</v>
      </c>
      <c r="H166">
        <v>1.99</v>
      </c>
      <c r="I166">
        <v>0.03</v>
      </c>
      <c r="J166">
        <v>0.38</v>
      </c>
      <c r="K166">
        <v>1.83</v>
      </c>
      <c r="L166">
        <v>3.18</v>
      </c>
      <c r="M166">
        <v>5.29</v>
      </c>
      <c r="N166">
        <v>0.16</v>
      </c>
      <c r="O166">
        <f t="shared" si="24"/>
        <v>2.0900000000000034</v>
      </c>
      <c r="P166" s="3">
        <f t="shared" si="25"/>
        <v>2.39</v>
      </c>
      <c r="Q166">
        <v>4.6746031746028934E-8</v>
      </c>
      <c r="R166" s="14">
        <v>8.8362370687196948E-2</v>
      </c>
      <c r="S166">
        <v>0.86115746093142309</v>
      </c>
      <c r="T166">
        <v>0.20799999999999999</v>
      </c>
      <c r="U166" s="11" t="s">
        <v>101</v>
      </c>
      <c r="V166" s="11" t="s">
        <v>101</v>
      </c>
      <c r="W166" s="11" t="s">
        <v>101</v>
      </c>
      <c r="X166" s="11" t="s">
        <v>101</v>
      </c>
      <c r="Y166" s="11" t="s">
        <v>101</v>
      </c>
      <c r="Z166" s="11" t="s">
        <v>101</v>
      </c>
      <c r="AA166" s="11" t="s">
        <v>101</v>
      </c>
      <c r="AB166" s="11" t="s">
        <v>101</v>
      </c>
      <c r="AD166" s="3"/>
    </row>
    <row r="167" spans="1:30" s="30" customFormat="1">
      <c r="A167" s="25" t="s">
        <v>191</v>
      </c>
      <c r="B167" s="30">
        <f>AVERAGE(0,25)</f>
        <v>12.5</v>
      </c>
      <c r="C167" s="30">
        <f>STDEV(0,25)</f>
        <v>17.677669529663689</v>
      </c>
      <c r="D167" s="30">
        <v>70.790000000000006</v>
      </c>
      <c r="E167" s="30">
        <v>0.35</v>
      </c>
      <c r="F167" s="30">
        <v>15.25</v>
      </c>
      <c r="G167" s="30">
        <v>0.05</v>
      </c>
      <c r="H167" s="30">
        <v>3.03</v>
      </c>
      <c r="I167" s="30">
        <v>0.08</v>
      </c>
      <c r="J167" s="30">
        <v>0.82</v>
      </c>
      <c r="K167" s="30">
        <v>2.64</v>
      </c>
      <c r="L167" s="30">
        <v>2.92</v>
      </c>
      <c r="M167" s="30">
        <v>4.17</v>
      </c>
      <c r="N167" s="30">
        <v>0.08</v>
      </c>
      <c r="O167" s="30">
        <v>0</v>
      </c>
      <c r="P167" s="28">
        <f t="shared" si="25"/>
        <v>3.38</v>
      </c>
      <c r="Q167" s="30">
        <v>8.7816527777777808E-5</v>
      </c>
      <c r="R167" s="35">
        <v>0.27320167415169666</v>
      </c>
      <c r="S167" s="30">
        <v>0.61394655639287143</v>
      </c>
      <c r="T167">
        <v>0.28100000000000003</v>
      </c>
      <c r="U167" s="34" t="s">
        <v>101</v>
      </c>
      <c r="V167" s="34" t="s">
        <v>101</v>
      </c>
      <c r="W167" s="34" t="s">
        <v>101</v>
      </c>
      <c r="X167" s="34" t="s">
        <v>101</v>
      </c>
      <c r="Y167" s="34" t="s">
        <v>101</v>
      </c>
      <c r="Z167" s="34" t="s">
        <v>101</v>
      </c>
      <c r="AA167" s="34" t="s">
        <v>101</v>
      </c>
      <c r="AB167" s="34" t="s">
        <v>101</v>
      </c>
      <c r="AD167" s="28"/>
    </row>
    <row r="168" spans="1:30">
      <c r="A168" s="20" t="s">
        <v>192</v>
      </c>
      <c r="B168">
        <f>AVERAGE(25,63)</f>
        <v>44</v>
      </c>
      <c r="C168">
        <f>STDEV(25,63)</f>
        <v>26.870057685088806</v>
      </c>
      <c r="D168">
        <v>70.790000000000006</v>
      </c>
      <c r="E168">
        <v>0.35</v>
      </c>
      <c r="F168">
        <v>15.25</v>
      </c>
      <c r="G168">
        <v>0.05</v>
      </c>
      <c r="H168">
        <v>3.03</v>
      </c>
      <c r="I168">
        <v>0.08</v>
      </c>
      <c r="J168">
        <v>0.82</v>
      </c>
      <c r="K168">
        <v>2.64</v>
      </c>
      <c r="L168">
        <v>2.92</v>
      </c>
      <c r="M168">
        <v>4.17</v>
      </c>
      <c r="N168">
        <v>0.08</v>
      </c>
      <c r="O168">
        <v>0</v>
      </c>
      <c r="P168" s="3">
        <f t="shared" ref="P168:P173" si="26">H168+E168</f>
        <v>3.38</v>
      </c>
      <c r="Q168">
        <v>6.0976666666666662E-5</v>
      </c>
      <c r="R168" s="14">
        <v>0.14952709820359278</v>
      </c>
      <c r="S168">
        <v>0.56482319098628209</v>
      </c>
      <c r="T168">
        <v>0.28100000000000003</v>
      </c>
      <c r="U168" s="11" t="s">
        <v>101</v>
      </c>
      <c r="V168" s="11" t="s">
        <v>101</v>
      </c>
      <c r="W168" s="11" t="s">
        <v>101</v>
      </c>
      <c r="X168" s="11" t="s">
        <v>101</v>
      </c>
      <c r="Y168" s="11" t="s">
        <v>101</v>
      </c>
      <c r="Z168" s="11" t="s">
        <v>101</v>
      </c>
      <c r="AA168" s="11" t="s">
        <v>101</v>
      </c>
      <c r="AB168" s="11" t="s">
        <v>101</v>
      </c>
      <c r="AD168" s="3"/>
    </row>
    <row r="169" spans="1:30">
      <c r="A169" s="20" t="s">
        <v>193</v>
      </c>
      <c r="B169">
        <f>AVERAGE(63,100)</f>
        <v>81.5</v>
      </c>
      <c r="C169">
        <f>STDEV(63,100)</f>
        <v>26.16295090390226</v>
      </c>
      <c r="D169">
        <v>70.790000000000006</v>
      </c>
      <c r="E169">
        <v>0.35</v>
      </c>
      <c r="F169">
        <v>15.25</v>
      </c>
      <c r="G169">
        <v>0.05</v>
      </c>
      <c r="H169">
        <v>3.03</v>
      </c>
      <c r="I169">
        <v>0.08</v>
      </c>
      <c r="J169">
        <v>0.82</v>
      </c>
      <c r="K169">
        <v>2.64</v>
      </c>
      <c r="L169">
        <v>2.92</v>
      </c>
      <c r="M169">
        <v>4.17</v>
      </c>
      <c r="N169">
        <v>0.08</v>
      </c>
      <c r="O169">
        <v>0</v>
      </c>
      <c r="P169" s="3">
        <f t="shared" si="26"/>
        <v>3.38</v>
      </c>
      <c r="Q169">
        <v>4.5575333333333344E-5</v>
      </c>
      <c r="R169" s="14">
        <v>9.9839425548902169E-2</v>
      </c>
      <c r="S169">
        <v>0.53450426563965248</v>
      </c>
      <c r="T169">
        <v>0.28100000000000003</v>
      </c>
      <c r="U169" s="11" t="s">
        <v>101</v>
      </c>
      <c r="V169" s="11" t="s">
        <v>101</v>
      </c>
      <c r="W169" s="11" t="s">
        <v>101</v>
      </c>
      <c r="X169" s="11" t="s">
        <v>101</v>
      </c>
      <c r="Y169" s="11" t="s">
        <v>101</v>
      </c>
      <c r="Z169" s="11" t="s">
        <v>101</v>
      </c>
      <c r="AA169" s="11" t="s">
        <v>101</v>
      </c>
      <c r="AB169" s="11" t="s">
        <v>101</v>
      </c>
      <c r="AD169" s="3"/>
    </row>
    <row r="170" spans="1:30">
      <c r="A170" s="20" t="s">
        <v>194</v>
      </c>
      <c r="B170">
        <f>AVERAGE(100,125)</f>
        <v>112.5</v>
      </c>
      <c r="C170">
        <f>STDEV(100,125)</f>
        <v>17.677669529663689</v>
      </c>
      <c r="D170">
        <v>70.790000000000006</v>
      </c>
      <c r="E170">
        <v>0.35</v>
      </c>
      <c r="F170">
        <v>15.25</v>
      </c>
      <c r="G170">
        <v>0.05</v>
      </c>
      <c r="H170">
        <v>3.03</v>
      </c>
      <c r="I170">
        <v>0.08</v>
      </c>
      <c r="J170">
        <v>0.82</v>
      </c>
      <c r="K170">
        <v>2.64</v>
      </c>
      <c r="L170">
        <v>2.92</v>
      </c>
      <c r="M170">
        <v>4.17</v>
      </c>
      <c r="N170">
        <v>0.08</v>
      </c>
      <c r="O170">
        <v>0</v>
      </c>
      <c r="P170" s="3">
        <f t="shared" si="26"/>
        <v>3.38</v>
      </c>
      <c r="Q170">
        <v>3.5217333333333339E-5</v>
      </c>
      <c r="R170" s="14">
        <v>7.7691806387225601E-2</v>
      </c>
      <c r="S170">
        <v>0.53636577455933632</v>
      </c>
      <c r="T170">
        <v>0.28100000000000003</v>
      </c>
      <c r="U170" s="11" t="s">
        <v>101</v>
      </c>
      <c r="V170" s="11" t="s">
        <v>101</v>
      </c>
      <c r="W170" s="11" t="s">
        <v>101</v>
      </c>
      <c r="X170" s="11" t="s">
        <v>101</v>
      </c>
      <c r="Y170" s="11" t="s">
        <v>101</v>
      </c>
      <c r="Z170" s="11" t="s">
        <v>101</v>
      </c>
      <c r="AA170" s="11" t="s">
        <v>101</v>
      </c>
      <c r="AB170" s="11" t="s">
        <v>101</v>
      </c>
      <c r="AD170" s="3"/>
    </row>
    <row r="171" spans="1:30">
      <c r="A171" s="20" t="s">
        <v>195</v>
      </c>
      <c r="B171">
        <f>AVERAGE(125,150)</f>
        <v>137.5</v>
      </c>
      <c r="C171">
        <f>STDEV(125,150)</f>
        <v>17.677669529663689</v>
      </c>
      <c r="D171">
        <v>70.790000000000006</v>
      </c>
      <c r="E171">
        <v>0.35</v>
      </c>
      <c r="F171">
        <v>15.25</v>
      </c>
      <c r="G171">
        <v>0.05</v>
      </c>
      <c r="H171">
        <v>3.03</v>
      </c>
      <c r="I171">
        <v>0.08</v>
      </c>
      <c r="J171">
        <v>0.82</v>
      </c>
      <c r="K171">
        <v>2.64</v>
      </c>
      <c r="L171">
        <v>2.92</v>
      </c>
      <c r="M171">
        <v>4.17</v>
      </c>
      <c r="N171">
        <v>0.08</v>
      </c>
      <c r="O171">
        <v>0</v>
      </c>
      <c r="P171" s="3">
        <f t="shared" si="26"/>
        <v>3.38</v>
      </c>
      <c r="Q171">
        <v>2.7531944444444439E-5</v>
      </c>
      <c r="R171" s="14">
        <v>6.4573872754491016E-2</v>
      </c>
      <c r="S171">
        <v>0.57926649471782654</v>
      </c>
      <c r="T171">
        <v>0.28100000000000003</v>
      </c>
      <c r="U171" s="11" t="s">
        <v>101</v>
      </c>
      <c r="V171" s="11" t="s">
        <v>101</v>
      </c>
      <c r="W171" s="11" t="s">
        <v>101</v>
      </c>
      <c r="X171" s="11" t="s">
        <v>101</v>
      </c>
      <c r="Y171" s="11" t="s">
        <v>101</v>
      </c>
      <c r="Z171" s="11" t="s">
        <v>101</v>
      </c>
      <c r="AA171" s="11" t="s">
        <v>101</v>
      </c>
      <c r="AB171" s="11" t="s">
        <v>101</v>
      </c>
      <c r="AD171" s="3"/>
    </row>
    <row r="172" spans="1:30">
      <c r="A172" s="20" t="s">
        <v>196</v>
      </c>
      <c r="B172">
        <f>AVERAGE(150,180)</f>
        <v>165</v>
      </c>
      <c r="C172">
        <f>STDEV(150,180)</f>
        <v>21.213203435596427</v>
      </c>
      <c r="D172">
        <v>70.790000000000006</v>
      </c>
      <c r="E172">
        <v>0.35</v>
      </c>
      <c r="F172">
        <v>15.25</v>
      </c>
      <c r="G172">
        <v>0.05</v>
      </c>
      <c r="H172">
        <v>3.03</v>
      </c>
      <c r="I172">
        <v>0.08</v>
      </c>
      <c r="J172">
        <v>0.82</v>
      </c>
      <c r="K172">
        <v>2.64</v>
      </c>
      <c r="L172">
        <v>2.92</v>
      </c>
      <c r="M172">
        <v>4.17</v>
      </c>
      <c r="N172">
        <v>0.08</v>
      </c>
      <c r="O172">
        <v>0</v>
      </c>
      <c r="P172" s="3">
        <f t="shared" si="26"/>
        <v>3.38</v>
      </c>
      <c r="Q172">
        <v>2.5435000000000003E-5</v>
      </c>
      <c r="R172" s="14">
        <v>6.506974051896211E-2</v>
      </c>
      <c r="S172">
        <v>0.62173193977937302</v>
      </c>
      <c r="T172">
        <v>0.28100000000000003</v>
      </c>
      <c r="U172" s="11" t="s">
        <v>101</v>
      </c>
      <c r="V172" s="11" t="s">
        <v>101</v>
      </c>
      <c r="W172" s="11" t="s">
        <v>101</v>
      </c>
      <c r="X172" s="11" t="s">
        <v>101</v>
      </c>
      <c r="Y172" s="11" t="s">
        <v>101</v>
      </c>
      <c r="Z172" s="11" t="s">
        <v>101</v>
      </c>
      <c r="AA172" s="11" t="s">
        <v>101</v>
      </c>
      <c r="AB172" s="11" t="s">
        <v>101</v>
      </c>
      <c r="AD172" s="3"/>
    </row>
    <row r="173" spans="1:30">
      <c r="A173" s="20" t="s">
        <v>197</v>
      </c>
      <c r="B173">
        <f>AVERAGE(180,200)</f>
        <v>190</v>
      </c>
      <c r="C173">
        <f>STDEV(180,200)</f>
        <v>14.142135623730951</v>
      </c>
      <c r="D173">
        <v>70.790000000000006</v>
      </c>
      <c r="E173">
        <v>0.35</v>
      </c>
      <c r="F173">
        <v>15.25</v>
      </c>
      <c r="G173">
        <v>0.05</v>
      </c>
      <c r="H173">
        <v>3.03</v>
      </c>
      <c r="I173">
        <v>0.08</v>
      </c>
      <c r="J173">
        <v>0.82</v>
      </c>
      <c r="K173">
        <v>2.64</v>
      </c>
      <c r="L173">
        <v>2.92</v>
      </c>
      <c r="M173">
        <v>4.17</v>
      </c>
      <c r="N173">
        <v>0.08</v>
      </c>
      <c r="O173">
        <v>0</v>
      </c>
      <c r="P173" s="3">
        <f t="shared" si="26"/>
        <v>3.38</v>
      </c>
      <c r="Q173">
        <v>2.0659027777777789E-5</v>
      </c>
      <c r="R173" s="14">
        <v>5.8802605788423098E-2</v>
      </c>
      <c r="S173">
        <v>0.70100469927679954</v>
      </c>
      <c r="T173">
        <v>0.28100000000000003</v>
      </c>
      <c r="U173" s="11" t="s">
        <v>101</v>
      </c>
      <c r="V173" s="11" t="s">
        <v>101</v>
      </c>
      <c r="W173" s="11" t="s">
        <v>101</v>
      </c>
      <c r="X173" s="11" t="s">
        <v>101</v>
      </c>
      <c r="Y173" s="11" t="s">
        <v>101</v>
      </c>
      <c r="Z173" s="11" t="s">
        <v>101</v>
      </c>
      <c r="AA173" s="11" t="s">
        <v>101</v>
      </c>
      <c r="AB173" s="11" t="s">
        <v>101</v>
      </c>
      <c r="AD173" s="3"/>
    </row>
    <row r="174" spans="1:30">
      <c r="A174" s="20" t="s">
        <v>198</v>
      </c>
      <c r="B174">
        <f>AVERAGE(200,250)</f>
        <v>225</v>
      </c>
      <c r="C174">
        <f>STDEV(200,250)</f>
        <v>35.355339059327378</v>
      </c>
      <c r="D174">
        <v>70.790000000000006</v>
      </c>
      <c r="E174">
        <v>0.35</v>
      </c>
      <c r="F174">
        <v>15.25</v>
      </c>
      <c r="G174">
        <v>0.05</v>
      </c>
      <c r="H174">
        <v>3.03</v>
      </c>
      <c r="I174">
        <v>0.08</v>
      </c>
      <c r="J174">
        <v>0.82</v>
      </c>
      <c r="K174">
        <v>2.64</v>
      </c>
      <c r="L174">
        <v>2.92</v>
      </c>
      <c r="M174">
        <v>4.17</v>
      </c>
      <c r="N174">
        <v>0.08</v>
      </c>
      <c r="O174">
        <v>0</v>
      </c>
      <c r="P174" s="3">
        <f t="shared" ref="P174:P205" si="27">H174+E174</f>
        <v>3.38</v>
      </c>
      <c r="Q174">
        <v>1.6361777777777779E-5</v>
      </c>
      <c r="R174" s="14">
        <v>3.9390770459081875E-2</v>
      </c>
      <c r="S174">
        <v>0.537209955418261</v>
      </c>
      <c r="T174">
        <v>0.28100000000000003</v>
      </c>
      <c r="U174" s="11" t="s">
        <v>101</v>
      </c>
      <c r="V174" s="11" t="s">
        <v>101</v>
      </c>
      <c r="W174" s="11" t="s">
        <v>101</v>
      </c>
      <c r="X174" s="11" t="s">
        <v>101</v>
      </c>
      <c r="Y174" s="11" t="s">
        <v>101</v>
      </c>
      <c r="Z174" s="11" t="s">
        <v>101</v>
      </c>
      <c r="AA174" s="11" t="s">
        <v>101</v>
      </c>
      <c r="AB174" s="11" t="s">
        <v>101</v>
      </c>
      <c r="AD174" s="3"/>
    </row>
    <row r="175" spans="1:30" s="30" customFormat="1">
      <c r="A175" s="25" t="s">
        <v>199</v>
      </c>
      <c r="B175" s="30">
        <f>AVERAGE(0,25)</f>
        <v>12.5</v>
      </c>
      <c r="C175" s="30">
        <f>STDEV(0,25)</f>
        <v>17.677669529663689</v>
      </c>
      <c r="D175" s="30">
        <v>99.07</v>
      </c>
      <c r="E175" s="30">
        <v>0.17</v>
      </c>
      <c r="F175" s="30">
        <v>1.1499999999999999</v>
      </c>
      <c r="G175" s="30">
        <v>0.01</v>
      </c>
      <c r="H175" s="30">
        <v>0.1</v>
      </c>
      <c r="I175" s="30">
        <v>0.02</v>
      </c>
      <c r="J175" s="30">
        <v>0.01</v>
      </c>
      <c r="K175" s="30">
        <v>0</v>
      </c>
      <c r="L175" s="30">
        <v>0.03</v>
      </c>
      <c r="M175" s="30">
        <v>0</v>
      </c>
      <c r="N175" s="30">
        <v>0</v>
      </c>
      <c r="O175" s="30">
        <v>0</v>
      </c>
      <c r="P175" s="28">
        <f t="shared" si="27"/>
        <v>0.27</v>
      </c>
      <c r="Q175" s="30">
        <v>1.67999999999999E-5</v>
      </c>
      <c r="R175" s="35">
        <v>0.78178821606786408</v>
      </c>
      <c r="S175" s="30">
        <v>0.95977410615484426</v>
      </c>
      <c r="T175" s="18">
        <v>0.25</v>
      </c>
      <c r="U175" s="34" t="s">
        <v>101</v>
      </c>
      <c r="V175" s="34" t="s">
        <v>101</v>
      </c>
      <c r="W175" s="34" t="s">
        <v>101</v>
      </c>
      <c r="X175" s="34" t="s">
        <v>101</v>
      </c>
      <c r="Y175" s="34" t="s">
        <v>101</v>
      </c>
      <c r="Z175" s="34" t="s">
        <v>101</v>
      </c>
      <c r="AA175" s="34" t="s">
        <v>101</v>
      </c>
      <c r="AB175" s="34" t="s">
        <v>101</v>
      </c>
      <c r="AD175" s="28"/>
    </row>
    <row r="176" spans="1:30">
      <c r="A176" s="20" t="s">
        <v>200</v>
      </c>
      <c r="B176">
        <f>AVERAGE(25,63)</f>
        <v>44</v>
      </c>
      <c r="C176">
        <f>STDEV(25,63)</f>
        <v>26.870057685088806</v>
      </c>
      <c r="D176">
        <v>99.07</v>
      </c>
      <c r="E176">
        <v>0.17</v>
      </c>
      <c r="F176">
        <v>1.1499999999999999</v>
      </c>
      <c r="G176">
        <v>0.01</v>
      </c>
      <c r="H176">
        <v>0.1</v>
      </c>
      <c r="I176">
        <v>0.02</v>
      </c>
      <c r="J176">
        <v>0.01</v>
      </c>
      <c r="K176">
        <v>0</v>
      </c>
      <c r="L176">
        <v>0.03</v>
      </c>
      <c r="M176">
        <v>0</v>
      </c>
      <c r="N176">
        <v>0</v>
      </c>
      <c r="O176">
        <v>0</v>
      </c>
      <c r="P176" s="3">
        <f t="shared" si="27"/>
        <v>0.27</v>
      </c>
      <c r="Q176">
        <v>1.7547916666666689E-5</v>
      </c>
      <c r="R176" s="14">
        <v>0.79320930838323311</v>
      </c>
      <c r="S176">
        <v>0.932992700319484</v>
      </c>
      <c r="T176" s="18">
        <v>0.25</v>
      </c>
      <c r="U176" s="11" t="s">
        <v>101</v>
      </c>
      <c r="V176" s="11" t="s">
        <v>101</v>
      </c>
      <c r="W176" s="11" t="s">
        <v>101</v>
      </c>
      <c r="X176" s="11" t="s">
        <v>101</v>
      </c>
      <c r="Y176" s="11" t="s">
        <v>101</v>
      </c>
      <c r="Z176" s="11" t="s">
        <v>101</v>
      </c>
      <c r="AA176" s="11" t="s">
        <v>101</v>
      </c>
      <c r="AB176" s="11" t="s">
        <v>101</v>
      </c>
      <c r="AD176" s="3"/>
    </row>
    <row r="177" spans="1:30">
      <c r="A177" s="20" t="s">
        <v>201</v>
      </c>
      <c r="B177">
        <f>AVERAGE(63,100)</f>
        <v>81.5</v>
      </c>
      <c r="C177">
        <f>STDEV(63,100)</f>
        <v>26.16295090390226</v>
      </c>
      <c r="D177">
        <v>99.07</v>
      </c>
      <c r="E177">
        <v>0.17</v>
      </c>
      <c r="F177">
        <v>1.1499999999999999</v>
      </c>
      <c r="G177">
        <v>0.01</v>
      </c>
      <c r="H177">
        <v>0.1</v>
      </c>
      <c r="I177">
        <v>0.02</v>
      </c>
      <c r="J177">
        <v>0.01</v>
      </c>
      <c r="K177">
        <v>0</v>
      </c>
      <c r="L177">
        <v>0.03</v>
      </c>
      <c r="M177">
        <v>0</v>
      </c>
      <c r="N177">
        <v>0</v>
      </c>
      <c r="O177">
        <v>0</v>
      </c>
      <c r="P177" s="3">
        <f t="shared" si="27"/>
        <v>0.27</v>
      </c>
      <c r="Q177">
        <v>2.9575694444444499E-5</v>
      </c>
      <c r="R177" s="14">
        <v>0.72955560978043887</v>
      </c>
      <c r="S177">
        <v>0.90947337755863555</v>
      </c>
      <c r="T177" s="18">
        <v>0.25</v>
      </c>
      <c r="U177" s="11" t="s">
        <v>101</v>
      </c>
      <c r="V177" s="11" t="s">
        <v>101</v>
      </c>
      <c r="W177" s="11" t="s">
        <v>101</v>
      </c>
      <c r="X177" s="11" t="s">
        <v>101</v>
      </c>
      <c r="Y177" s="11" t="s">
        <v>101</v>
      </c>
      <c r="Z177" s="11" t="s">
        <v>101</v>
      </c>
      <c r="AA177" s="11" t="s">
        <v>101</v>
      </c>
      <c r="AB177" s="11" t="s">
        <v>101</v>
      </c>
      <c r="AD177" s="3"/>
    </row>
    <row r="178" spans="1:30">
      <c r="A178" s="20" t="s">
        <v>202</v>
      </c>
      <c r="B178">
        <f>AVERAGE(100,125)</f>
        <v>112.5</v>
      </c>
      <c r="C178">
        <f>STDEV(100,125)</f>
        <v>17.677669529663689</v>
      </c>
      <c r="D178">
        <v>99.07</v>
      </c>
      <c r="E178">
        <v>0.17</v>
      </c>
      <c r="F178">
        <v>1.1499999999999999</v>
      </c>
      <c r="G178">
        <v>0.01</v>
      </c>
      <c r="H178">
        <v>0.1</v>
      </c>
      <c r="I178">
        <v>0.02</v>
      </c>
      <c r="J178">
        <v>0.01</v>
      </c>
      <c r="K178">
        <v>0</v>
      </c>
      <c r="L178">
        <v>0.03</v>
      </c>
      <c r="M178">
        <v>0</v>
      </c>
      <c r="N178">
        <v>0</v>
      </c>
      <c r="O178">
        <v>0</v>
      </c>
      <c r="P178" s="3">
        <f t="shared" si="27"/>
        <v>0.27</v>
      </c>
      <c r="Q178">
        <v>1.9185833333333345E-5</v>
      </c>
      <c r="R178" s="14">
        <v>0.68154299550898245</v>
      </c>
      <c r="S178">
        <v>0.9252258097940822</v>
      </c>
      <c r="T178" s="18">
        <v>0.25</v>
      </c>
      <c r="U178" s="11" t="s">
        <v>101</v>
      </c>
      <c r="V178" s="11" t="s">
        <v>101</v>
      </c>
      <c r="W178" s="11" t="s">
        <v>101</v>
      </c>
      <c r="X178" s="11" t="s">
        <v>101</v>
      </c>
      <c r="Y178" s="11" t="s">
        <v>101</v>
      </c>
      <c r="Z178" s="11" t="s">
        <v>101</v>
      </c>
      <c r="AA178" s="11" t="s">
        <v>101</v>
      </c>
      <c r="AB178" s="11" t="s">
        <v>101</v>
      </c>
      <c r="AD178" s="3"/>
    </row>
    <row r="179" spans="1:30">
      <c r="A179" s="20" t="s">
        <v>203</v>
      </c>
      <c r="B179">
        <f>AVERAGE(125,150)</f>
        <v>137.5</v>
      </c>
      <c r="C179">
        <f>STDEV(125,150)</f>
        <v>17.677669529663689</v>
      </c>
      <c r="D179">
        <v>99.07</v>
      </c>
      <c r="E179">
        <v>0.17</v>
      </c>
      <c r="F179">
        <v>1.1499999999999999</v>
      </c>
      <c r="G179">
        <v>0.01</v>
      </c>
      <c r="H179">
        <v>0.1</v>
      </c>
      <c r="I179">
        <v>0.02</v>
      </c>
      <c r="J179">
        <v>0.01</v>
      </c>
      <c r="K179">
        <v>0</v>
      </c>
      <c r="L179">
        <v>0.03</v>
      </c>
      <c r="M179">
        <v>0</v>
      </c>
      <c r="N179">
        <v>0</v>
      </c>
      <c r="O179">
        <v>0</v>
      </c>
      <c r="P179" s="3">
        <f t="shared" si="27"/>
        <v>0.27</v>
      </c>
      <c r="Q179">
        <v>5.7454305555555544E-5</v>
      </c>
      <c r="R179" s="14">
        <v>0.58109890818363319</v>
      </c>
      <c r="S179">
        <v>0.87432122663134859</v>
      </c>
      <c r="T179" s="18">
        <v>0.25</v>
      </c>
      <c r="U179" s="11" t="s">
        <v>101</v>
      </c>
      <c r="V179" s="11" t="s">
        <v>101</v>
      </c>
      <c r="W179" s="11" t="s">
        <v>101</v>
      </c>
      <c r="X179" s="11" t="s">
        <v>101</v>
      </c>
      <c r="Y179" s="11" t="s">
        <v>101</v>
      </c>
      <c r="Z179" s="11" t="s">
        <v>101</v>
      </c>
      <c r="AA179" s="11" t="s">
        <v>101</v>
      </c>
      <c r="AB179" s="11" t="s">
        <v>101</v>
      </c>
      <c r="AD179" s="3"/>
    </row>
    <row r="180" spans="1:30">
      <c r="A180" s="20" t="s">
        <v>204</v>
      </c>
      <c r="B180">
        <f>AVERAGE(150,180)</f>
        <v>165</v>
      </c>
      <c r="C180">
        <f>STDEV(150,180)</f>
        <v>21.213203435596427</v>
      </c>
      <c r="D180">
        <v>99.07</v>
      </c>
      <c r="E180">
        <v>0.17</v>
      </c>
      <c r="F180">
        <v>1.1499999999999999</v>
      </c>
      <c r="G180">
        <v>0.01</v>
      </c>
      <c r="H180">
        <v>0.1</v>
      </c>
      <c r="I180">
        <v>0.02</v>
      </c>
      <c r="J180">
        <v>0.01</v>
      </c>
      <c r="K180">
        <v>0</v>
      </c>
      <c r="L180">
        <v>0.03</v>
      </c>
      <c r="M180">
        <v>0</v>
      </c>
      <c r="N180">
        <v>0</v>
      </c>
      <c r="O180">
        <v>0</v>
      </c>
      <c r="P180" s="3">
        <f t="shared" si="27"/>
        <v>0.27</v>
      </c>
      <c r="Q180">
        <v>5.1217916666666653E-5</v>
      </c>
      <c r="R180" s="14">
        <v>0.56668928842315391</v>
      </c>
      <c r="S180">
        <v>0.89044632253900746</v>
      </c>
      <c r="T180" s="18">
        <v>0.25</v>
      </c>
      <c r="U180" s="11" t="s">
        <v>101</v>
      </c>
      <c r="V180" s="11" t="s">
        <v>101</v>
      </c>
      <c r="W180" s="11" t="s">
        <v>101</v>
      </c>
      <c r="X180" s="11" t="s">
        <v>101</v>
      </c>
      <c r="Y180" s="11" t="s">
        <v>101</v>
      </c>
      <c r="Z180" s="11" t="s">
        <v>101</v>
      </c>
      <c r="AA180" s="11" t="s">
        <v>101</v>
      </c>
      <c r="AB180" s="11" t="s">
        <v>101</v>
      </c>
      <c r="AD180" s="3"/>
    </row>
    <row r="181" spans="1:30">
      <c r="A181" s="20" t="s">
        <v>205</v>
      </c>
      <c r="B181">
        <f>AVERAGE(180,200)</f>
        <v>190</v>
      </c>
      <c r="C181">
        <f>STDEV(180,200)</f>
        <v>14.142135623730951</v>
      </c>
      <c r="D181">
        <v>99.07</v>
      </c>
      <c r="E181">
        <v>0.17</v>
      </c>
      <c r="F181">
        <v>1.1499999999999999</v>
      </c>
      <c r="G181">
        <v>0.01</v>
      </c>
      <c r="H181">
        <v>0.1</v>
      </c>
      <c r="I181">
        <v>0.02</v>
      </c>
      <c r="J181">
        <v>0.01</v>
      </c>
      <c r="K181">
        <v>0</v>
      </c>
      <c r="L181">
        <v>0.03</v>
      </c>
      <c r="M181">
        <v>0</v>
      </c>
      <c r="N181">
        <v>0</v>
      </c>
      <c r="O181">
        <v>0</v>
      </c>
      <c r="P181" s="3">
        <f t="shared" si="27"/>
        <v>0.27</v>
      </c>
      <c r="Q181">
        <v>2.8719583333333379E-5</v>
      </c>
      <c r="R181" s="14">
        <v>0.58180313822355278</v>
      </c>
      <c r="S181">
        <v>0.87884367519793771</v>
      </c>
      <c r="T181" s="18">
        <v>0.25</v>
      </c>
      <c r="U181" s="11" t="s">
        <v>101</v>
      </c>
      <c r="V181" s="11" t="s">
        <v>101</v>
      </c>
      <c r="W181" s="11" t="s">
        <v>101</v>
      </c>
      <c r="X181" s="11" t="s">
        <v>101</v>
      </c>
      <c r="Y181" s="11" t="s">
        <v>101</v>
      </c>
      <c r="Z181" s="11" t="s">
        <v>101</v>
      </c>
      <c r="AA181" s="11" t="s">
        <v>101</v>
      </c>
      <c r="AB181" s="11" t="s">
        <v>101</v>
      </c>
      <c r="AD181" s="3"/>
    </row>
    <row r="182" spans="1:30">
      <c r="A182" s="20" t="s">
        <v>206</v>
      </c>
      <c r="B182">
        <f>AVERAGE(200,250)</f>
        <v>225</v>
      </c>
      <c r="C182">
        <f>STDEV(200,250)</f>
        <v>35.355339059327378</v>
      </c>
      <c r="D182">
        <v>99.07</v>
      </c>
      <c r="E182">
        <v>0.17</v>
      </c>
      <c r="F182">
        <v>1.1499999999999999</v>
      </c>
      <c r="G182">
        <v>0.01</v>
      </c>
      <c r="H182">
        <v>0.1</v>
      </c>
      <c r="I182">
        <v>0.02</v>
      </c>
      <c r="J182">
        <v>0.01</v>
      </c>
      <c r="K182">
        <v>0</v>
      </c>
      <c r="L182">
        <v>0.03</v>
      </c>
      <c r="M182">
        <v>0</v>
      </c>
      <c r="N182">
        <v>0</v>
      </c>
      <c r="O182">
        <v>0</v>
      </c>
      <c r="P182" s="3">
        <f t="shared" si="27"/>
        <v>0.27</v>
      </c>
      <c r="Q182">
        <v>1.2417361111111074E-5</v>
      </c>
      <c r="R182" s="14">
        <v>0.56251227944111715</v>
      </c>
      <c r="S182">
        <v>0.90207075330528308</v>
      </c>
      <c r="T182" s="18">
        <v>0.25</v>
      </c>
      <c r="U182" s="11" t="s">
        <v>101</v>
      </c>
      <c r="V182" s="11" t="s">
        <v>101</v>
      </c>
      <c r="W182" s="11" t="s">
        <v>101</v>
      </c>
      <c r="X182" s="11" t="s">
        <v>101</v>
      </c>
      <c r="Y182" s="11" t="s">
        <v>101</v>
      </c>
      <c r="Z182" s="11" t="s">
        <v>101</v>
      </c>
      <c r="AA182" s="11" t="s">
        <v>101</v>
      </c>
      <c r="AB182" s="11" t="s">
        <v>101</v>
      </c>
      <c r="AD182" s="3"/>
    </row>
    <row r="183" spans="1:30" s="30" customFormat="1">
      <c r="A183" s="25" t="s">
        <v>207</v>
      </c>
      <c r="B183" s="30">
        <f>AVERAGE(0,25)</f>
        <v>12.5</v>
      </c>
      <c r="C183" s="30">
        <f>STDEV(0,25)</f>
        <v>17.677669529663689</v>
      </c>
      <c r="D183" s="30">
        <v>57.59</v>
      </c>
      <c r="E183" s="30">
        <v>2.02</v>
      </c>
      <c r="F183" s="30">
        <v>14.67</v>
      </c>
      <c r="G183" s="30">
        <v>0.02</v>
      </c>
      <c r="H183" s="30">
        <v>11.67</v>
      </c>
      <c r="I183" s="30">
        <v>0.16</v>
      </c>
      <c r="J183" s="30">
        <v>3.08</v>
      </c>
      <c r="K183" s="30">
        <v>6.53</v>
      </c>
      <c r="L183" s="30">
        <v>1.28</v>
      </c>
      <c r="M183" s="30">
        <v>1.62</v>
      </c>
      <c r="N183" s="30">
        <v>0.65</v>
      </c>
      <c r="O183" s="30">
        <f t="shared" si="24"/>
        <v>0.70999999999999375</v>
      </c>
      <c r="P183" s="28">
        <f t="shared" si="27"/>
        <v>13.69</v>
      </c>
      <c r="Q183" s="30">
        <v>5.4629583333333333E-5</v>
      </c>
      <c r="R183" s="35">
        <v>0.10940056087824357</v>
      </c>
      <c r="S183" s="30">
        <v>0.45677915445078338</v>
      </c>
      <c r="T183">
        <v>0.5</v>
      </c>
      <c r="U183" s="34" t="s">
        <v>101</v>
      </c>
      <c r="V183" s="34" t="s">
        <v>101</v>
      </c>
      <c r="W183" s="34" t="s">
        <v>101</v>
      </c>
      <c r="X183" s="34" t="s">
        <v>101</v>
      </c>
      <c r="Y183" s="34" t="s">
        <v>101</v>
      </c>
      <c r="Z183" s="34" t="s">
        <v>101</v>
      </c>
      <c r="AA183" s="34" t="s">
        <v>101</v>
      </c>
      <c r="AB183" s="34" t="s">
        <v>101</v>
      </c>
      <c r="AD183" s="28"/>
    </row>
    <row r="184" spans="1:30">
      <c r="A184" s="20" t="s">
        <v>208</v>
      </c>
      <c r="B184">
        <f>AVERAGE(25,63)</f>
        <v>44</v>
      </c>
      <c r="C184">
        <f>STDEV(25,63)</f>
        <v>26.870057685088806</v>
      </c>
      <c r="D184">
        <v>57.59</v>
      </c>
      <c r="E184">
        <v>2.02</v>
      </c>
      <c r="F184">
        <v>14.67</v>
      </c>
      <c r="G184">
        <v>0.02</v>
      </c>
      <c r="H184">
        <v>11.67</v>
      </c>
      <c r="I184">
        <v>0.16</v>
      </c>
      <c r="J184">
        <v>3.08</v>
      </c>
      <c r="K184">
        <v>6.53</v>
      </c>
      <c r="L184">
        <v>1.28</v>
      </c>
      <c r="M184">
        <v>1.62</v>
      </c>
      <c r="N184">
        <v>0.65</v>
      </c>
      <c r="O184">
        <f t="shared" si="24"/>
        <v>0.70999999999999375</v>
      </c>
      <c r="P184" s="3">
        <f t="shared" si="27"/>
        <v>13.69</v>
      </c>
      <c r="Q184">
        <v>2.0680555555555558E-5</v>
      </c>
      <c r="R184" s="14">
        <v>6.08316936127744E-2</v>
      </c>
      <c r="S184">
        <v>0.59809561888684037</v>
      </c>
      <c r="T184">
        <v>0.5</v>
      </c>
      <c r="U184" s="11" t="s">
        <v>101</v>
      </c>
      <c r="V184" s="11" t="s">
        <v>101</v>
      </c>
      <c r="W184" s="11" t="s">
        <v>101</v>
      </c>
      <c r="X184" s="11" t="s">
        <v>101</v>
      </c>
      <c r="Y184" s="11" t="s">
        <v>101</v>
      </c>
      <c r="Z184" s="11" t="s">
        <v>101</v>
      </c>
      <c r="AA184" s="11" t="s">
        <v>101</v>
      </c>
      <c r="AB184" s="11" t="s">
        <v>101</v>
      </c>
      <c r="AD184" s="3"/>
    </row>
    <row r="185" spans="1:30">
      <c r="A185" s="20" t="s">
        <v>209</v>
      </c>
      <c r="B185">
        <f>AVERAGE(63,100)</f>
        <v>81.5</v>
      </c>
      <c r="C185">
        <f>STDEV(63,100)</f>
        <v>26.16295090390226</v>
      </c>
      <c r="D185">
        <v>57.59</v>
      </c>
      <c r="E185">
        <v>2.02</v>
      </c>
      <c r="F185">
        <v>14.67</v>
      </c>
      <c r="G185">
        <v>0.02</v>
      </c>
      <c r="H185">
        <v>11.67</v>
      </c>
      <c r="I185">
        <v>0.16</v>
      </c>
      <c r="J185">
        <v>3.08</v>
      </c>
      <c r="K185">
        <v>6.53</v>
      </c>
      <c r="L185">
        <v>1.28</v>
      </c>
      <c r="M185">
        <v>1.62</v>
      </c>
      <c r="N185">
        <v>0.65</v>
      </c>
      <c r="O185">
        <f t="shared" si="24"/>
        <v>0.70999999999999375</v>
      </c>
      <c r="P185" s="3">
        <f t="shared" si="27"/>
        <v>13.69</v>
      </c>
      <c r="Q185">
        <v>1.4978194444444444E-5</v>
      </c>
      <c r="R185" s="14">
        <v>5.1181472554890195E-2</v>
      </c>
      <c r="S185">
        <v>0.6350337518026028</v>
      </c>
      <c r="T185">
        <v>0.5</v>
      </c>
      <c r="U185" s="11" t="s">
        <v>101</v>
      </c>
      <c r="V185" s="11" t="s">
        <v>101</v>
      </c>
      <c r="W185" s="11" t="s">
        <v>101</v>
      </c>
      <c r="X185" s="11" t="s">
        <v>101</v>
      </c>
      <c r="Y185" s="11" t="s">
        <v>101</v>
      </c>
      <c r="Z185" s="11" t="s">
        <v>101</v>
      </c>
      <c r="AA185" s="11" t="s">
        <v>101</v>
      </c>
      <c r="AB185" s="11" t="s">
        <v>101</v>
      </c>
      <c r="AD185" s="3"/>
    </row>
    <row r="186" spans="1:30">
      <c r="A186" s="20" t="s">
        <v>210</v>
      </c>
      <c r="B186">
        <f>AVERAGE(100,125)</f>
        <v>112.5</v>
      </c>
      <c r="C186">
        <f>STDEV(100,125)</f>
        <v>17.677669529663689</v>
      </c>
      <c r="D186">
        <v>57.59</v>
      </c>
      <c r="E186">
        <v>2.02</v>
      </c>
      <c r="F186">
        <v>14.67</v>
      </c>
      <c r="G186">
        <v>0.02</v>
      </c>
      <c r="H186">
        <v>11.67</v>
      </c>
      <c r="I186">
        <v>0.16</v>
      </c>
      <c r="J186">
        <v>3.08</v>
      </c>
      <c r="K186">
        <v>6.53</v>
      </c>
      <c r="L186">
        <v>1.28</v>
      </c>
      <c r="M186">
        <v>1.62</v>
      </c>
      <c r="N186">
        <v>0.65</v>
      </c>
      <c r="O186">
        <f t="shared" si="24"/>
        <v>0.70999999999999375</v>
      </c>
      <c r="P186" s="3">
        <f t="shared" si="27"/>
        <v>13.69</v>
      </c>
      <c r="Q186">
        <v>1.2529305555555557E-5</v>
      </c>
      <c r="R186" s="14">
        <v>5.0494597305389209E-2</v>
      </c>
      <c r="S186">
        <v>0.65068235883310377</v>
      </c>
      <c r="T186">
        <v>0.5</v>
      </c>
      <c r="U186" s="11" t="s">
        <v>101</v>
      </c>
      <c r="V186" s="11" t="s">
        <v>101</v>
      </c>
      <c r="W186" s="11" t="s">
        <v>101</v>
      </c>
      <c r="X186" s="11" t="s">
        <v>101</v>
      </c>
      <c r="Y186" s="11" t="s">
        <v>101</v>
      </c>
      <c r="Z186" s="11" t="s">
        <v>101</v>
      </c>
      <c r="AA186" s="11" t="s">
        <v>101</v>
      </c>
      <c r="AB186" s="11" t="s">
        <v>101</v>
      </c>
      <c r="AD186" s="3"/>
    </row>
    <row r="187" spans="1:30">
      <c r="A187" s="20" t="s">
        <v>212</v>
      </c>
      <c r="B187">
        <f>AVERAGE(125,180)</f>
        <v>152.5</v>
      </c>
      <c r="C187">
        <f>STDEV(125,180)</f>
        <v>38.890872965260115</v>
      </c>
      <c r="D187">
        <v>57.59</v>
      </c>
      <c r="E187">
        <v>2.02</v>
      </c>
      <c r="F187">
        <v>14.67</v>
      </c>
      <c r="G187">
        <v>0.02</v>
      </c>
      <c r="H187">
        <v>11.67</v>
      </c>
      <c r="I187">
        <v>0.16</v>
      </c>
      <c r="J187">
        <v>3.08</v>
      </c>
      <c r="K187">
        <v>6.53</v>
      </c>
      <c r="L187">
        <v>1.28</v>
      </c>
      <c r="M187">
        <v>1.62</v>
      </c>
      <c r="N187">
        <v>0.65</v>
      </c>
      <c r="O187">
        <f t="shared" si="24"/>
        <v>0.70999999999999375</v>
      </c>
      <c r="P187" s="3">
        <f t="shared" si="27"/>
        <v>13.69</v>
      </c>
      <c r="Q187">
        <v>9.3418055555555537E-6</v>
      </c>
      <c r="R187" s="14">
        <v>4.9402761976047933E-2</v>
      </c>
      <c r="S187">
        <v>0.70030028923564414</v>
      </c>
      <c r="T187">
        <v>0.5</v>
      </c>
      <c r="U187" s="11" t="s">
        <v>101</v>
      </c>
      <c r="V187" s="11" t="s">
        <v>101</v>
      </c>
      <c r="W187" s="11" t="s">
        <v>101</v>
      </c>
      <c r="X187" s="11" t="s">
        <v>101</v>
      </c>
      <c r="Y187" s="11" t="s">
        <v>101</v>
      </c>
      <c r="Z187" s="11" t="s">
        <v>101</v>
      </c>
      <c r="AA187" s="11" t="s">
        <v>101</v>
      </c>
      <c r="AB187" s="11" t="s">
        <v>101</v>
      </c>
      <c r="AD187" s="3"/>
    </row>
    <row r="188" spans="1:30">
      <c r="A188" s="20" t="s">
        <v>211</v>
      </c>
      <c r="B188">
        <f>AVERAGE(180,250)</f>
        <v>215</v>
      </c>
      <c r="C188">
        <f>STDEV(180,250)</f>
        <v>49.497474683058329</v>
      </c>
      <c r="D188">
        <v>57.59</v>
      </c>
      <c r="E188">
        <v>2.02</v>
      </c>
      <c r="F188">
        <v>14.67</v>
      </c>
      <c r="G188">
        <v>0.02</v>
      </c>
      <c r="H188">
        <v>11.67</v>
      </c>
      <c r="I188">
        <v>0.16</v>
      </c>
      <c r="J188">
        <v>3.08</v>
      </c>
      <c r="K188">
        <v>6.53</v>
      </c>
      <c r="L188">
        <v>1.28</v>
      </c>
      <c r="M188">
        <v>1.62</v>
      </c>
      <c r="N188">
        <v>0.65</v>
      </c>
      <c r="O188">
        <f t="shared" si="24"/>
        <v>0.70999999999999375</v>
      </c>
      <c r="P188" s="3">
        <f t="shared" si="27"/>
        <v>13.69</v>
      </c>
      <c r="Q188">
        <v>1.4813472222222222E-5</v>
      </c>
      <c r="R188" s="14">
        <v>4.7454203093812333E-2</v>
      </c>
      <c r="S188">
        <v>0.58865508912290077</v>
      </c>
      <c r="T188">
        <v>0.5</v>
      </c>
      <c r="U188" s="11" t="s">
        <v>101</v>
      </c>
      <c r="V188" s="11" t="s">
        <v>101</v>
      </c>
      <c r="W188" s="11" t="s">
        <v>101</v>
      </c>
      <c r="X188" s="11" t="s">
        <v>101</v>
      </c>
      <c r="Y188" s="11" t="s">
        <v>101</v>
      </c>
      <c r="Z188" s="11" t="s">
        <v>101</v>
      </c>
      <c r="AA188" s="11" t="s">
        <v>101</v>
      </c>
      <c r="AB188" s="11" t="s">
        <v>101</v>
      </c>
      <c r="AD188" s="3"/>
    </row>
    <row r="189" spans="1:30" s="30" customFormat="1">
      <c r="A189" s="25" t="s">
        <v>213</v>
      </c>
      <c r="B189" s="30">
        <v>12.5</v>
      </c>
      <c r="C189" s="30">
        <f>STDEV(0,25)</f>
        <v>17.677669529663689</v>
      </c>
      <c r="D189" s="30">
        <v>72.7</v>
      </c>
      <c r="E189" s="30">
        <v>0.76</v>
      </c>
      <c r="F189" s="30">
        <v>13.17</v>
      </c>
      <c r="G189" s="30">
        <v>0.02</v>
      </c>
      <c r="H189" s="30">
        <v>4.79</v>
      </c>
      <c r="I189" s="30">
        <v>0.11</v>
      </c>
      <c r="J189" s="30">
        <v>1.96</v>
      </c>
      <c r="K189" s="30">
        <v>1.89</v>
      </c>
      <c r="L189" s="30">
        <v>1.24</v>
      </c>
      <c r="M189" s="30">
        <v>2.44</v>
      </c>
      <c r="N189" s="30">
        <v>0</v>
      </c>
      <c r="O189" s="30">
        <f t="shared" si="24"/>
        <v>0.92000000000000171</v>
      </c>
      <c r="P189" s="28">
        <f t="shared" si="27"/>
        <v>5.55</v>
      </c>
      <c r="Q189" s="30">
        <v>8.4051111111111101E-5</v>
      </c>
      <c r="R189" s="30">
        <v>0.50079895059880253</v>
      </c>
      <c r="S189" s="30">
        <v>0.7538304016827051</v>
      </c>
      <c r="T189">
        <v>4.7E-2</v>
      </c>
      <c r="U189" s="34" t="s">
        <v>101</v>
      </c>
      <c r="V189" s="34" t="s">
        <v>101</v>
      </c>
      <c r="W189" s="34" t="s">
        <v>101</v>
      </c>
      <c r="X189" s="34" t="s">
        <v>101</v>
      </c>
      <c r="Y189" s="34" t="s">
        <v>101</v>
      </c>
      <c r="Z189" s="34" t="s">
        <v>101</v>
      </c>
      <c r="AA189" s="34" t="s">
        <v>101</v>
      </c>
      <c r="AB189" s="34" t="s">
        <v>101</v>
      </c>
      <c r="AD189" s="28"/>
    </row>
    <row r="190" spans="1:30">
      <c r="A190" s="20" t="s">
        <v>214</v>
      </c>
      <c r="B190">
        <v>44</v>
      </c>
      <c r="C190">
        <f>STDEV(25,63)</f>
        <v>26.870057685088806</v>
      </c>
      <c r="D190">
        <v>72.7</v>
      </c>
      <c r="E190">
        <v>0.76</v>
      </c>
      <c r="F190">
        <v>13.17</v>
      </c>
      <c r="G190">
        <v>0.02</v>
      </c>
      <c r="H190">
        <v>4.79</v>
      </c>
      <c r="I190">
        <v>0.11</v>
      </c>
      <c r="J190">
        <v>1.96</v>
      </c>
      <c r="K190">
        <v>1.89</v>
      </c>
      <c r="L190">
        <v>1.24</v>
      </c>
      <c r="M190">
        <v>2.44</v>
      </c>
      <c r="N190">
        <v>0</v>
      </c>
      <c r="O190">
        <f t="shared" si="24"/>
        <v>0.92000000000000171</v>
      </c>
      <c r="P190" s="3">
        <f t="shared" si="27"/>
        <v>5.55</v>
      </c>
      <c r="Q190">
        <v>8.1528611111111106E-5</v>
      </c>
      <c r="R190">
        <v>0.34752187674650703</v>
      </c>
      <c r="S190">
        <v>0.64474058623368613</v>
      </c>
      <c r="T190">
        <v>4.7E-2</v>
      </c>
      <c r="U190" s="11" t="s">
        <v>101</v>
      </c>
      <c r="V190" s="11" t="s">
        <v>101</v>
      </c>
      <c r="W190" s="11" t="s">
        <v>101</v>
      </c>
      <c r="X190" s="11" t="s">
        <v>101</v>
      </c>
      <c r="Y190" s="11" t="s">
        <v>101</v>
      </c>
      <c r="Z190" s="11" t="s">
        <v>101</v>
      </c>
      <c r="AA190" s="11" t="s">
        <v>101</v>
      </c>
      <c r="AB190" s="11" t="s">
        <v>101</v>
      </c>
      <c r="AD190" s="3"/>
    </row>
    <row r="191" spans="1:30">
      <c r="A191" s="20" t="s">
        <v>215</v>
      </c>
      <c r="B191">
        <v>81.5</v>
      </c>
      <c r="C191">
        <f>STDEV(63,100)</f>
        <v>26.16295090390226</v>
      </c>
      <c r="D191">
        <v>72.7</v>
      </c>
      <c r="E191">
        <v>0.76</v>
      </c>
      <c r="F191">
        <v>13.17</v>
      </c>
      <c r="G191">
        <v>0.02</v>
      </c>
      <c r="H191">
        <v>4.79</v>
      </c>
      <c r="I191">
        <v>0.11</v>
      </c>
      <c r="J191">
        <v>1.96</v>
      </c>
      <c r="K191">
        <v>1.89</v>
      </c>
      <c r="L191">
        <v>1.24</v>
      </c>
      <c r="M191">
        <v>2.44</v>
      </c>
      <c r="N191">
        <v>0</v>
      </c>
      <c r="O191">
        <f t="shared" si="24"/>
        <v>0.92000000000000171</v>
      </c>
      <c r="P191" s="3">
        <f t="shared" si="27"/>
        <v>5.55</v>
      </c>
      <c r="Q191">
        <v>7.1027111111111085E-5</v>
      </c>
      <c r="R191">
        <v>0.25628455209580836</v>
      </c>
      <c r="S191">
        <v>0.57933013716022919</v>
      </c>
      <c r="T191">
        <v>4.7E-2</v>
      </c>
      <c r="U191" s="11" t="s">
        <v>101</v>
      </c>
      <c r="V191" s="11" t="s">
        <v>101</v>
      </c>
      <c r="W191" s="11" t="s">
        <v>101</v>
      </c>
      <c r="X191" s="11" t="s">
        <v>101</v>
      </c>
      <c r="Y191" s="11" t="s">
        <v>101</v>
      </c>
      <c r="Z191" s="11" t="s">
        <v>101</v>
      </c>
      <c r="AA191" s="11" t="s">
        <v>101</v>
      </c>
      <c r="AB191" s="11" t="s">
        <v>101</v>
      </c>
      <c r="AD191" s="3"/>
    </row>
    <row r="192" spans="1:30">
      <c r="A192" s="20" t="s">
        <v>216</v>
      </c>
      <c r="B192">
        <v>112.5</v>
      </c>
      <c r="C192">
        <f>STDEV(100,125)</f>
        <v>17.677669529663689</v>
      </c>
      <c r="D192">
        <v>72.7</v>
      </c>
      <c r="E192">
        <v>0.76</v>
      </c>
      <c r="F192">
        <v>13.17</v>
      </c>
      <c r="G192">
        <v>0.02</v>
      </c>
      <c r="H192">
        <v>4.79</v>
      </c>
      <c r="I192">
        <v>0.11</v>
      </c>
      <c r="J192">
        <v>1.96</v>
      </c>
      <c r="K192">
        <v>1.89</v>
      </c>
      <c r="L192">
        <v>1.24</v>
      </c>
      <c r="M192">
        <v>2.44</v>
      </c>
      <c r="N192">
        <v>0</v>
      </c>
      <c r="O192">
        <f t="shared" si="24"/>
        <v>0.92000000000000171</v>
      </c>
      <c r="P192" s="3">
        <f t="shared" si="27"/>
        <v>5.55</v>
      </c>
      <c r="Q192">
        <v>5.9397361111111114E-5</v>
      </c>
      <c r="R192">
        <v>0.21285937724550899</v>
      </c>
      <c r="S192">
        <v>0.55222402791868219</v>
      </c>
      <c r="T192">
        <v>4.7E-2</v>
      </c>
      <c r="U192" s="11" t="s">
        <v>101</v>
      </c>
      <c r="V192" s="11" t="s">
        <v>101</v>
      </c>
      <c r="W192" s="11" t="s">
        <v>101</v>
      </c>
      <c r="X192" s="11" t="s">
        <v>101</v>
      </c>
      <c r="Y192" s="11" t="s">
        <v>101</v>
      </c>
      <c r="Z192" s="11" t="s">
        <v>101</v>
      </c>
      <c r="AA192" s="11" t="s">
        <v>101</v>
      </c>
      <c r="AB192" s="11" t="s">
        <v>101</v>
      </c>
      <c r="AD192" s="3"/>
    </row>
    <row r="193" spans="1:30">
      <c r="A193" s="20" t="s">
        <v>217</v>
      </c>
      <c r="B193">
        <v>137.5</v>
      </c>
      <c r="C193">
        <f>STDEV(125,150)</f>
        <v>17.677669529663689</v>
      </c>
      <c r="D193">
        <v>72.7</v>
      </c>
      <c r="E193">
        <v>0.76</v>
      </c>
      <c r="F193">
        <v>13.17</v>
      </c>
      <c r="G193">
        <v>0.02</v>
      </c>
      <c r="H193">
        <v>4.79</v>
      </c>
      <c r="I193">
        <v>0.11</v>
      </c>
      <c r="J193">
        <v>1.96</v>
      </c>
      <c r="K193">
        <v>1.89</v>
      </c>
      <c r="L193">
        <v>1.24</v>
      </c>
      <c r="M193">
        <v>2.44</v>
      </c>
      <c r="N193">
        <v>0</v>
      </c>
      <c r="O193">
        <f t="shared" si="24"/>
        <v>0.92000000000000171</v>
      </c>
      <c r="P193" s="3">
        <f t="shared" si="27"/>
        <v>5.55</v>
      </c>
      <c r="Q193">
        <v>5.0289722222222225E-5</v>
      </c>
      <c r="R193" s="14">
        <v>0.15073016766467062</v>
      </c>
      <c r="S193">
        <v>0.47702983403212984</v>
      </c>
      <c r="T193">
        <v>4.7E-2</v>
      </c>
      <c r="U193" s="11" t="s">
        <v>101</v>
      </c>
      <c r="V193" s="11" t="s">
        <v>101</v>
      </c>
      <c r="W193" s="11" t="s">
        <v>101</v>
      </c>
      <c r="X193" s="11" t="s">
        <v>101</v>
      </c>
      <c r="Y193" s="11" t="s">
        <v>101</v>
      </c>
      <c r="Z193" s="11" t="s">
        <v>101</v>
      </c>
      <c r="AA193" s="11" t="s">
        <v>101</v>
      </c>
      <c r="AB193" s="11" t="s">
        <v>101</v>
      </c>
      <c r="AD193" s="3"/>
    </row>
    <row r="194" spans="1:30">
      <c r="A194" s="20" t="s">
        <v>218</v>
      </c>
      <c r="B194">
        <v>165</v>
      </c>
      <c r="C194">
        <f>STDEV(150,180)</f>
        <v>21.213203435596427</v>
      </c>
      <c r="D194">
        <v>72.7</v>
      </c>
      <c r="E194">
        <v>0.76</v>
      </c>
      <c r="F194">
        <v>13.17</v>
      </c>
      <c r="G194">
        <v>0.02</v>
      </c>
      <c r="H194">
        <v>4.79</v>
      </c>
      <c r="I194">
        <v>0.11</v>
      </c>
      <c r="J194">
        <v>1.96</v>
      </c>
      <c r="K194">
        <v>1.89</v>
      </c>
      <c r="L194">
        <v>1.24</v>
      </c>
      <c r="M194">
        <v>2.44</v>
      </c>
      <c r="N194">
        <v>0</v>
      </c>
      <c r="O194">
        <f t="shared" si="24"/>
        <v>0.92000000000000171</v>
      </c>
      <c r="P194" s="3">
        <f t="shared" si="27"/>
        <v>5.55</v>
      </c>
      <c r="Q194">
        <v>5.5546805555555556E-5</v>
      </c>
      <c r="R194" s="14">
        <v>0.16176848552894196</v>
      </c>
      <c r="S194">
        <v>0.48493997872454619</v>
      </c>
      <c r="T194">
        <v>4.7E-2</v>
      </c>
      <c r="U194" s="11" t="s">
        <v>101</v>
      </c>
      <c r="V194" s="11" t="s">
        <v>101</v>
      </c>
      <c r="W194" s="11" t="s">
        <v>101</v>
      </c>
      <c r="X194" s="11" t="s">
        <v>101</v>
      </c>
      <c r="Y194" s="11" t="s">
        <v>101</v>
      </c>
      <c r="Z194" s="11" t="s">
        <v>101</v>
      </c>
      <c r="AA194" s="11" t="s">
        <v>101</v>
      </c>
      <c r="AB194" s="11" t="s">
        <v>101</v>
      </c>
      <c r="AD194" s="3"/>
    </row>
    <row r="195" spans="1:30">
      <c r="A195" s="20" t="s">
        <v>219</v>
      </c>
      <c r="B195">
        <v>190</v>
      </c>
      <c r="C195">
        <f>STDEV(180,200)</f>
        <v>14.142135623730951</v>
      </c>
      <c r="D195">
        <v>72.7</v>
      </c>
      <c r="E195">
        <v>0.76</v>
      </c>
      <c r="F195">
        <v>13.17</v>
      </c>
      <c r="G195">
        <v>0.02</v>
      </c>
      <c r="H195">
        <v>4.79</v>
      </c>
      <c r="I195">
        <v>0.11</v>
      </c>
      <c r="J195">
        <v>1.96</v>
      </c>
      <c r="K195">
        <v>1.89</v>
      </c>
      <c r="L195">
        <v>1.24</v>
      </c>
      <c r="M195">
        <v>2.44</v>
      </c>
      <c r="N195">
        <v>0</v>
      </c>
      <c r="O195">
        <f t="shared" si="24"/>
        <v>0.92000000000000171</v>
      </c>
      <c r="P195" s="3">
        <f t="shared" si="27"/>
        <v>5.55</v>
      </c>
      <c r="Q195">
        <v>4.0719583333333332E-5</v>
      </c>
      <c r="R195" s="14">
        <v>0.12424319560878244</v>
      </c>
      <c r="S195">
        <v>0.47619329144742856</v>
      </c>
      <c r="T195">
        <v>4.7E-2</v>
      </c>
      <c r="U195" s="11" t="s">
        <v>101</v>
      </c>
      <c r="V195" s="11" t="s">
        <v>101</v>
      </c>
      <c r="W195" s="11" t="s">
        <v>101</v>
      </c>
      <c r="X195" s="11" t="s">
        <v>101</v>
      </c>
      <c r="Y195" s="11" t="s">
        <v>101</v>
      </c>
      <c r="Z195" s="11" t="s">
        <v>101</v>
      </c>
      <c r="AA195" s="11" t="s">
        <v>101</v>
      </c>
      <c r="AB195" s="11" t="s">
        <v>101</v>
      </c>
      <c r="AD195" s="3"/>
    </row>
    <row r="196" spans="1:30">
      <c r="A196" s="20" t="s">
        <v>220</v>
      </c>
      <c r="B196">
        <v>225</v>
      </c>
      <c r="C196">
        <f>STDEV(200,250)</f>
        <v>35.355339059327378</v>
      </c>
      <c r="D196">
        <v>72.7</v>
      </c>
      <c r="E196">
        <v>0.76</v>
      </c>
      <c r="F196">
        <v>13.17</v>
      </c>
      <c r="G196">
        <v>0.02</v>
      </c>
      <c r="H196">
        <v>4.79</v>
      </c>
      <c r="I196">
        <v>0.11</v>
      </c>
      <c r="J196">
        <v>1.96</v>
      </c>
      <c r="K196">
        <v>1.89</v>
      </c>
      <c r="L196">
        <v>1.24</v>
      </c>
      <c r="M196">
        <v>2.44</v>
      </c>
      <c r="N196">
        <v>0</v>
      </c>
      <c r="O196">
        <f t="shared" si="24"/>
        <v>0.92000000000000171</v>
      </c>
      <c r="P196" s="3">
        <f t="shared" si="27"/>
        <v>5.55</v>
      </c>
      <c r="Q196">
        <v>3.6988888888888899E-5</v>
      </c>
      <c r="R196" s="14">
        <v>0.12001518612774455</v>
      </c>
      <c r="S196">
        <v>0.46117843186793117</v>
      </c>
      <c r="T196">
        <v>4.7E-2</v>
      </c>
      <c r="U196" s="11" t="s">
        <v>101</v>
      </c>
      <c r="V196" s="11" t="s">
        <v>101</v>
      </c>
      <c r="W196" s="11" t="s">
        <v>101</v>
      </c>
      <c r="X196" s="11" t="s">
        <v>101</v>
      </c>
      <c r="Y196" s="11" t="s">
        <v>101</v>
      </c>
      <c r="Z196" s="11" t="s">
        <v>101</v>
      </c>
      <c r="AA196" s="11" t="s">
        <v>101</v>
      </c>
      <c r="AB196" s="11" t="s">
        <v>101</v>
      </c>
      <c r="AD196" s="3"/>
    </row>
    <row r="197" spans="1:30" s="30" customFormat="1">
      <c r="A197" s="25" t="s">
        <v>221</v>
      </c>
      <c r="B197" s="30">
        <v>12.5</v>
      </c>
      <c r="C197" s="30">
        <f>STDEV(0,25)</f>
        <v>17.677669529663689</v>
      </c>
      <c r="D197" s="30">
        <v>70.650000000000006</v>
      </c>
      <c r="E197" s="30">
        <v>0.86</v>
      </c>
      <c r="F197" s="30">
        <v>14.8</v>
      </c>
      <c r="G197" s="30">
        <v>0.04</v>
      </c>
      <c r="H197" s="30">
        <v>5.45</v>
      </c>
      <c r="I197" s="30">
        <v>0.11</v>
      </c>
      <c r="J197" s="30">
        <v>1.96</v>
      </c>
      <c r="K197" s="30">
        <v>1.33</v>
      </c>
      <c r="L197" s="30">
        <v>1.39</v>
      </c>
      <c r="M197" s="30">
        <v>2.84</v>
      </c>
      <c r="N197" s="30">
        <v>0</v>
      </c>
      <c r="O197" s="30">
        <f t="shared" si="24"/>
        <v>0.56999999999999318</v>
      </c>
      <c r="P197" s="28">
        <f t="shared" si="27"/>
        <v>6.3100000000000005</v>
      </c>
      <c r="Q197" s="30">
        <v>1.0201597222222222E-4</v>
      </c>
      <c r="R197" s="30">
        <v>0.46430813223552925</v>
      </c>
      <c r="S197" s="30">
        <v>0.67261146177612174</v>
      </c>
      <c r="T197">
        <v>7.0999999999999994E-2</v>
      </c>
      <c r="U197" s="34" t="s">
        <v>101</v>
      </c>
      <c r="V197" s="34" t="s">
        <v>101</v>
      </c>
      <c r="W197" s="34" t="s">
        <v>101</v>
      </c>
      <c r="X197" s="34" t="s">
        <v>101</v>
      </c>
      <c r="Y197" s="34" t="s">
        <v>101</v>
      </c>
      <c r="Z197" s="34" t="s">
        <v>101</v>
      </c>
      <c r="AA197" s="34" t="s">
        <v>101</v>
      </c>
      <c r="AB197" s="34" t="s">
        <v>101</v>
      </c>
      <c r="AD197" s="28"/>
    </row>
    <row r="198" spans="1:30">
      <c r="A198" s="20" t="s">
        <v>222</v>
      </c>
      <c r="B198">
        <v>44</v>
      </c>
      <c r="C198">
        <f>STDEV(25,63)</f>
        <v>26.870057685088806</v>
      </c>
      <c r="D198">
        <v>70.650000000000006</v>
      </c>
      <c r="E198">
        <v>0.86</v>
      </c>
      <c r="F198">
        <v>14.8</v>
      </c>
      <c r="G198">
        <v>0.04</v>
      </c>
      <c r="H198">
        <v>5.45</v>
      </c>
      <c r="I198">
        <v>0.11</v>
      </c>
      <c r="J198">
        <v>1.96</v>
      </c>
      <c r="K198">
        <v>1.33</v>
      </c>
      <c r="L198">
        <v>1.39</v>
      </c>
      <c r="M198">
        <v>2.84</v>
      </c>
      <c r="N198">
        <v>0</v>
      </c>
      <c r="O198">
        <f t="shared" si="24"/>
        <v>0.56999999999999318</v>
      </c>
      <c r="P198" s="3">
        <f t="shared" si="27"/>
        <v>6.3100000000000005</v>
      </c>
      <c r="Q198">
        <v>9.7800416666666683E-5</v>
      </c>
      <c r="R198">
        <v>0.30293304191616782</v>
      </c>
      <c r="S198">
        <v>0.53032797264784104</v>
      </c>
      <c r="T198">
        <v>7.0999999999999994E-2</v>
      </c>
      <c r="U198" s="11" t="s">
        <v>101</v>
      </c>
      <c r="V198" s="11" t="s">
        <v>101</v>
      </c>
      <c r="W198" s="11" t="s">
        <v>101</v>
      </c>
      <c r="X198" s="11" t="s">
        <v>101</v>
      </c>
      <c r="Y198" s="11" t="s">
        <v>101</v>
      </c>
      <c r="Z198" s="11" t="s">
        <v>101</v>
      </c>
      <c r="AA198" s="11" t="s">
        <v>101</v>
      </c>
      <c r="AB198" s="11" t="s">
        <v>101</v>
      </c>
      <c r="AD198" s="3"/>
    </row>
    <row r="199" spans="1:30">
      <c r="A199" s="20" t="s">
        <v>223</v>
      </c>
      <c r="B199">
        <v>81.5</v>
      </c>
      <c r="C199">
        <f>STDEV(63,100)</f>
        <v>26.16295090390226</v>
      </c>
      <c r="D199">
        <v>70.650000000000006</v>
      </c>
      <c r="E199">
        <v>0.86</v>
      </c>
      <c r="F199">
        <v>14.8</v>
      </c>
      <c r="G199">
        <v>0.04</v>
      </c>
      <c r="H199">
        <v>5.45</v>
      </c>
      <c r="I199">
        <v>0.11</v>
      </c>
      <c r="J199">
        <v>1.96</v>
      </c>
      <c r="K199">
        <v>1.33</v>
      </c>
      <c r="L199">
        <v>1.39</v>
      </c>
      <c r="M199">
        <v>2.84</v>
      </c>
      <c r="N199">
        <v>0</v>
      </c>
      <c r="O199">
        <f t="shared" si="24"/>
        <v>0.56999999999999318</v>
      </c>
      <c r="P199" s="3">
        <f t="shared" si="27"/>
        <v>6.3100000000000005</v>
      </c>
      <c r="Q199">
        <v>8.7312222222222239E-5</v>
      </c>
      <c r="R199">
        <v>0.2239247189620758</v>
      </c>
      <c r="S199">
        <v>0.45827675744486818</v>
      </c>
      <c r="T199">
        <v>7.0999999999999994E-2</v>
      </c>
      <c r="U199" s="11" t="s">
        <v>101</v>
      </c>
      <c r="V199" s="11" t="s">
        <v>101</v>
      </c>
      <c r="W199" s="11" t="s">
        <v>101</v>
      </c>
      <c r="X199" s="11" t="s">
        <v>101</v>
      </c>
      <c r="Y199" s="11" t="s">
        <v>101</v>
      </c>
      <c r="Z199" s="11" t="s">
        <v>101</v>
      </c>
      <c r="AA199" s="11" t="s">
        <v>101</v>
      </c>
      <c r="AB199" s="11" t="s">
        <v>101</v>
      </c>
      <c r="AD199" s="3"/>
    </row>
    <row r="200" spans="1:30">
      <c r="A200" s="20" t="s">
        <v>224</v>
      </c>
      <c r="B200">
        <v>112.5</v>
      </c>
      <c r="C200">
        <f>STDEV(100,125)</f>
        <v>17.677669529663689</v>
      </c>
      <c r="D200">
        <v>70.650000000000006</v>
      </c>
      <c r="E200">
        <v>0.86</v>
      </c>
      <c r="F200">
        <v>14.8</v>
      </c>
      <c r="G200">
        <v>0.04</v>
      </c>
      <c r="H200">
        <v>5.45</v>
      </c>
      <c r="I200">
        <v>0.11</v>
      </c>
      <c r="J200">
        <v>1.96</v>
      </c>
      <c r="K200">
        <v>1.33</v>
      </c>
      <c r="L200">
        <v>1.39</v>
      </c>
      <c r="M200">
        <v>2.84</v>
      </c>
      <c r="N200">
        <v>0</v>
      </c>
      <c r="O200">
        <f t="shared" si="24"/>
        <v>0.56999999999999318</v>
      </c>
      <c r="P200" s="3">
        <f t="shared" si="27"/>
        <v>6.3100000000000005</v>
      </c>
      <c r="Q200">
        <v>6.7336388888888886E-5</v>
      </c>
      <c r="R200">
        <v>0.17852828093812359</v>
      </c>
      <c r="S200">
        <v>0.44255209785020577</v>
      </c>
      <c r="T200">
        <v>7.0999999999999994E-2</v>
      </c>
      <c r="U200" s="11" t="s">
        <v>101</v>
      </c>
      <c r="V200" s="11" t="s">
        <v>101</v>
      </c>
      <c r="W200" s="11" t="s">
        <v>101</v>
      </c>
      <c r="X200" s="11" t="s">
        <v>101</v>
      </c>
      <c r="Y200" s="11" t="s">
        <v>101</v>
      </c>
      <c r="Z200" s="11" t="s">
        <v>101</v>
      </c>
      <c r="AA200" s="11" t="s">
        <v>101</v>
      </c>
      <c r="AB200" s="11" t="s">
        <v>101</v>
      </c>
      <c r="AD200" s="3"/>
    </row>
    <row r="201" spans="1:30">
      <c r="A201" s="20" t="s">
        <v>225</v>
      </c>
      <c r="B201">
        <v>137.5</v>
      </c>
      <c r="C201">
        <f>STDEV(125,150)</f>
        <v>17.677669529663689</v>
      </c>
      <c r="D201">
        <v>70.650000000000006</v>
      </c>
      <c r="E201">
        <v>0.86</v>
      </c>
      <c r="F201">
        <v>14.8</v>
      </c>
      <c r="G201">
        <v>0.04</v>
      </c>
      <c r="H201">
        <v>5.45</v>
      </c>
      <c r="I201">
        <v>0.11</v>
      </c>
      <c r="J201">
        <v>1.96</v>
      </c>
      <c r="K201">
        <v>1.33</v>
      </c>
      <c r="L201">
        <v>1.39</v>
      </c>
      <c r="M201">
        <v>2.84</v>
      </c>
      <c r="N201">
        <v>0</v>
      </c>
      <c r="O201">
        <f t="shared" si="24"/>
        <v>0.56999999999999318</v>
      </c>
      <c r="P201" s="3">
        <f t="shared" si="27"/>
        <v>6.3100000000000005</v>
      </c>
      <c r="Q201">
        <v>5.9415972222222229E-5</v>
      </c>
      <c r="R201" s="14">
        <v>0.13660242764471053</v>
      </c>
      <c r="S201">
        <v>0.39041315354835909</v>
      </c>
      <c r="T201">
        <v>7.0999999999999994E-2</v>
      </c>
      <c r="U201" s="11" t="s">
        <v>101</v>
      </c>
      <c r="V201" s="11" t="s">
        <v>101</v>
      </c>
      <c r="W201" s="11" t="s">
        <v>101</v>
      </c>
      <c r="X201" s="11" t="s">
        <v>101</v>
      </c>
      <c r="Y201" s="11" t="s">
        <v>101</v>
      </c>
      <c r="Z201" s="11" t="s">
        <v>101</v>
      </c>
      <c r="AA201" s="11" t="s">
        <v>101</v>
      </c>
      <c r="AB201" s="11" t="s">
        <v>101</v>
      </c>
      <c r="AD201" s="3"/>
    </row>
    <row r="202" spans="1:30">
      <c r="A202" s="20" t="s">
        <v>226</v>
      </c>
      <c r="B202">
        <v>165</v>
      </c>
      <c r="C202">
        <f>STDEV(150,180)</f>
        <v>21.213203435596427</v>
      </c>
      <c r="D202">
        <v>70.650000000000006</v>
      </c>
      <c r="E202">
        <v>0.86</v>
      </c>
      <c r="F202">
        <v>14.8</v>
      </c>
      <c r="G202">
        <v>0.04</v>
      </c>
      <c r="H202">
        <v>5.45</v>
      </c>
      <c r="I202">
        <v>0.11</v>
      </c>
      <c r="J202">
        <v>1.96</v>
      </c>
      <c r="K202">
        <v>1.33</v>
      </c>
      <c r="L202">
        <v>1.39</v>
      </c>
      <c r="M202">
        <v>2.84</v>
      </c>
      <c r="N202">
        <v>0</v>
      </c>
      <c r="O202">
        <f t="shared" si="24"/>
        <v>0.56999999999999318</v>
      </c>
      <c r="P202" s="3">
        <f t="shared" si="27"/>
        <v>6.3100000000000005</v>
      </c>
      <c r="Q202">
        <v>6.0883240740740737E-5</v>
      </c>
      <c r="R202" s="14">
        <v>0.11786859148369926</v>
      </c>
      <c r="S202">
        <v>0.29936880817103084</v>
      </c>
      <c r="T202">
        <v>7.0999999999999994E-2</v>
      </c>
      <c r="U202" s="11" t="s">
        <v>101</v>
      </c>
      <c r="V202" s="11" t="s">
        <v>101</v>
      </c>
      <c r="W202" s="11" t="s">
        <v>101</v>
      </c>
      <c r="X202" s="11" t="s">
        <v>101</v>
      </c>
      <c r="Y202" s="11" t="s">
        <v>101</v>
      </c>
      <c r="Z202" s="11" t="s">
        <v>101</v>
      </c>
      <c r="AA202" s="11" t="s">
        <v>101</v>
      </c>
      <c r="AB202" s="11" t="s">
        <v>101</v>
      </c>
      <c r="AD202" s="3"/>
    </row>
    <row r="203" spans="1:30">
      <c r="A203" s="20" t="s">
        <v>227</v>
      </c>
      <c r="B203">
        <v>190</v>
      </c>
      <c r="C203">
        <f>STDEV(180,200)</f>
        <v>14.142135623730951</v>
      </c>
      <c r="D203">
        <v>70.650000000000006</v>
      </c>
      <c r="E203">
        <v>0.86</v>
      </c>
      <c r="F203">
        <v>14.8</v>
      </c>
      <c r="G203">
        <v>0.04</v>
      </c>
      <c r="H203">
        <v>5.45</v>
      </c>
      <c r="I203">
        <v>0.11</v>
      </c>
      <c r="J203">
        <v>1.96</v>
      </c>
      <c r="K203">
        <v>1.33</v>
      </c>
      <c r="L203">
        <v>1.39</v>
      </c>
      <c r="M203">
        <v>2.84</v>
      </c>
      <c r="N203">
        <v>0</v>
      </c>
      <c r="O203">
        <f t="shared" si="24"/>
        <v>0.56999999999999318</v>
      </c>
      <c r="P203" s="3">
        <f t="shared" si="27"/>
        <v>6.3100000000000005</v>
      </c>
      <c r="Q203">
        <v>4.0896250000000014E-5</v>
      </c>
      <c r="R203" s="14">
        <v>0.11149505089820354</v>
      </c>
      <c r="S203">
        <v>0.4536408736355359</v>
      </c>
      <c r="T203">
        <v>7.0999999999999994E-2</v>
      </c>
      <c r="U203" s="11" t="s">
        <v>101</v>
      </c>
      <c r="V203" s="11" t="s">
        <v>101</v>
      </c>
      <c r="W203" s="11" t="s">
        <v>101</v>
      </c>
      <c r="X203" s="11" t="s">
        <v>101</v>
      </c>
      <c r="Y203" s="11" t="s">
        <v>101</v>
      </c>
      <c r="Z203" s="11" t="s">
        <v>101</v>
      </c>
      <c r="AA203" s="11" t="s">
        <v>101</v>
      </c>
      <c r="AB203" s="11" t="s">
        <v>101</v>
      </c>
      <c r="AD203" s="3"/>
    </row>
    <row r="204" spans="1:30">
      <c r="A204" s="20" t="s">
        <v>228</v>
      </c>
      <c r="B204">
        <v>225</v>
      </c>
      <c r="C204">
        <f>STDEV(200,250)</f>
        <v>35.355339059327378</v>
      </c>
      <c r="D204">
        <v>70.650000000000006</v>
      </c>
      <c r="E204">
        <v>0.86</v>
      </c>
      <c r="F204">
        <v>14.8</v>
      </c>
      <c r="G204">
        <v>0.04</v>
      </c>
      <c r="H204">
        <v>5.45</v>
      </c>
      <c r="I204">
        <v>0.11</v>
      </c>
      <c r="J204">
        <v>1.96</v>
      </c>
      <c r="K204">
        <v>1.33</v>
      </c>
      <c r="L204">
        <v>1.39</v>
      </c>
      <c r="M204">
        <v>2.84</v>
      </c>
      <c r="N204">
        <v>0</v>
      </c>
      <c r="O204">
        <f t="shared" si="24"/>
        <v>0.56999999999999318</v>
      </c>
      <c r="P204" s="3">
        <f t="shared" si="27"/>
        <v>6.3100000000000005</v>
      </c>
      <c r="Q204">
        <v>4.3447638888888888E-5</v>
      </c>
      <c r="R204" s="14">
        <v>8.9387829840319302E-2</v>
      </c>
      <c r="S204">
        <v>0.33678938925623064</v>
      </c>
      <c r="T204">
        <v>7.0999999999999994E-2</v>
      </c>
      <c r="U204" s="11" t="s">
        <v>101</v>
      </c>
      <c r="V204" s="11" t="s">
        <v>101</v>
      </c>
      <c r="W204" s="11" t="s">
        <v>101</v>
      </c>
      <c r="X204" s="11" t="s">
        <v>101</v>
      </c>
      <c r="Y204" s="11" t="s">
        <v>101</v>
      </c>
      <c r="Z204" s="11" t="s">
        <v>101</v>
      </c>
      <c r="AA204" s="11" t="s">
        <v>101</v>
      </c>
      <c r="AB204" s="11" t="s">
        <v>101</v>
      </c>
      <c r="AD204" s="3"/>
    </row>
    <row r="205" spans="1:30" s="30" customFormat="1">
      <c r="A205" s="25" t="s">
        <v>229</v>
      </c>
      <c r="B205" s="30">
        <v>12.5</v>
      </c>
      <c r="C205" s="30">
        <f>STDEV(0,25)</f>
        <v>17.677669529663689</v>
      </c>
      <c r="D205" s="30">
        <v>79.81</v>
      </c>
      <c r="E205" s="30">
        <v>0.37</v>
      </c>
      <c r="F205" s="30">
        <v>9.82</v>
      </c>
      <c r="G205" s="30">
        <v>0.02</v>
      </c>
      <c r="H205" s="30">
        <v>1.73</v>
      </c>
      <c r="I205" s="30">
        <v>0.05</v>
      </c>
      <c r="J205" s="30">
        <v>1.53</v>
      </c>
      <c r="K205" s="30">
        <v>1.97</v>
      </c>
      <c r="L205" s="30">
        <v>0.43</v>
      </c>
      <c r="M205" s="30">
        <v>3.43</v>
      </c>
      <c r="N205" s="30">
        <v>0</v>
      </c>
      <c r="O205" s="30">
        <f t="shared" si="24"/>
        <v>0.8399999999999892</v>
      </c>
      <c r="P205" s="28">
        <f t="shared" si="27"/>
        <v>2.1</v>
      </c>
      <c r="Q205" s="30">
        <v>1.3113750000000035E-5</v>
      </c>
      <c r="R205" s="35">
        <v>0.59655442215568844</v>
      </c>
      <c r="S205" s="30">
        <v>0.98840840791323303</v>
      </c>
      <c r="T205">
        <v>0.13500000000000001</v>
      </c>
      <c r="U205" s="34" t="s">
        <v>101</v>
      </c>
      <c r="V205" s="34" t="s">
        <v>101</v>
      </c>
      <c r="W205" s="34" t="s">
        <v>101</v>
      </c>
      <c r="X205" s="34" t="s">
        <v>101</v>
      </c>
      <c r="Y205" s="34" t="s">
        <v>101</v>
      </c>
      <c r="Z205" s="34" t="s">
        <v>101</v>
      </c>
      <c r="AA205" s="34" t="s">
        <v>101</v>
      </c>
      <c r="AB205" s="34" t="s">
        <v>101</v>
      </c>
      <c r="AD205" s="28"/>
    </row>
    <row r="206" spans="1:30">
      <c r="A206" s="20" t="s">
        <v>230</v>
      </c>
      <c r="B206">
        <v>44</v>
      </c>
      <c r="C206">
        <f>STDEV(25,63)</f>
        <v>26.870057685088806</v>
      </c>
      <c r="D206">
        <v>79.81</v>
      </c>
      <c r="E206">
        <v>0.37</v>
      </c>
      <c r="F206">
        <v>9.82</v>
      </c>
      <c r="G206">
        <v>0.02</v>
      </c>
      <c r="H206">
        <v>1.73</v>
      </c>
      <c r="I206">
        <v>0.05</v>
      </c>
      <c r="J206">
        <v>1.53</v>
      </c>
      <c r="K206">
        <v>1.97</v>
      </c>
      <c r="L206">
        <v>0.43</v>
      </c>
      <c r="M206">
        <v>3.43</v>
      </c>
      <c r="N206">
        <v>0</v>
      </c>
      <c r="O206">
        <f t="shared" si="24"/>
        <v>0.8399999999999892</v>
      </c>
      <c r="P206" s="3">
        <f t="shared" ref="P206:P221" si="28">H206+E206</f>
        <v>2.1</v>
      </c>
      <c r="Q206">
        <v>1.2953194444444427E-5</v>
      </c>
      <c r="R206">
        <v>0.52649000449101813</v>
      </c>
      <c r="S206">
        <v>1.0108780767039911</v>
      </c>
      <c r="T206">
        <v>0.13500000000000001</v>
      </c>
      <c r="U206" s="11" t="s">
        <v>101</v>
      </c>
      <c r="V206" s="11" t="s">
        <v>101</v>
      </c>
      <c r="W206" s="11" t="s">
        <v>101</v>
      </c>
      <c r="X206" s="11" t="s">
        <v>101</v>
      </c>
      <c r="Y206" s="11" t="s">
        <v>101</v>
      </c>
      <c r="Z206" s="11" t="s">
        <v>101</v>
      </c>
      <c r="AA206" s="11" t="s">
        <v>101</v>
      </c>
      <c r="AB206" s="11" t="s">
        <v>101</v>
      </c>
      <c r="AD206" s="3"/>
    </row>
    <row r="207" spans="1:30">
      <c r="A207" s="20" t="s">
        <v>231</v>
      </c>
      <c r="B207">
        <v>81.5</v>
      </c>
      <c r="C207">
        <f>STDEV(63,100)</f>
        <v>26.16295090390226</v>
      </c>
      <c r="D207">
        <v>79.81</v>
      </c>
      <c r="E207">
        <v>0.37</v>
      </c>
      <c r="F207">
        <v>9.82</v>
      </c>
      <c r="G207">
        <v>0.02</v>
      </c>
      <c r="H207">
        <v>1.73</v>
      </c>
      <c r="I207">
        <v>0.05</v>
      </c>
      <c r="J207">
        <v>1.53</v>
      </c>
      <c r="K207">
        <v>1.97</v>
      </c>
      <c r="L207">
        <v>0.43</v>
      </c>
      <c r="M207">
        <v>3.43</v>
      </c>
      <c r="N207">
        <v>0</v>
      </c>
      <c r="O207">
        <f t="shared" ref="O207:O228" si="29">100-SUM(D207:N207)</f>
        <v>0.8399999999999892</v>
      </c>
      <c r="P207" s="3">
        <f t="shared" si="28"/>
        <v>2.1</v>
      </c>
      <c r="Q207">
        <v>2.2879444444444459E-5</v>
      </c>
      <c r="R207">
        <v>0.44562180838323395</v>
      </c>
      <c r="S207">
        <v>1.0029641379188117</v>
      </c>
      <c r="T207">
        <v>0.13500000000000001</v>
      </c>
      <c r="U207" s="11" t="s">
        <v>101</v>
      </c>
      <c r="V207" s="11" t="s">
        <v>101</v>
      </c>
      <c r="W207" s="11" t="s">
        <v>101</v>
      </c>
      <c r="X207" s="11" t="s">
        <v>101</v>
      </c>
      <c r="Y207" s="11" t="s">
        <v>101</v>
      </c>
      <c r="Z207" s="11" t="s">
        <v>101</v>
      </c>
      <c r="AA207" s="11" t="s">
        <v>101</v>
      </c>
      <c r="AB207" s="11" t="s">
        <v>101</v>
      </c>
      <c r="AD207" s="3"/>
    </row>
    <row r="208" spans="1:30">
      <c r="A208" s="20" t="s">
        <v>232</v>
      </c>
      <c r="B208">
        <v>112.5</v>
      </c>
      <c r="C208">
        <f>STDEV(100,125)</f>
        <v>17.677669529663689</v>
      </c>
      <c r="D208">
        <v>79.81</v>
      </c>
      <c r="E208">
        <v>0.37</v>
      </c>
      <c r="F208">
        <v>9.82</v>
      </c>
      <c r="G208">
        <v>0.02</v>
      </c>
      <c r="H208">
        <v>1.73</v>
      </c>
      <c r="I208">
        <v>0.05</v>
      </c>
      <c r="J208">
        <v>1.53</v>
      </c>
      <c r="K208">
        <v>1.97</v>
      </c>
      <c r="L208">
        <v>0.43</v>
      </c>
      <c r="M208">
        <v>3.43</v>
      </c>
      <c r="N208">
        <v>0</v>
      </c>
      <c r="O208">
        <f t="shared" si="29"/>
        <v>0.8399999999999892</v>
      </c>
      <c r="P208" s="3">
        <f t="shared" si="28"/>
        <v>2.1</v>
      </c>
      <c r="Q208">
        <v>1.5845277777777764E-5</v>
      </c>
      <c r="R208">
        <v>0.39118490868263456</v>
      </c>
      <c r="S208">
        <v>1.0087371446152213</v>
      </c>
      <c r="T208">
        <v>0.13500000000000001</v>
      </c>
      <c r="U208" s="11" t="s">
        <v>101</v>
      </c>
      <c r="V208" s="11" t="s">
        <v>101</v>
      </c>
      <c r="W208" s="11" t="s">
        <v>101</v>
      </c>
      <c r="X208" s="11" t="s">
        <v>101</v>
      </c>
      <c r="Y208" s="11" t="s">
        <v>101</v>
      </c>
      <c r="Z208" s="11" t="s">
        <v>101</v>
      </c>
      <c r="AA208" s="11" t="s">
        <v>101</v>
      </c>
      <c r="AB208" s="11" t="s">
        <v>101</v>
      </c>
      <c r="AD208" s="3"/>
    </row>
    <row r="209" spans="1:30">
      <c r="A209" s="20" t="s">
        <v>233</v>
      </c>
      <c r="B209">
        <v>137.5</v>
      </c>
      <c r="C209">
        <f>STDEV(125,150)</f>
        <v>17.677669529663689</v>
      </c>
      <c r="D209">
        <v>79.81</v>
      </c>
      <c r="E209">
        <v>0.37</v>
      </c>
      <c r="F209">
        <v>9.82</v>
      </c>
      <c r="G209">
        <v>0.02</v>
      </c>
      <c r="H209">
        <v>1.73</v>
      </c>
      <c r="I209">
        <v>0.05</v>
      </c>
      <c r="J209">
        <v>1.53</v>
      </c>
      <c r="K209">
        <v>1.97</v>
      </c>
      <c r="L209">
        <v>0.43</v>
      </c>
      <c r="M209">
        <v>3.43</v>
      </c>
      <c r="N209">
        <v>0</v>
      </c>
      <c r="O209">
        <f t="shared" si="29"/>
        <v>0.8399999999999892</v>
      </c>
      <c r="P209" s="3">
        <f t="shared" si="28"/>
        <v>2.1</v>
      </c>
      <c r="Q209">
        <v>2.4456527777777761E-5</v>
      </c>
      <c r="R209">
        <v>0.3342793902195611</v>
      </c>
      <c r="S209">
        <v>0.98190615585325847</v>
      </c>
      <c r="T209">
        <v>0.13500000000000001</v>
      </c>
      <c r="U209" s="11" t="s">
        <v>101</v>
      </c>
      <c r="V209" s="11" t="s">
        <v>101</v>
      </c>
      <c r="W209" s="11" t="s">
        <v>101</v>
      </c>
      <c r="X209" s="11" t="s">
        <v>101</v>
      </c>
      <c r="Y209" s="11" t="s">
        <v>101</v>
      </c>
      <c r="Z209" s="11" t="s">
        <v>101</v>
      </c>
      <c r="AA209" s="11" t="s">
        <v>101</v>
      </c>
      <c r="AB209" s="11" t="s">
        <v>101</v>
      </c>
      <c r="AD209" s="3"/>
    </row>
    <row r="210" spans="1:30">
      <c r="A210" s="20" t="s">
        <v>234</v>
      </c>
      <c r="B210">
        <v>165</v>
      </c>
      <c r="C210">
        <f>STDEV(150,180)</f>
        <v>21.213203435596427</v>
      </c>
      <c r="D210">
        <v>79.81</v>
      </c>
      <c r="E210">
        <v>0.37</v>
      </c>
      <c r="F210">
        <v>9.82</v>
      </c>
      <c r="G210">
        <v>0.02</v>
      </c>
      <c r="H210">
        <v>1.73</v>
      </c>
      <c r="I210">
        <v>0.05</v>
      </c>
      <c r="J210">
        <v>1.53</v>
      </c>
      <c r="K210">
        <v>1.97</v>
      </c>
      <c r="L210">
        <v>0.43</v>
      </c>
      <c r="M210">
        <v>3.43</v>
      </c>
      <c r="N210">
        <v>0</v>
      </c>
      <c r="O210">
        <f t="shared" si="29"/>
        <v>0.8399999999999892</v>
      </c>
      <c r="P210" s="3">
        <f t="shared" si="28"/>
        <v>2.1</v>
      </c>
      <c r="Q210">
        <v>2.5101388888888898E-5</v>
      </c>
      <c r="R210">
        <v>0.3153144306387225</v>
      </c>
      <c r="S210">
        <v>0.97488771373446548</v>
      </c>
      <c r="T210">
        <v>0.13500000000000001</v>
      </c>
      <c r="U210" s="11" t="s">
        <v>101</v>
      </c>
      <c r="V210" s="11" t="s">
        <v>101</v>
      </c>
      <c r="W210" s="11" t="s">
        <v>101</v>
      </c>
      <c r="X210" s="11" t="s">
        <v>101</v>
      </c>
      <c r="Y210" s="11" t="s">
        <v>101</v>
      </c>
      <c r="Z210" s="11" t="s">
        <v>101</v>
      </c>
      <c r="AA210" s="11" t="s">
        <v>101</v>
      </c>
      <c r="AB210" s="11" t="s">
        <v>101</v>
      </c>
      <c r="AD210" s="3"/>
    </row>
    <row r="211" spans="1:30">
      <c r="A211" s="20" t="s">
        <v>235</v>
      </c>
      <c r="B211">
        <v>190</v>
      </c>
      <c r="C211">
        <f>STDEV(180,200)</f>
        <v>14.142135623730951</v>
      </c>
      <c r="D211">
        <v>79.81</v>
      </c>
      <c r="E211">
        <v>0.37</v>
      </c>
      <c r="F211">
        <v>9.82</v>
      </c>
      <c r="G211">
        <v>0.02</v>
      </c>
      <c r="H211">
        <v>1.73</v>
      </c>
      <c r="I211">
        <v>0.05</v>
      </c>
      <c r="J211">
        <v>1.53</v>
      </c>
      <c r="K211">
        <v>1.97</v>
      </c>
      <c r="L211">
        <v>0.43</v>
      </c>
      <c r="M211">
        <v>3.43</v>
      </c>
      <c r="N211">
        <v>0</v>
      </c>
      <c r="O211">
        <f t="shared" si="29"/>
        <v>0.8399999999999892</v>
      </c>
      <c r="P211" s="3">
        <f t="shared" si="28"/>
        <v>2.1</v>
      </c>
      <c r="Q211">
        <v>2.1410416666666671E-5</v>
      </c>
      <c r="R211">
        <v>0.29502118762475038</v>
      </c>
      <c r="S211">
        <v>0.98259914916975444</v>
      </c>
      <c r="T211">
        <v>0.13500000000000001</v>
      </c>
      <c r="U211" s="11" t="s">
        <v>101</v>
      </c>
      <c r="V211" s="11" t="s">
        <v>101</v>
      </c>
      <c r="W211" s="11" t="s">
        <v>101</v>
      </c>
      <c r="X211" s="11" t="s">
        <v>101</v>
      </c>
      <c r="Y211" s="11" t="s">
        <v>101</v>
      </c>
      <c r="Z211" s="11" t="s">
        <v>101</v>
      </c>
      <c r="AA211" s="11" t="s">
        <v>101</v>
      </c>
      <c r="AB211" s="11" t="s">
        <v>101</v>
      </c>
      <c r="AD211" s="3"/>
    </row>
    <row r="212" spans="1:30">
      <c r="A212" s="20" t="s">
        <v>236</v>
      </c>
      <c r="B212">
        <v>225</v>
      </c>
      <c r="C212">
        <f>STDEV(200,250)</f>
        <v>35.355339059327378</v>
      </c>
      <c r="D212">
        <v>79.81</v>
      </c>
      <c r="E212">
        <v>0.37</v>
      </c>
      <c r="F212">
        <v>9.82</v>
      </c>
      <c r="G212">
        <v>0.02</v>
      </c>
      <c r="H212">
        <v>1.73</v>
      </c>
      <c r="I212">
        <v>0.05</v>
      </c>
      <c r="J212">
        <v>1.53</v>
      </c>
      <c r="K212">
        <v>1.97</v>
      </c>
      <c r="L212">
        <v>0.43</v>
      </c>
      <c r="M212">
        <v>3.43</v>
      </c>
      <c r="N212">
        <v>0</v>
      </c>
      <c r="O212">
        <f t="shared" si="29"/>
        <v>0.8399999999999892</v>
      </c>
      <c r="P212" s="3">
        <f t="shared" si="28"/>
        <v>2.1</v>
      </c>
      <c r="Q212">
        <v>2.1619305555555556E-5</v>
      </c>
      <c r="R212" s="14">
        <v>0.27341978443113768</v>
      </c>
      <c r="S212">
        <v>0.99917960238121961</v>
      </c>
      <c r="T212">
        <v>0.13500000000000001</v>
      </c>
      <c r="U212" s="11" t="s">
        <v>101</v>
      </c>
      <c r="V212" s="11" t="s">
        <v>101</v>
      </c>
      <c r="W212" s="11" t="s">
        <v>101</v>
      </c>
      <c r="X212" s="11" t="s">
        <v>101</v>
      </c>
      <c r="Y212" s="11" t="s">
        <v>101</v>
      </c>
      <c r="Z212" s="11" t="s">
        <v>101</v>
      </c>
      <c r="AA212" s="11" t="s">
        <v>101</v>
      </c>
      <c r="AB212" s="11" t="s">
        <v>101</v>
      </c>
      <c r="AD212" s="3"/>
    </row>
    <row r="213" spans="1:30" s="30" customFormat="1">
      <c r="A213" s="25" t="s">
        <v>237</v>
      </c>
      <c r="B213" s="30">
        <v>12.5</v>
      </c>
      <c r="C213" s="30">
        <f>STDEV(0,25)</f>
        <v>17.677669529663689</v>
      </c>
      <c r="D213" s="30">
        <v>73.66</v>
      </c>
      <c r="E213" s="30">
        <v>0.76</v>
      </c>
      <c r="F213" s="30">
        <v>9.51</v>
      </c>
      <c r="G213" s="30">
        <v>0.06</v>
      </c>
      <c r="H213" s="30">
        <v>5.97</v>
      </c>
      <c r="I213" s="30">
        <v>0.09</v>
      </c>
      <c r="J213" s="30">
        <v>2.92</v>
      </c>
      <c r="K213" s="30">
        <v>2.38</v>
      </c>
      <c r="L213" s="30">
        <v>1.03</v>
      </c>
      <c r="M213" s="30">
        <v>1.91</v>
      </c>
      <c r="N213" s="30">
        <v>0.06</v>
      </c>
      <c r="O213" s="30">
        <f t="shared" si="29"/>
        <v>1.6499999999999915</v>
      </c>
      <c r="P213" s="28">
        <f t="shared" si="28"/>
        <v>6.7299999999999995</v>
      </c>
      <c r="Q213" s="30">
        <v>2.0237555555555558E-4</v>
      </c>
      <c r="R213" s="35">
        <v>0.31436867964071841</v>
      </c>
      <c r="S213" s="30">
        <v>0.46386424796693931</v>
      </c>
      <c r="T213">
        <v>0.30499999999999999</v>
      </c>
      <c r="U213" s="34" t="s">
        <v>101</v>
      </c>
      <c r="V213" s="34" t="s">
        <v>101</v>
      </c>
      <c r="W213" s="34" t="s">
        <v>101</v>
      </c>
      <c r="X213" s="34" t="s">
        <v>101</v>
      </c>
      <c r="Y213" s="34" t="s">
        <v>101</v>
      </c>
      <c r="Z213" s="34" t="s">
        <v>101</v>
      </c>
      <c r="AA213" s="34" t="s">
        <v>101</v>
      </c>
      <c r="AB213" s="34" t="s">
        <v>101</v>
      </c>
      <c r="AD213" s="28"/>
    </row>
    <row r="214" spans="1:30">
      <c r="A214" s="20" t="s">
        <v>238</v>
      </c>
      <c r="B214">
        <v>44</v>
      </c>
      <c r="C214">
        <f>STDEV(25,63)</f>
        <v>26.870057685088806</v>
      </c>
      <c r="D214">
        <v>73.66</v>
      </c>
      <c r="E214">
        <v>0.76</v>
      </c>
      <c r="F214">
        <v>9.51</v>
      </c>
      <c r="G214">
        <v>0.06</v>
      </c>
      <c r="H214">
        <v>5.97</v>
      </c>
      <c r="I214">
        <v>0.09</v>
      </c>
      <c r="J214">
        <v>2.92</v>
      </c>
      <c r="K214">
        <v>2.38</v>
      </c>
      <c r="L214">
        <v>1.03</v>
      </c>
      <c r="M214">
        <v>1.91</v>
      </c>
      <c r="N214">
        <v>0.06</v>
      </c>
      <c r="O214">
        <f t="shared" si="29"/>
        <v>1.6499999999999915</v>
      </c>
      <c r="P214" s="3">
        <f t="shared" si="28"/>
        <v>6.7299999999999995</v>
      </c>
      <c r="Q214">
        <v>1.5141652777777775E-4</v>
      </c>
      <c r="R214" s="14">
        <v>0.15177413972055881</v>
      </c>
      <c r="S214">
        <v>0.33677954486376638</v>
      </c>
      <c r="T214">
        <v>0.30499999999999999</v>
      </c>
      <c r="U214" s="11" t="s">
        <v>101</v>
      </c>
      <c r="V214" s="11" t="s">
        <v>101</v>
      </c>
      <c r="W214" s="11" t="s">
        <v>101</v>
      </c>
      <c r="X214" s="11" t="s">
        <v>101</v>
      </c>
      <c r="Y214" s="11" t="s">
        <v>101</v>
      </c>
      <c r="Z214" s="11" t="s">
        <v>101</v>
      </c>
      <c r="AA214" s="11" t="s">
        <v>101</v>
      </c>
      <c r="AB214" s="11" t="s">
        <v>101</v>
      </c>
      <c r="AD214" s="3"/>
    </row>
    <row r="215" spans="1:30">
      <c r="A215" s="20" t="s">
        <v>239</v>
      </c>
      <c r="B215">
        <v>81.5</v>
      </c>
      <c r="C215">
        <f>STDEV(63,100)</f>
        <v>26.16295090390226</v>
      </c>
      <c r="D215">
        <v>73.66</v>
      </c>
      <c r="E215">
        <v>0.76</v>
      </c>
      <c r="F215">
        <v>9.51</v>
      </c>
      <c r="G215">
        <v>0.06</v>
      </c>
      <c r="H215">
        <v>5.97</v>
      </c>
      <c r="I215">
        <v>0.09</v>
      </c>
      <c r="J215">
        <v>2.92</v>
      </c>
      <c r="K215">
        <v>2.38</v>
      </c>
      <c r="L215">
        <v>1.03</v>
      </c>
      <c r="M215">
        <v>1.91</v>
      </c>
      <c r="N215">
        <v>0.06</v>
      </c>
      <c r="O215">
        <f t="shared" si="29"/>
        <v>1.6499999999999915</v>
      </c>
      <c r="P215" s="3">
        <f t="shared" si="28"/>
        <v>6.7299999999999995</v>
      </c>
      <c r="Q215">
        <v>1.1516819444444444E-4</v>
      </c>
      <c r="R215" s="14">
        <v>9.5863792914171658E-2</v>
      </c>
      <c r="S215">
        <v>0.32457469443395442</v>
      </c>
      <c r="T215">
        <v>0.30499999999999999</v>
      </c>
      <c r="U215" s="11" t="s">
        <v>101</v>
      </c>
      <c r="V215" s="11" t="s">
        <v>101</v>
      </c>
      <c r="W215" s="11" t="s">
        <v>101</v>
      </c>
      <c r="X215" s="11" t="s">
        <v>101</v>
      </c>
      <c r="Y215" s="11" t="s">
        <v>101</v>
      </c>
      <c r="Z215" s="11" t="s">
        <v>101</v>
      </c>
      <c r="AA215" s="11" t="s">
        <v>101</v>
      </c>
      <c r="AB215" s="11" t="s">
        <v>101</v>
      </c>
      <c r="AD215" s="3"/>
    </row>
    <row r="216" spans="1:30">
      <c r="A216" s="20" t="s">
        <v>240</v>
      </c>
      <c r="B216">
        <v>112.5</v>
      </c>
      <c r="C216">
        <f>STDEV(100,125)</f>
        <v>17.677669529663689</v>
      </c>
      <c r="D216">
        <v>73.66</v>
      </c>
      <c r="E216">
        <v>0.76</v>
      </c>
      <c r="F216">
        <v>9.51</v>
      </c>
      <c r="G216">
        <v>0.06</v>
      </c>
      <c r="H216">
        <v>5.97</v>
      </c>
      <c r="I216">
        <v>0.09</v>
      </c>
      <c r="J216">
        <v>2.92</v>
      </c>
      <c r="K216">
        <v>2.38</v>
      </c>
      <c r="L216">
        <v>1.03</v>
      </c>
      <c r="M216">
        <v>1.91</v>
      </c>
      <c r="N216">
        <v>0.06</v>
      </c>
      <c r="O216">
        <f t="shared" si="29"/>
        <v>1.6499999999999915</v>
      </c>
      <c r="P216" s="3">
        <f t="shared" si="28"/>
        <v>6.7299999999999995</v>
      </c>
      <c r="Q216">
        <v>9.0630555555555557E-5</v>
      </c>
      <c r="R216" s="14">
        <v>7.0873634730538981E-2</v>
      </c>
      <c r="S216">
        <v>0.36193650892551171</v>
      </c>
      <c r="T216">
        <v>0.30499999999999999</v>
      </c>
      <c r="U216" s="11" t="s">
        <v>101</v>
      </c>
      <c r="V216" s="11" t="s">
        <v>101</v>
      </c>
      <c r="W216" s="11" t="s">
        <v>101</v>
      </c>
      <c r="X216" s="11" t="s">
        <v>101</v>
      </c>
      <c r="Y216" s="11" t="s">
        <v>101</v>
      </c>
      <c r="Z216" s="11" t="s">
        <v>101</v>
      </c>
      <c r="AA216" s="11" t="s">
        <v>101</v>
      </c>
      <c r="AB216" s="11" t="s">
        <v>101</v>
      </c>
      <c r="AD216" s="3"/>
    </row>
    <row r="217" spans="1:30">
      <c r="A217" s="20" t="s">
        <v>241</v>
      </c>
      <c r="B217">
        <v>137.5</v>
      </c>
      <c r="C217">
        <f>STDEV(125,150)</f>
        <v>17.677669529663689</v>
      </c>
      <c r="D217">
        <v>73.66</v>
      </c>
      <c r="E217">
        <v>0.76</v>
      </c>
      <c r="F217">
        <v>9.51</v>
      </c>
      <c r="G217">
        <v>0.06</v>
      </c>
      <c r="H217">
        <v>5.97</v>
      </c>
      <c r="I217">
        <v>0.09</v>
      </c>
      <c r="J217">
        <v>2.92</v>
      </c>
      <c r="K217">
        <v>2.38</v>
      </c>
      <c r="L217">
        <v>1.03</v>
      </c>
      <c r="M217">
        <v>1.91</v>
      </c>
      <c r="N217">
        <v>0.06</v>
      </c>
      <c r="O217">
        <f t="shared" si="29"/>
        <v>1.6499999999999915</v>
      </c>
      <c r="P217" s="3">
        <f t="shared" si="28"/>
        <v>6.7299999999999995</v>
      </c>
      <c r="Q217">
        <v>7.4325000000000004E-5</v>
      </c>
      <c r="R217" s="14">
        <v>4.9134621756487057E-2</v>
      </c>
      <c r="S217">
        <v>0.39529080926661603</v>
      </c>
      <c r="T217">
        <v>0.30499999999999999</v>
      </c>
      <c r="U217" s="11" t="s">
        <v>101</v>
      </c>
      <c r="V217" s="11" t="s">
        <v>101</v>
      </c>
      <c r="W217" s="11" t="s">
        <v>101</v>
      </c>
      <c r="X217" s="11" t="s">
        <v>101</v>
      </c>
      <c r="Y217" s="11" t="s">
        <v>101</v>
      </c>
      <c r="Z217" s="11" t="s">
        <v>101</v>
      </c>
      <c r="AA217" s="11" t="s">
        <v>101</v>
      </c>
      <c r="AB217" s="11" t="s">
        <v>101</v>
      </c>
      <c r="AD217" s="3"/>
    </row>
    <row r="218" spans="1:30">
      <c r="A218" s="20" t="s">
        <v>242</v>
      </c>
      <c r="B218">
        <v>165</v>
      </c>
      <c r="C218">
        <f>STDEV(150,180)</f>
        <v>21.213203435596427</v>
      </c>
      <c r="D218">
        <v>73.66</v>
      </c>
      <c r="E218">
        <v>0.76</v>
      </c>
      <c r="F218">
        <v>9.51</v>
      </c>
      <c r="G218">
        <v>0.06</v>
      </c>
      <c r="H218">
        <v>5.97</v>
      </c>
      <c r="I218">
        <v>0.09</v>
      </c>
      <c r="J218">
        <v>2.92</v>
      </c>
      <c r="K218">
        <v>2.38</v>
      </c>
      <c r="L218">
        <v>1.03</v>
      </c>
      <c r="M218">
        <v>1.91</v>
      </c>
      <c r="N218">
        <v>0.06</v>
      </c>
      <c r="O218">
        <f t="shared" si="29"/>
        <v>1.6499999999999915</v>
      </c>
      <c r="P218" s="3">
        <f t="shared" si="28"/>
        <v>6.7299999999999995</v>
      </c>
      <c r="Q218">
        <v>5.9384583333333331E-5</v>
      </c>
      <c r="R218" s="14">
        <v>4.6646752994011956E-2</v>
      </c>
      <c r="S218">
        <v>0.58311550144659618</v>
      </c>
      <c r="T218">
        <v>0.30499999999999999</v>
      </c>
      <c r="U218" s="11" t="s">
        <v>101</v>
      </c>
      <c r="V218" s="11" t="s">
        <v>101</v>
      </c>
      <c r="W218" s="11" t="s">
        <v>101</v>
      </c>
      <c r="X218" s="11" t="s">
        <v>101</v>
      </c>
      <c r="Y218" s="11" t="s">
        <v>101</v>
      </c>
      <c r="Z218" s="11" t="s">
        <v>101</v>
      </c>
      <c r="AA218" s="11" t="s">
        <v>101</v>
      </c>
      <c r="AB218" s="11" t="s">
        <v>101</v>
      </c>
      <c r="AD218" s="3"/>
    </row>
    <row r="219" spans="1:30">
      <c r="A219" s="20" t="s">
        <v>243</v>
      </c>
      <c r="B219">
        <v>190</v>
      </c>
      <c r="C219">
        <f>STDEV(180,200)</f>
        <v>14.142135623730951</v>
      </c>
      <c r="D219">
        <v>73.66</v>
      </c>
      <c r="E219">
        <v>0.76</v>
      </c>
      <c r="F219">
        <v>9.51</v>
      </c>
      <c r="G219">
        <v>0.06</v>
      </c>
      <c r="H219">
        <v>5.97</v>
      </c>
      <c r="I219">
        <v>0.09</v>
      </c>
      <c r="J219">
        <v>2.92</v>
      </c>
      <c r="K219">
        <v>2.38</v>
      </c>
      <c r="L219">
        <v>1.03</v>
      </c>
      <c r="M219">
        <v>1.91</v>
      </c>
      <c r="N219">
        <v>0.06</v>
      </c>
      <c r="O219">
        <f t="shared" si="29"/>
        <v>1.6499999999999915</v>
      </c>
      <c r="P219" s="3">
        <f t="shared" si="28"/>
        <v>6.7299999999999995</v>
      </c>
      <c r="Q219">
        <v>5.6108750000000004E-5</v>
      </c>
      <c r="R219" s="14">
        <v>4.7684129740518943E-2</v>
      </c>
      <c r="S219">
        <v>0.52374558702020579</v>
      </c>
      <c r="T219">
        <v>0.30499999999999999</v>
      </c>
      <c r="U219" s="11" t="s">
        <v>101</v>
      </c>
      <c r="V219" s="11" t="s">
        <v>101</v>
      </c>
      <c r="W219" s="11" t="s">
        <v>101</v>
      </c>
      <c r="X219" s="11" t="s">
        <v>101</v>
      </c>
      <c r="Y219" s="11" t="s">
        <v>101</v>
      </c>
      <c r="Z219" s="11" t="s">
        <v>101</v>
      </c>
      <c r="AA219" s="11" t="s">
        <v>101</v>
      </c>
      <c r="AB219" s="11" t="s">
        <v>101</v>
      </c>
      <c r="AD219" s="3"/>
    </row>
    <row r="220" spans="1:30">
      <c r="A220" s="20" t="s">
        <v>244</v>
      </c>
      <c r="B220">
        <v>225</v>
      </c>
      <c r="C220">
        <f>STDEV(200,250)</f>
        <v>35.355339059327378</v>
      </c>
      <c r="D220">
        <v>73.66</v>
      </c>
      <c r="E220">
        <v>0.76</v>
      </c>
      <c r="F220">
        <v>9.51</v>
      </c>
      <c r="G220">
        <v>0.06</v>
      </c>
      <c r="H220">
        <v>5.97</v>
      </c>
      <c r="I220">
        <v>0.09</v>
      </c>
      <c r="J220">
        <v>2.92</v>
      </c>
      <c r="K220">
        <v>2.38</v>
      </c>
      <c r="L220">
        <v>1.03</v>
      </c>
      <c r="M220">
        <v>1.91</v>
      </c>
      <c r="N220">
        <v>0.06</v>
      </c>
      <c r="O220">
        <f t="shared" si="29"/>
        <v>1.6499999999999915</v>
      </c>
      <c r="P220" s="3">
        <f t="shared" si="28"/>
        <v>6.7299999999999995</v>
      </c>
      <c r="Q220">
        <v>4.5722500000000001E-5</v>
      </c>
      <c r="R220" s="14">
        <v>3.8256066866267494E-2</v>
      </c>
      <c r="S220">
        <v>0.66923726702035213</v>
      </c>
      <c r="T220">
        <v>0.30499999999999999</v>
      </c>
      <c r="U220" s="11" t="s">
        <v>101</v>
      </c>
      <c r="V220" s="11" t="s">
        <v>101</v>
      </c>
      <c r="W220" s="11" t="s">
        <v>101</v>
      </c>
      <c r="X220" s="11" t="s">
        <v>101</v>
      </c>
      <c r="Y220" s="11" t="s">
        <v>101</v>
      </c>
      <c r="Z220" s="11" t="s">
        <v>101</v>
      </c>
      <c r="AA220" s="11" t="s">
        <v>101</v>
      </c>
      <c r="AB220" s="11" t="s">
        <v>101</v>
      </c>
      <c r="AD220" s="3"/>
    </row>
    <row r="221" spans="1:30" s="30" customFormat="1">
      <c r="A221" s="25" t="s">
        <v>245</v>
      </c>
      <c r="B221" s="30">
        <v>12.5</v>
      </c>
      <c r="C221" s="30">
        <f>STDEV(0,25)</f>
        <v>17.677669529663689</v>
      </c>
      <c r="D221" s="30">
        <v>60.78</v>
      </c>
      <c r="E221" s="30">
        <v>0.87</v>
      </c>
      <c r="F221" s="30">
        <v>16.899999999999999</v>
      </c>
      <c r="G221" s="30">
        <v>0.05</v>
      </c>
      <c r="H221" s="30">
        <v>8</v>
      </c>
      <c r="I221" s="30">
        <v>7.0000000000000007E-2</v>
      </c>
      <c r="J221" s="30">
        <v>4</v>
      </c>
      <c r="K221" s="30">
        <v>2.97</v>
      </c>
      <c r="L221" s="30">
        <v>2.4500000000000002</v>
      </c>
      <c r="M221" s="30">
        <v>2.94</v>
      </c>
      <c r="N221" s="30">
        <v>0.12</v>
      </c>
      <c r="O221" s="30">
        <f t="shared" si="29"/>
        <v>0.85000000000000853</v>
      </c>
      <c r="P221" s="28">
        <f t="shared" si="28"/>
        <v>8.8699999999999992</v>
      </c>
      <c r="Q221" s="30">
        <v>8.8335277777777817E-5</v>
      </c>
      <c r="R221" s="35">
        <v>0.23325838273453103</v>
      </c>
      <c r="S221" s="30">
        <v>0.62322504882988028</v>
      </c>
      <c r="T221">
        <v>0.13700000000000001</v>
      </c>
      <c r="U221" s="34" t="s">
        <v>101</v>
      </c>
      <c r="V221" s="34" t="s">
        <v>101</v>
      </c>
      <c r="W221" s="34" t="s">
        <v>101</v>
      </c>
      <c r="X221" s="34" t="s">
        <v>101</v>
      </c>
      <c r="Y221" s="34" t="s">
        <v>101</v>
      </c>
      <c r="Z221" s="34" t="s">
        <v>101</v>
      </c>
      <c r="AA221" s="34" t="s">
        <v>101</v>
      </c>
      <c r="AB221" s="34" t="s">
        <v>101</v>
      </c>
      <c r="AD221" s="28"/>
    </row>
    <row r="222" spans="1:30">
      <c r="A222" s="20" t="s">
        <v>246</v>
      </c>
      <c r="B222">
        <v>44</v>
      </c>
      <c r="C222">
        <f>STDEV(25,63)</f>
        <v>26.870057685088806</v>
      </c>
      <c r="D222">
        <v>60.78</v>
      </c>
      <c r="E222">
        <v>0.87</v>
      </c>
      <c r="F222">
        <v>16.899999999999999</v>
      </c>
      <c r="G222">
        <v>0.05</v>
      </c>
      <c r="H222">
        <v>8</v>
      </c>
      <c r="I222">
        <v>7.0000000000000007E-2</v>
      </c>
      <c r="J222">
        <v>4</v>
      </c>
      <c r="K222">
        <v>2.97</v>
      </c>
      <c r="L222">
        <v>2.4500000000000002</v>
      </c>
      <c r="M222">
        <v>2.94</v>
      </c>
      <c r="N222">
        <v>0.12</v>
      </c>
      <c r="O222">
        <f t="shared" si="29"/>
        <v>0.85000000000000853</v>
      </c>
      <c r="P222" s="3">
        <f t="shared" ref="P222:P228" si="30">H222+E222</f>
        <v>8.8699999999999992</v>
      </c>
      <c r="Q222">
        <v>4.5783749999999997E-5</v>
      </c>
      <c r="R222" s="14">
        <v>0.11163456137724549</v>
      </c>
      <c r="S222">
        <v>0.64963405972392352</v>
      </c>
      <c r="T222">
        <v>0.13700000000000001</v>
      </c>
      <c r="U222" s="11" t="s">
        <v>101</v>
      </c>
      <c r="V222" s="11" t="s">
        <v>101</v>
      </c>
      <c r="W222" s="11" t="s">
        <v>101</v>
      </c>
      <c r="X222" s="11" t="s">
        <v>101</v>
      </c>
      <c r="Y222" s="11" t="s">
        <v>101</v>
      </c>
      <c r="Z222" s="11" t="s">
        <v>101</v>
      </c>
      <c r="AA222" s="11" t="s">
        <v>101</v>
      </c>
      <c r="AB222" s="11" t="s">
        <v>101</v>
      </c>
      <c r="AD222" s="3"/>
    </row>
    <row r="223" spans="1:30">
      <c r="A223" s="20" t="s">
        <v>247</v>
      </c>
      <c r="B223">
        <v>81.5</v>
      </c>
      <c r="C223">
        <f>STDEV(63,100)</f>
        <v>26.16295090390226</v>
      </c>
      <c r="D223">
        <v>60.78</v>
      </c>
      <c r="E223">
        <v>0.87</v>
      </c>
      <c r="F223">
        <v>16.899999999999999</v>
      </c>
      <c r="G223">
        <v>0.05</v>
      </c>
      <c r="H223">
        <v>8</v>
      </c>
      <c r="I223">
        <v>7.0000000000000007E-2</v>
      </c>
      <c r="J223">
        <v>4</v>
      </c>
      <c r="K223">
        <v>2.97</v>
      </c>
      <c r="L223">
        <v>2.4500000000000002</v>
      </c>
      <c r="M223">
        <v>2.94</v>
      </c>
      <c r="N223">
        <v>0.12</v>
      </c>
      <c r="O223">
        <f t="shared" si="29"/>
        <v>0.85000000000000853</v>
      </c>
      <c r="P223" s="3">
        <f t="shared" si="30"/>
        <v>8.8699999999999992</v>
      </c>
      <c r="Q223">
        <v>2.394777777777778E-5</v>
      </c>
      <c r="R223" s="14">
        <v>8.0530724051896235E-2</v>
      </c>
      <c r="S223">
        <v>0.73829547025482711</v>
      </c>
      <c r="T223">
        <v>0.13700000000000001</v>
      </c>
      <c r="U223" s="11" t="s">
        <v>101</v>
      </c>
      <c r="V223" s="11" t="s">
        <v>101</v>
      </c>
      <c r="W223" s="11" t="s">
        <v>101</v>
      </c>
      <c r="X223" s="11" t="s">
        <v>101</v>
      </c>
      <c r="Y223" s="11" t="s">
        <v>101</v>
      </c>
      <c r="Z223" s="11" t="s">
        <v>101</v>
      </c>
      <c r="AA223" s="11" t="s">
        <v>101</v>
      </c>
      <c r="AB223" s="11" t="s">
        <v>101</v>
      </c>
      <c r="AD223" s="3"/>
    </row>
    <row r="224" spans="1:30">
      <c r="A224" s="20" t="s">
        <v>248</v>
      </c>
      <c r="B224">
        <v>112.5</v>
      </c>
      <c r="C224">
        <f>STDEV(100,125)</f>
        <v>17.677669529663689</v>
      </c>
      <c r="D224">
        <v>60.78</v>
      </c>
      <c r="E224">
        <v>0.87</v>
      </c>
      <c r="F224">
        <v>16.899999999999999</v>
      </c>
      <c r="G224">
        <v>0.05</v>
      </c>
      <c r="H224">
        <v>8</v>
      </c>
      <c r="I224">
        <v>7.0000000000000007E-2</v>
      </c>
      <c r="J224">
        <v>4</v>
      </c>
      <c r="K224">
        <v>2.97</v>
      </c>
      <c r="L224">
        <v>2.4500000000000002</v>
      </c>
      <c r="M224">
        <v>2.94</v>
      </c>
      <c r="N224">
        <v>0.12</v>
      </c>
      <c r="O224">
        <f t="shared" si="29"/>
        <v>0.85000000000000853</v>
      </c>
      <c r="P224" s="3">
        <f t="shared" si="30"/>
        <v>8.8699999999999992</v>
      </c>
      <c r="Q224">
        <v>1.3339583333333332E-5</v>
      </c>
      <c r="R224" s="14">
        <v>6.3949769960079741E-2</v>
      </c>
      <c r="S224">
        <v>0.81115314958609197</v>
      </c>
      <c r="T224">
        <v>0.13700000000000001</v>
      </c>
      <c r="U224" s="11" t="s">
        <v>101</v>
      </c>
      <c r="V224" s="11" t="s">
        <v>101</v>
      </c>
      <c r="W224" s="11" t="s">
        <v>101</v>
      </c>
      <c r="X224" s="11" t="s">
        <v>101</v>
      </c>
      <c r="Y224" s="11" t="s">
        <v>101</v>
      </c>
      <c r="Z224" s="11" t="s">
        <v>101</v>
      </c>
      <c r="AA224" s="11" t="s">
        <v>101</v>
      </c>
      <c r="AB224" s="11" t="s">
        <v>101</v>
      </c>
      <c r="AD224" s="3"/>
    </row>
    <row r="225" spans="1:30">
      <c r="A225" s="20" t="s">
        <v>249</v>
      </c>
      <c r="B225">
        <v>137.5</v>
      </c>
      <c r="C225">
        <f>STDEV(125,150)</f>
        <v>17.677669529663689</v>
      </c>
      <c r="D225">
        <v>60.78</v>
      </c>
      <c r="E225">
        <v>0.87</v>
      </c>
      <c r="F225">
        <v>16.899999999999999</v>
      </c>
      <c r="G225">
        <v>0.05</v>
      </c>
      <c r="H225">
        <v>8</v>
      </c>
      <c r="I225">
        <v>7.0000000000000007E-2</v>
      </c>
      <c r="J225">
        <v>4</v>
      </c>
      <c r="K225">
        <v>2.97</v>
      </c>
      <c r="L225">
        <v>2.4500000000000002</v>
      </c>
      <c r="M225">
        <v>2.94</v>
      </c>
      <c r="N225">
        <v>0.12</v>
      </c>
      <c r="O225">
        <f t="shared" si="29"/>
        <v>0.85000000000000853</v>
      </c>
      <c r="P225" s="3">
        <f t="shared" si="30"/>
        <v>8.8699999999999992</v>
      </c>
      <c r="Q225">
        <v>6.8443055555555543E-6</v>
      </c>
      <c r="R225" s="14">
        <v>5.3147962075848328E-2</v>
      </c>
      <c r="S225">
        <v>0.87892209675059518</v>
      </c>
      <c r="T225">
        <v>0.13700000000000001</v>
      </c>
      <c r="U225" s="11" t="s">
        <v>101</v>
      </c>
      <c r="V225" s="11" t="s">
        <v>101</v>
      </c>
      <c r="W225" s="11" t="s">
        <v>101</v>
      </c>
      <c r="X225" s="11" t="s">
        <v>101</v>
      </c>
      <c r="Y225" s="11" t="s">
        <v>101</v>
      </c>
      <c r="Z225" s="11" t="s">
        <v>101</v>
      </c>
      <c r="AA225" s="11" t="s">
        <v>101</v>
      </c>
      <c r="AB225" s="11" t="s">
        <v>101</v>
      </c>
      <c r="AD225" s="3"/>
    </row>
    <row r="226" spans="1:30">
      <c r="A226" s="20" t="s">
        <v>250</v>
      </c>
      <c r="B226">
        <v>165</v>
      </c>
      <c r="C226">
        <f>STDEV(150,180)</f>
        <v>21.213203435596427</v>
      </c>
      <c r="D226">
        <v>60.78</v>
      </c>
      <c r="E226">
        <v>0.87</v>
      </c>
      <c r="F226">
        <v>16.899999999999999</v>
      </c>
      <c r="G226">
        <v>0.05</v>
      </c>
      <c r="H226">
        <v>8</v>
      </c>
      <c r="I226">
        <v>7.0000000000000007E-2</v>
      </c>
      <c r="J226">
        <v>4</v>
      </c>
      <c r="K226">
        <v>2.97</v>
      </c>
      <c r="L226">
        <v>2.4500000000000002</v>
      </c>
      <c r="M226">
        <v>2.94</v>
      </c>
      <c r="N226">
        <v>0.12</v>
      </c>
      <c r="O226">
        <f t="shared" si="29"/>
        <v>0.85000000000000853</v>
      </c>
      <c r="P226" s="3">
        <f t="shared" si="30"/>
        <v>8.8699999999999992</v>
      </c>
      <c r="Q226">
        <v>7.4261111111111054E-6</v>
      </c>
      <c r="R226" s="14">
        <v>5.2361505988023985E-2</v>
      </c>
      <c r="S226">
        <v>0.83922532353339052</v>
      </c>
      <c r="T226">
        <v>0.13700000000000001</v>
      </c>
      <c r="U226" s="11" t="s">
        <v>101</v>
      </c>
      <c r="V226" s="11" t="s">
        <v>101</v>
      </c>
      <c r="W226" s="11" t="s">
        <v>101</v>
      </c>
      <c r="X226" s="11" t="s">
        <v>101</v>
      </c>
      <c r="Y226" s="11" t="s">
        <v>101</v>
      </c>
      <c r="Z226" s="11" t="s">
        <v>101</v>
      </c>
      <c r="AA226" s="11" t="s">
        <v>101</v>
      </c>
      <c r="AB226" s="11" t="s">
        <v>101</v>
      </c>
      <c r="AD226" s="3"/>
    </row>
    <row r="227" spans="1:30">
      <c r="A227" s="20" t="s">
        <v>251</v>
      </c>
      <c r="B227">
        <v>190</v>
      </c>
      <c r="C227">
        <f>STDEV(180,200)</f>
        <v>14.142135623730951</v>
      </c>
      <c r="D227">
        <v>60.78</v>
      </c>
      <c r="E227">
        <v>0.87</v>
      </c>
      <c r="F227">
        <v>16.899999999999999</v>
      </c>
      <c r="G227">
        <v>0.05</v>
      </c>
      <c r="H227">
        <v>8</v>
      </c>
      <c r="I227">
        <v>7.0000000000000007E-2</v>
      </c>
      <c r="J227">
        <v>4</v>
      </c>
      <c r="K227">
        <v>2.97</v>
      </c>
      <c r="L227">
        <v>2.4500000000000002</v>
      </c>
      <c r="M227">
        <v>2.94</v>
      </c>
      <c r="N227">
        <v>0.12</v>
      </c>
      <c r="O227">
        <f t="shared" si="29"/>
        <v>0.85000000000000853</v>
      </c>
      <c r="P227" s="3">
        <f t="shared" si="30"/>
        <v>8.8699999999999992</v>
      </c>
      <c r="Q227">
        <v>4.8200000000000021E-6</v>
      </c>
      <c r="R227" s="14">
        <v>4.9418390219560834E-2</v>
      </c>
      <c r="S227">
        <v>0.84590301681952085</v>
      </c>
      <c r="T227">
        <v>0.13700000000000001</v>
      </c>
      <c r="U227" s="11" t="s">
        <v>101</v>
      </c>
      <c r="V227" s="11" t="s">
        <v>101</v>
      </c>
      <c r="W227" s="11" t="s">
        <v>101</v>
      </c>
      <c r="X227" s="11" t="s">
        <v>101</v>
      </c>
      <c r="Y227" s="11" t="s">
        <v>101</v>
      </c>
      <c r="Z227" s="11" t="s">
        <v>101</v>
      </c>
      <c r="AA227" s="11" t="s">
        <v>101</v>
      </c>
      <c r="AB227" s="11" t="s">
        <v>101</v>
      </c>
      <c r="AD227" s="3"/>
    </row>
    <row r="228" spans="1:30">
      <c r="A228" s="20" t="s">
        <v>252</v>
      </c>
      <c r="B228">
        <v>225</v>
      </c>
      <c r="C228">
        <f>STDEV(200,250)</f>
        <v>35.355339059327378</v>
      </c>
      <c r="D228">
        <v>60.78</v>
      </c>
      <c r="E228">
        <v>0.87</v>
      </c>
      <c r="F228">
        <v>16.899999999999999</v>
      </c>
      <c r="G228">
        <v>0.05</v>
      </c>
      <c r="H228">
        <v>8</v>
      </c>
      <c r="I228">
        <v>7.0000000000000007E-2</v>
      </c>
      <c r="J228">
        <v>4</v>
      </c>
      <c r="K228">
        <v>2.97</v>
      </c>
      <c r="L228">
        <v>2.4500000000000002</v>
      </c>
      <c r="M228">
        <v>2.94</v>
      </c>
      <c r="N228">
        <v>0.12</v>
      </c>
      <c r="O228">
        <f t="shared" si="29"/>
        <v>0.85000000000000853</v>
      </c>
      <c r="P228" s="3">
        <f t="shared" si="30"/>
        <v>8.8699999999999992</v>
      </c>
      <c r="Q228">
        <v>6.646250000000001E-6</v>
      </c>
      <c r="R228" s="14">
        <v>4.1504275449101784E-2</v>
      </c>
      <c r="S228">
        <v>0.78886304290812892</v>
      </c>
      <c r="T228">
        <v>0.13700000000000001</v>
      </c>
      <c r="U228" s="11" t="s">
        <v>101</v>
      </c>
      <c r="V228" s="11" t="s">
        <v>101</v>
      </c>
      <c r="W228" s="11" t="s">
        <v>101</v>
      </c>
      <c r="X228" s="11" t="s">
        <v>101</v>
      </c>
      <c r="Y228" s="11" t="s">
        <v>101</v>
      </c>
      <c r="Z228" s="11" t="s">
        <v>101</v>
      </c>
      <c r="AA228" s="11" t="s">
        <v>101</v>
      </c>
      <c r="AB228" s="11" t="s">
        <v>101</v>
      </c>
      <c r="AD228" s="3"/>
    </row>
    <row r="229" spans="1:30">
      <c r="P229" s="3"/>
      <c r="U229" s="11"/>
      <c r="X229" s="9"/>
      <c r="AB229" s="19"/>
    </row>
    <row r="230" spans="1:30">
      <c r="P230" s="3"/>
      <c r="U230" s="11"/>
      <c r="X230" s="9"/>
      <c r="AB230" s="19"/>
    </row>
    <row r="231" spans="1:30">
      <c r="P231" s="3"/>
      <c r="U231" s="11"/>
      <c r="X231" s="9"/>
      <c r="AB231" s="19"/>
    </row>
    <row r="232" spans="1:30">
      <c r="P232" s="3"/>
      <c r="U232" s="11"/>
      <c r="X232" s="9"/>
      <c r="AB232" s="19"/>
    </row>
    <row r="233" spans="1:30">
      <c r="P233" s="3"/>
      <c r="U233" s="11"/>
      <c r="X233" s="9"/>
      <c r="AB233" s="19"/>
    </row>
    <row r="234" spans="1:30">
      <c r="P234" s="3"/>
      <c r="U234" s="11"/>
      <c r="X234" s="9"/>
      <c r="AB234" s="19"/>
    </row>
    <row r="235" spans="1:30">
      <c r="P235" s="3"/>
      <c r="U235" s="11"/>
      <c r="X235" s="9"/>
      <c r="AB235" s="19"/>
    </row>
    <row r="236" spans="1:30">
      <c r="P236" s="3"/>
      <c r="U236" s="11"/>
      <c r="X236" s="9"/>
      <c r="AB236" s="19"/>
    </row>
    <row r="237" spans="1:30">
      <c r="P237" s="3"/>
      <c r="U237" s="11"/>
      <c r="X237" s="9"/>
      <c r="AB237" s="19"/>
    </row>
    <row r="238" spans="1:30">
      <c r="P238" s="3"/>
      <c r="U238" s="11"/>
      <c r="X238" s="9"/>
      <c r="AB238" s="19"/>
    </row>
    <row r="239" spans="1:30">
      <c r="D239" s="2"/>
      <c r="E239" s="2"/>
      <c r="F239" s="2"/>
      <c r="G239" s="2"/>
      <c r="H239" s="2"/>
      <c r="I239" s="2"/>
      <c r="J239" s="2"/>
      <c r="K239" s="2"/>
      <c r="L239" s="2"/>
      <c r="M239" s="2"/>
      <c r="N239" s="2"/>
      <c r="O239" s="2"/>
      <c r="P239" s="4"/>
      <c r="U239" s="11"/>
      <c r="X239" s="9"/>
      <c r="AB239" s="19"/>
    </row>
    <row r="240" spans="1:30">
      <c r="D240" s="2"/>
      <c r="E240" s="2"/>
      <c r="F240" s="2"/>
      <c r="G240" s="2"/>
      <c r="H240" s="2"/>
      <c r="I240" s="2"/>
      <c r="J240" s="2"/>
      <c r="K240" s="2"/>
      <c r="L240" s="2"/>
      <c r="M240" s="2"/>
      <c r="N240" s="2"/>
      <c r="O240" s="2"/>
      <c r="P240" s="4"/>
      <c r="U240" s="11"/>
      <c r="X240" s="9"/>
      <c r="AB240" s="19"/>
    </row>
    <row r="241" spans="4:28">
      <c r="D241" s="2"/>
      <c r="E241" s="2"/>
      <c r="F241" s="2"/>
      <c r="G241" s="2"/>
      <c r="H241" s="2"/>
      <c r="I241" s="2"/>
      <c r="J241" s="2"/>
      <c r="K241" s="2"/>
      <c r="L241" s="2"/>
      <c r="M241" s="2"/>
      <c r="N241" s="2"/>
      <c r="O241" s="2"/>
      <c r="P241" s="4"/>
      <c r="U241" s="11"/>
      <c r="V241" s="11"/>
      <c r="W241" s="11"/>
      <c r="X241" s="11"/>
      <c r="Y241" s="11"/>
      <c r="Z241" s="11"/>
      <c r="AA241" s="11"/>
      <c r="AB241" s="11"/>
    </row>
    <row r="242" spans="4:28">
      <c r="D242" s="2"/>
      <c r="E242" s="2"/>
      <c r="F242" s="2"/>
      <c r="G242" s="2"/>
      <c r="H242" s="2"/>
      <c r="I242" s="2"/>
      <c r="J242" s="2"/>
      <c r="K242" s="2"/>
      <c r="L242" s="2"/>
      <c r="M242" s="2"/>
      <c r="N242" s="2"/>
      <c r="O242" s="2"/>
      <c r="P242" s="4"/>
      <c r="U242" s="11"/>
      <c r="V242" s="11"/>
      <c r="W242" s="11"/>
      <c r="X242" s="11"/>
      <c r="Y242" s="11"/>
      <c r="Z242" s="11"/>
      <c r="AA242" s="11"/>
      <c r="AB242" s="11"/>
    </row>
    <row r="243" spans="4:28">
      <c r="D243" s="2"/>
      <c r="E243" s="2"/>
      <c r="F243" s="2"/>
      <c r="G243" s="2"/>
      <c r="H243" s="2"/>
      <c r="I243" s="2"/>
      <c r="J243" s="2"/>
      <c r="K243" s="2"/>
      <c r="L243" s="2"/>
      <c r="M243" s="2"/>
      <c r="N243" s="2"/>
      <c r="O243" s="2"/>
      <c r="P243" s="4"/>
      <c r="U243" s="11"/>
      <c r="V243" s="11"/>
      <c r="W243" s="11"/>
      <c r="X243" s="11"/>
      <c r="Y243" s="11"/>
      <c r="Z243" s="11"/>
      <c r="AA243" s="11"/>
      <c r="AB243" s="11"/>
    </row>
    <row r="244" spans="4:28">
      <c r="D244" s="2"/>
      <c r="E244" s="2"/>
      <c r="F244" s="2"/>
      <c r="G244" s="2"/>
      <c r="H244" s="2"/>
      <c r="I244" s="2"/>
      <c r="J244" s="2"/>
      <c r="K244" s="2"/>
      <c r="L244" s="2"/>
      <c r="M244" s="2"/>
      <c r="N244" s="2"/>
      <c r="O244" s="2"/>
      <c r="P244" s="4"/>
      <c r="U244" s="11"/>
      <c r="V244" s="11"/>
      <c r="W244" s="11"/>
      <c r="X244" s="11"/>
      <c r="Y244" s="11"/>
      <c r="Z244" s="11"/>
      <c r="AA244" s="11"/>
      <c r="AB244" s="11"/>
    </row>
    <row r="245" spans="4:28">
      <c r="D245" s="2"/>
      <c r="E245" s="2"/>
      <c r="F245" s="2"/>
      <c r="G245" s="2"/>
      <c r="H245" s="2"/>
      <c r="I245" s="2"/>
      <c r="J245" s="2"/>
      <c r="K245" s="2"/>
      <c r="L245" s="2"/>
      <c r="M245" s="2"/>
      <c r="N245" s="2"/>
      <c r="O245" s="2"/>
      <c r="P245" s="2"/>
      <c r="X245" s="9"/>
    </row>
    <row r="246" spans="4:28">
      <c r="X246" s="9"/>
    </row>
    <row r="247" spans="4:28">
      <c r="X247" s="9"/>
    </row>
    <row r="248" spans="4:28">
      <c r="X248" s="9"/>
    </row>
    <row r="249" spans="4:28">
      <c r="X249" s="9"/>
    </row>
    <row r="250" spans="4:28">
      <c r="X250" s="9"/>
    </row>
    <row r="251" spans="4:28">
      <c r="X251" s="9"/>
    </row>
    <row r="252" spans="4:28">
      <c r="X252" s="9"/>
    </row>
    <row r="253" spans="4:28">
      <c r="X253" s="9"/>
    </row>
    <row r="254" spans="4:28">
      <c r="X254" s="9"/>
    </row>
    <row r="255" spans="4:28">
      <c r="X255" s="9"/>
    </row>
    <row r="256" spans="4:28">
      <c r="X256" s="9"/>
    </row>
    <row r="257" spans="24:24">
      <c r="X257" s="9"/>
    </row>
    <row r="258" spans="24:24">
      <c r="X258" s="9"/>
    </row>
    <row r="259" spans="24:24">
      <c r="X259" s="9"/>
    </row>
    <row r="260" spans="24:24">
      <c r="X260" s="9"/>
    </row>
    <row r="261" spans="24:24">
      <c r="X261" s="9"/>
    </row>
    <row r="262" spans="24:24">
      <c r="X262" s="9"/>
    </row>
    <row r="263" spans="24:24">
      <c r="X263" s="9"/>
    </row>
    <row r="264" spans="24:24">
      <c r="X264" s="9"/>
    </row>
    <row r="265" spans="24:24">
      <c r="X265" s="9"/>
    </row>
    <row r="266" spans="24:24">
      <c r="X266" s="9"/>
    </row>
    <row r="267" spans="24:24">
      <c r="X267" s="9"/>
    </row>
    <row r="268" spans="24:24">
      <c r="X268" s="9"/>
    </row>
    <row r="269" spans="24:24">
      <c r="X269" s="9"/>
    </row>
    <row r="270" spans="24:24">
      <c r="X270" s="9"/>
    </row>
    <row r="271" spans="24:24">
      <c r="X271" s="9"/>
    </row>
    <row r="272" spans="24:24">
      <c r="X272" s="9"/>
    </row>
    <row r="273" spans="24:24">
      <c r="X273" s="9"/>
    </row>
    <row r="274" spans="24:24">
      <c r="X274" s="9"/>
    </row>
    <row r="275" spans="24:24">
      <c r="X275" s="9"/>
    </row>
    <row r="276" spans="24:24">
      <c r="X276" s="9"/>
    </row>
    <row r="277" spans="24:24">
      <c r="X277" s="9"/>
    </row>
    <row r="278" spans="24:24">
      <c r="X278" s="9"/>
    </row>
    <row r="279" spans="24:24">
      <c r="X279" s="9"/>
    </row>
    <row r="280" spans="24:24">
      <c r="X280" s="9"/>
    </row>
    <row r="281" spans="24:24">
      <c r="X281" s="9"/>
    </row>
    <row r="282" spans="24:24">
      <c r="X282" s="9"/>
    </row>
    <row r="283" spans="24:24">
      <c r="X283" s="9"/>
    </row>
    <row r="284" spans="24:24">
      <c r="X284" s="9"/>
    </row>
    <row r="285" spans="24:24">
      <c r="X285" s="9"/>
    </row>
    <row r="286" spans="24:24">
      <c r="X286" s="9"/>
    </row>
    <row r="287" spans="24:24">
      <c r="X287" s="9"/>
    </row>
    <row r="288" spans="24:24">
      <c r="X288" s="9"/>
    </row>
    <row r="289" spans="24:24">
      <c r="X289" s="9"/>
    </row>
    <row r="290" spans="24:24">
      <c r="X290" s="9"/>
    </row>
    <row r="291" spans="24:24">
      <c r="X291" s="9"/>
    </row>
    <row r="292" spans="24:24">
      <c r="X292" s="9"/>
    </row>
    <row r="293" spans="24:24">
      <c r="X293" s="9"/>
    </row>
    <row r="294" spans="24:24">
      <c r="X294" s="9"/>
    </row>
    <row r="295" spans="24:24">
      <c r="X295" s="9"/>
    </row>
    <row r="296" spans="24:24">
      <c r="X296" s="9"/>
    </row>
    <row r="297" spans="24:24">
      <c r="X297" s="9"/>
    </row>
    <row r="298" spans="24:24">
      <c r="X298" s="9"/>
    </row>
    <row r="299" spans="24:24">
      <c r="X299" s="9"/>
    </row>
    <row r="300" spans="24:24">
      <c r="X300" s="9"/>
    </row>
    <row r="301" spans="24:24">
      <c r="X301" s="9"/>
    </row>
    <row r="302" spans="24:24">
      <c r="X302" s="9"/>
    </row>
    <row r="303" spans="24:24">
      <c r="X303" s="9"/>
    </row>
    <row r="304" spans="24:24">
      <c r="X304" s="9"/>
    </row>
    <row r="305" spans="24:24">
      <c r="X305" s="9"/>
    </row>
    <row r="306" spans="24:24">
      <c r="X306" s="9"/>
    </row>
    <row r="307" spans="24:24">
      <c r="X307" s="9"/>
    </row>
    <row r="308" spans="24:24">
      <c r="X308" s="9"/>
    </row>
    <row r="309" spans="24:24">
      <c r="X309" s="9"/>
    </row>
    <row r="310" spans="24:24">
      <c r="X310" s="9"/>
    </row>
    <row r="311" spans="24:24">
      <c r="X311" s="9"/>
    </row>
    <row r="312" spans="24:24">
      <c r="X312" s="9"/>
    </row>
    <row r="313" spans="24:24">
      <c r="X313" s="9"/>
    </row>
    <row r="314" spans="24:24">
      <c r="X314" s="9"/>
    </row>
    <row r="315" spans="24:24">
      <c r="X315" s="9"/>
    </row>
    <row r="316" spans="24:24">
      <c r="X316" s="9"/>
    </row>
    <row r="317" spans="24:24">
      <c r="X317" s="9"/>
    </row>
    <row r="318" spans="24:24">
      <c r="X318" s="9"/>
    </row>
    <row r="319" spans="24:24">
      <c r="X319" s="9"/>
    </row>
    <row r="320" spans="24:24">
      <c r="X320" s="9"/>
    </row>
    <row r="321" spans="24:24">
      <c r="X321" s="9"/>
    </row>
    <row r="322" spans="24:24">
      <c r="X322" s="9"/>
    </row>
    <row r="323" spans="24:24">
      <c r="X323" s="9"/>
    </row>
    <row r="324" spans="24:24">
      <c r="X324" s="9"/>
    </row>
    <row r="325" spans="24:24">
      <c r="X325" s="9"/>
    </row>
    <row r="326" spans="24:24">
      <c r="X326" s="9"/>
    </row>
    <row r="327" spans="24:24">
      <c r="X327" s="9"/>
    </row>
    <row r="328" spans="24:24">
      <c r="X328" s="9"/>
    </row>
    <row r="329" spans="24:24">
      <c r="X329" s="9"/>
    </row>
    <row r="330" spans="24:24">
      <c r="X330" s="9"/>
    </row>
    <row r="331" spans="24:24">
      <c r="X331" s="9"/>
    </row>
    <row r="332" spans="24:24">
      <c r="X332" s="9"/>
    </row>
    <row r="333" spans="24:24">
      <c r="X333" s="9"/>
    </row>
    <row r="334" spans="24:24">
      <c r="X334" s="9"/>
    </row>
    <row r="335" spans="24:24">
      <c r="X335" s="9"/>
    </row>
    <row r="336" spans="24:24">
      <c r="X336" s="9"/>
    </row>
    <row r="337" spans="24:24">
      <c r="X337" s="9"/>
    </row>
    <row r="338" spans="24:24">
      <c r="X338" s="9"/>
    </row>
    <row r="339" spans="24:24">
      <c r="X339" s="9"/>
    </row>
    <row r="340" spans="24:24">
      <c r="X340" s="9"/>
    </row>
    <row r="341" spans="24:24">
      <c r="X341" s="9"/>
    </row>
    <row r="342" spans="24:24">
      <c r="X342" s="9"/>
    </row>
    <row r="343" spans="24:24">
      <c r="X343" s="9"/>
    </row>
    <row r="344" spans="24:24">
      <c r="X344" s="9"/>
    </row>
    <row r="345" spans="24:24">
      <c r="X345" s="9"/>
    </row>
    <row r="346" spans="24:24">
      <c r="X346" s="9"/>
    </row>
    <row r="347" spans="24:24">
      <c r="X347" s="9"/>
    </row>
    <row r="348" spans="24:24">
      <c r="X348" s="9"/>
    </row>
    <row r="349" spans="24:24">
      <c r="X349" s="9"/>
    </row>
    <row r="350" spans="24:24">
      <c r="X350" s="9"/>
    </row>
    <row r="351" spans="24:24">
      <c r="X351" s="9"/>
    </row>
    <row r="352" spans="24:24">
      <c r="X352" s="9"/>
    </row>
    <row r="353" spans="24:24">
      <c r="X353" s="9"/>
    </row>
    <row r="354" spans="24:24">
      <c r="X354" s="9"/>
    </row>
    <row r="355" spans="24:24">
      <c r="X355" s="9"/>
    </row>
    <row r="356" spans="24:24">
      <c r="X356" s="9"/>
    </row>
    <row r="357" spans="24:24">
      <c r="X357" s="9"/>
    </row>
    <row r="358" spans="24:24">
      <c r="X358" s="9"/>
    </row>
    <row r="359" spans="24:24">
      <c r="X359" s="9"/>
    </row>
    <row r="360" spans="24:24">
      <c r="X360" s="9"/>
    </row>
    <row r="361" spans="24:24">
      <c r="X361" s="9"/>
    </row>
    <row r="362" spans="24:24">
      <c r="X362" s="9"/>
    </row>
    <row r="363" spans="24:24">
      <c r="X363" s="9"/>
    </row>
    <row r="364" spans="24:24">
      <c r="X364" s="9"/>
    </row>
    <row r="365" spans="24:24">
      <c r="X365" s="9"/>
    </row>
    <row r="366" spans="24:24">
      <c r="X366" s="9"/>
    </row>
    <row r="367" spans="24:24">
      <c r="X367" s="9"/>
    </row>
    <row r="368" spans="24:24">
      <c r="X368" s="9"/>
    </row>
    <row r="369" spans="24:24">
      <c r="X369" s="9"/>
    </row>
    <row r="370" spans="24:24">
      <c r="X370" s="9"/>
    </row>
    <row r="371" spans="24:24">
      <c r="X371" s="9"/>
    </row>
    <row r="372" spans="24:24">
      <c r="X372" s="9"/>
    </row>
    <row r="373" spans="24:24">
      <c r="X373" s="9"/>
    </row>
    <row r="374" spans="24:24">
      <c r="X374" s="9"/>
    </row>
    <row r="375" spans="24:24">
      <c r="X375" s="9"/>
    </row>
    <row r="376" spans="24:24">
      <c r="X376" s="9"/>
    </row>
    <row r="377" spans="24:24">
      <c r="X377" s="9"/>
    </row>
    <row r="378" spans="24:24">
      <c r="X378" s="9"/>
    </row>
    <row r="379" spans="24:24">
      <c r="X379" s="9"/>
    </row>
    <row r="380" spans="24:24">
      <c r="X380" s="9"/>
    </row>
    <row r="381" spans="24:24">
      <c r="X381" s="9"/>
    </row>
    <row r="382" spans="24:24">
      <c r="X382" s="9"/>
    </row>
    <row r="383" spans="24:24">
      <c r="X383" s="9"/>
    </row>
    <row r="384" spans="24:24">
      <c r="X384" s="9"/>
    </row>
    <row r="385" spans="24:24">
      <c r="X385" s="9"/>
    </row>
    <row r="386" spans="24:24">
      <c r="X386" s="9"/>
    </row>
    <row r="387" spans="24:24">
      <c r="X387" s="9"/>
    </row>
    <row r="388" spans="24:24">
      <c r="X388" s="9"/>
    </row>
    <row r="389" spans="24:24">
      <c r="X389" s="9"/>
    </row>
    <row r="390" spans="24:24">
      <c r="X390" s="9"/>
    </row>
    <row r="391" spans="24:24">
      <c r="X391" s="9"/>
    </row>
    <row r="392" spans="24:24">
      <c r="X392" s="9"/>
    </row>
    <row r="393" spans="24:24">
      <c r="X393" s="9"/>
    </row>
    <row r="394" spans="24:24">
      <c r="X394" s="9"/>
    </row>
    <row r="395" spans="24:24">
      <c r="X395" s="9"/>
    </row>
    <row r="396" spans="24:24">
      <c r="X396" s="9"/>
    </row>
    <row r="397" spans="24:24">
      <c r="X397" s="9"/>
    </row>
    <row r="398" spans="24:24">
      <c r="X398" s="9"/>
    </row>
    <row r="399" spans="24:24">
      <c r="X399" s="9"/>
    </row>
    <row r="400" spans="24:24">
      <c r="X400" s="9"/>
    </row>
    <row r="401" spans="24:24">
      <c r="X401" s="9"/>
    </row>
    <row r="402" spans="24:24">
      <c r="X402" s="9"/>
    </row>
    <row r="403" spans="24:24">
      <c r="X403" s="9"/>
    </row>
    <row r="404" spans="24:24">
      <c r="X404" s="9"/>
    </row>
    <row r="405" spans="24:24">
      <c r="X405" s="9"/>
    </row>
    <row r="406" spans="24:24">
      <c r="X406" s="9"/>
    </row>
    <row r="407" spans="24:24">
      <c r="X407" s="9"/>
    </row>
    <row r="408" spans="24:24">
      <c r="X408" s="9"/>
    </row>
    <row r="409" spans="24:24">
      <c r="X409" s="9"/>
    </row>
    <row r="410" spans="24:24">
      <c r="X410" s="9"/>
    </row>
    <row r="411" spans="24:24">
      <c r="X411" s="9"/>
    </row>
    <row r="412" spans="24:24">
      <c r="X412" s="9"/>
    </row>
    <row r="413" spans="24:24">
      <c r="X413" s="9"/>
    </row>
    <row r="414" spans="24:24">
      <c r="X414" s="9"/>
    </row>
    <row r="415" spans="24:24">
      <c r="X415" s="9"/>
    </row>
    <row r="416" spans="24:24">
      <c r="X416" s="9"/>
    </row>
    <row r="417" spans="24:24">
      <c r="X417" s="9"/>
    </row>
    <row r="418" spans="24:24">
      <c r="X418" s="9"/>
    </row>
    <row r="419" spans="24:24">
      <c r="X419" s="9"/>
    </row>
    <row r="420" spans="24:24">
      <c r="X420" s="9"/>
    </row>
    <row r="421" spans="24:24">
      <c r="X421" s="9"/>
    </row>
    <row r="422" spans="24:24">
      <c r="X422" s="9"/>
    </row>
    <row r="423" spans="24:24">
      <c r="X423" s="9"/>
    </row>
    <row r="424" spans="24:24">
      <c r="X424" s="9"/>
    </row>
    <row r="425" spans="24:24">
      <c r="X425" s="9"/>
    </row>
    <row r="426" spans="24:24">
      <c r="X426" s="9"/>
    </row>
    <row r="427" spans="24:24">
      <c r="X427" s="9"/>
    </row>
    <row r="428" spans="24:24">
      <c r="X428" s="9"/>
    </row>
    <row r="429" spans="24:24">
      <c r="X429" s="9"/>
    </row>
    <row r="430" spans="24:24">
      <c r="X430" s="9"/>
    </row>
    <row r="431" spans="24:24">
      <c r="X431" s="9"/>
    </row>
    <row r="432" spans="24:24">
      <c r="X432" s="9"/>
    </row>
    <row r="433" spans="24:24">
      <c r="X433" s="9"/>
    </row>
    <row r="434" spans="24:24">
      <c r="X434" s="9"/>
    </row>
    <row r="435" spans="24:24">
      <c r="X435" s="9"/>
    </row>
    <row r="436" spans="24:24">
      <c r="X436" s="9"/>
    </row>
    <row r="437" spans="24:24">
      <c r="X437" s="9"/>
    </row>
    <row r="438" spans="24:24">
      <c r="X438" s="9"/>
    </row>
    <row r="439" spans="24:24">
      <c r="X439" s="9"/>
    </row>
    <row r="440" spans="24:24">
      <c r="X440" s="9"/>
    </row>
    <row r="441" spans="24:24">
      <c r="X441" s="9"/>
    </row>
    <row r="442" spans="24:24">
      <c r="X442" s="9"/>
    </row>
    <row r="443" spans="24:24">
      <c r="X443" s="9"/>
    </row>
    <row r="444" spans="24:24">
      <c r="X444" s="9"/>
    </row>
    <row r="445" spans="24:24">
      <c r="X445" s="9"/>
    </row>
    <row r="446" spans="24:24">
      <c r="X446" s="9"/>
    </row>
    <row r="447" spans="24:24">
      <c r="X447" s="9"/>
    </row>
    <row r="448" spans="24:24">
      <c r="X448" s="9"/>
    </row>
    <row r="449" spans="24:24">
      <c r="X449" s="9"/>
    </row>
    <row r="450" spans="24:24">
      <c r="X450" s="9"/>
    </row>
    <row r="451" spans="24:24">
      <c r="X451" s="9"/>
    </row>
    <row r="452" spans="24:24">
      <c r="X452" s="9"/>
    </row>
    <row r="453" spans="24:24">
      <c r="X453" s="9"/>
    </row>
    <row r="454" spans="24:24">
      <c r="X454" s="9"/>
    </row>
    <row r="455" spans="24:24">
      <c r="X455" s="9"/>
    </row>
    <row r="456" spans="24:24">
      <c r="X456" s="9"/>
    </row>
    <row r="457" spans="24:24">
      <c r="X457" s="9"/>
    </row>
    <row r="458" spans="24:24">
      <c r="X458" s="9"/>
    </row>
    <row r="459" spans="24:24">
      <c r="X459" s="9"/>
    </row>
    <row r="460" spans="24:24">
      <c r="X460" s="9"/>
    </row>
    <row r="461" spans="24:24">
      <c r="X461" s="9"/>
    </row>
    <row r="462" spans="24:24">
      <c r="X462" s="9"/>
    </row>
    <row r="463" spans="24:24">
      <c r="X463" s="9"/>
    </row>
    <row r="464" spans="24:24">
      <c r="X464" s="9"/>
    </row>
    <row r="465" spans="24:24">
      <c r="X465" s="9"/>
    </row>
    <row r="466" spans="24:24">
      <c r="X466" s="9"/>
    </row>
    <row r="467" spans="24:24">
      <c r="X467" s="9"/>
    </row>
    <row r="468" spans="24:24">
      <c r="X468" s="9"/>
    </row>
    <row r="469" spans="24:24">
      <c r="X469" s="9"/>
    </row>
    <row r="470" spans="24:24">
      <c r="X470" s="9"/>
    </row>
    <row r="471" spans="24:24">
      <c r="X471" s="9"/>
    </row>
    <row r="472" spans="24:24">
      <c r="X472" s="9"/>
    </row>
    <row r="473" spans="24:24">
      <c r="X473" s="9"/>
    </row>
    <row r="474" spans="24:24">
      <c r="X474" s="9"/>
    </row>
    <row r="475" spans="24:24">
      <c r="X475" s="9"/>
    </row>
    <row r="476" spans="24:24">
      <c r="X476" s="9"/>
    </row>
    <row r="477" spans="24:24">
      <c r="X477" s="9"/>
    </row>
    <row r="478" spans="24:24">
      <c r="X478" s="9"/>
    </row>
    <row r="479" spans="24:24">
      <c r="X479" s="9"/>
    </row>
    <row r="480" spans="24:24">
      <c r="X480" s="9"/>
    </row>
    <row r="481" spans="24:24">
      <c r="X481" s="9"/>
    </row>
    <row r="482" spans="24:24">
      <c r="X482" s="9"/>
    </row>
    <row r="483" spans="24:24">
      <c r="X483" s="9"/>
    </row>
    <row r="484" spans="24:24">
      <c r="X484" s="9"/>
    </row>
    <row r="485" spans="24:24">
      <c r="X485" s="9"/>
    </row>
    <row r="486" spans="24:24">
      <c r="X486" s="9"/>
    </row>
    <row r="487" spans="24:24">
      <c r="X487" s="9"/>
    </row>
    <row r="488" spans="24:24">
      <c r="X488" s="9"/>
    </row>
    <row r="489" spans="24:24">
      <c r="X489" s="9"/>
    </row>
    <row r="490" spans="24:24">
      <c r="X490" s="9"/>
    </row>
    <row r="491" spans="24:24">
      <c r="X491" s="9"/>
    </row>
    <row r="492" spans="24:24">
      <c r="X492" s="9"/>
    </row>
    <row r="493" spans="24:24">
      <c r="X493" s="9"/>
    </row>
    <row r="494" spans="24:24">
      <c r="X494" s="9"/>
    </row>
    <row r="495" spans="24:24">
      <c r="X495" s="9"/>
    </row>
    <row r="496" spans="24:24">
      <c r="X496" s="9"/>
    </row>
    <row r="497" spans="24:24">
      <c r="X497" s="9"/>
    </row>
    <row r="498" spans="24:24">
      <c r="X498" s="9"/>
    </row>
    <row r="499" spans="24:24">
      <c r="X499" s="9"/>
    </row>
    <row r="500" spans="24:24">
      <c r="X500" s="9"/>
    </row>
    <row r="501" spans="24:24">
      <c r="X501" s="9"/>
    </row>
    <row r="502" spans="24:24">
      <c r="X502" s="9"/>
    </row>
    <row r="503" spans="24:24">
      <c r="X503" s="9"/>
    </row>
    <row r="504" spans="24:24">
      <c r="X504" s="9"/>
    </row>
    <row r="505" spans="24:24">
      <c r="X505" s="9"/>
    </row>
    <row r="506" spans="24:24">
      <c r="X506" s="9"/>
    </row>
    <row r="507" spans="24:24">
      <c r="X507" s="9"/>
    </row>
    <row r="508" spans="24:24">
      <c r="X508" s="9"/>
    </row>
  </sheetData>
  <phoneticPr fontId="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0"/>
  <sheetViews>
    <sheetView topLeftCell="A87" workbookViewId="0">
      <selection activeCell="C142" sqref="C142:C149"/>
    </sheetView>
  </sheetViews>
  <sheetFormatPr defaultRowHeight="15"/>
  <cols>
    <col min="1" max="1" width="16" customWidth="1"/>
    <col min="2" max="2" width="66.5703125" customWidth="1"/>
    <col min="3" max="3" width="54.5703125" customWidth="1"/>
  </cols>
  <sheetData>
    <row r="1" spans="1:3" s="36" customFormat="1" ht="21.75" customHeight="1">
      <c r="A1" s="39" t="s">
        <v>28</v>
      </c>
      <c r="B1" s="40" t="s">
        <v>256</v>
      </c>
      <c r="C1" s="40" t="s">
        <v>257</v>
      </c>
    </row>
    <row r="2" spans="1:3">
      <c r="A2" t="s">
        <v>0</v>
      </c>
      <c r="B2" s="41" t="s">
        <v>259</v>
      </c>
      <c r="C2" s="41" t="s">
        <v>258</v>
      </c>
    </row>
    <row r="3" spans="1:3">
      <c r="A3" t="s">
        <v>1</v>
      </c>
      <c r="B3" s="41"/>
      <c r="C3" s="43"/>
    </row>
    <row r="4" spans="1:3">
      <c r="A4" t="s">
        <v>2</v>
      </c>
      <c r="B4" s="41"/>
      <c r="C4" s="43"/>
    </row>
    <row r="5" spans="1:3">
      <c r="A5" t="s">
        <v>3</v>
      </c>
      <c r="B5" s="41"/>
      <c r="C5" s="43"/>
    </row>
    <row r="6" spans="1:3">
      <c r="A6" t="s">
        <v>4</v>
      </c>
      <c r="B6" s="41"/>
      <c r="C6" s="43"/>
    </row>
    <row r="7" spans="1:3">
      <c r="A7" t="s">
        <v>5</v>
      </c>
      <c r="B7" s="41"/>
      <c r="C7" s="43"/>
    </row>
    <row r="8" spans="1:3">
      <c r="A8" t="s">
        <v>6</v>
      </c>
      <c r="B8" s="41"/>
      <c r="C8" s="43"/>
    </row>
    <row r="9" spans="1:3">
      <c r="A9" t="s">
        <v>7</v>
      </c>
      <c r="B9" s="41"/>
      <c r="C9" s="43"/>
    </row>
    <row r="10" spans="1:3">
      <c r="A10" t="s">
        <v>8</v>
      </c>
      <c r="B10" s="41"/>
      <c r="C10" s="43"/>
    </row>
    <row r="11" spans="1:3">
      <c r="A11" t="s">
        <v>19</v>
      </c>
      <c r="B11" s="41"/>
      <c r="C11" s="43"/>
    </row>
    <row r="12" spans="1:3">
      <c r="A12" t="s">
        <v>20</v>
      </c>
      <c r="B12" s="41"/>
      <c r="C12" s="43"/>
    </row>
    <row r="13" spans="1:3">
      <c r="A13" t="s">
        <v>21</v>
      </c>
      <c r="B13" s="41"/>
      <c r="C13" s="43"/>
    </row>
    <row r="14" spans="1:3">
      <c r="A14" t="s">
        <v>22</v>
      </c>
      <c r="B14" s="41"/>
      <c r="C14" s="43"/>
    </row>
    <row r="15" spans="1:3">
      <c r="A15" t="s">
        <v>23</v>
      </c>
      <c r="B15" s="41"/>
      <c r="C15" s="43"/>
    </row>
    <row r="16" spans="1:3">
      <c r="A16" t="s">
        <v>24</v>
      </c>
      <c r="B16" s="41"/>
      <c r="C16" s="43"/>
    </row>
    <row r="17" spans="1:3">
      <c r="A17" t="s">
        <v>25</v>
      </c>
      <c r="B17" s="41"/>
      <c r="C17" s="43"/>
    </row>
    <row r="18" spans="1:3">
      <c r="A18" t="s">
        <v>26</v>
      </c>
      <c r="B18" s="41"/>
      <c r="C18" s="43"/>
    </row>
    <row r="19" spans="1:3">
      <c r="A19" t="s">
        <v>27</v>
      </c>
      <c r="B19" s="41"/>
      <c r="C19" s="43"/>
    </row>
    <row r="20" spans="1:3">
      <c r="A20" t="s">
        <v>29</v>
      </c>
      <c r="B20" s="41"/>
      <c r="C20" s="43"/>
    </row>
    <row r="21" spans="1:3">
      <c r="A21" t="s">
        <v>30</v>
      </c>
      <c r="B21" s="41"/>
      <c r="C21" s="43"/>
    </row>
    <row r="22" spans="1:3">
      <c r="A22" t="s">
        <v>31</v>
      </c>
      <c r="B22" s="41"/>
      <c r="C22" s="43"/>
    </row>
    <row r="23" spans="1:3">
      <c r="A23" t="s">
        <v>32</v>
      </c>
      <c r="B23" s="41"/>
      <c r="C23" s="43"/>
    </row>
    <row r="24" spans="1:3">
      <c r="A24" t="s">
        <v>33</v>
      </c>
      <c r="B24" s="41"/>
      <c r="C24" s="43"/>
    </row>
    <row r="25" spans="1:3">
      <c r="A25" t="s">
        <v>34</v>
      </c>
      <c r="B25" s="41"/>
      <c r="C25" s="43"/>
    </row>
    <row r="26" spans="1:3">
      <c r="A26" t="s">
        <v>35</v>
      </c>
      <c r="B26" s="41"/>
      <c r="C26" s="43"/>
    </row>
    <row r="27" spans="1:3">
      <c r="A27" t="s">
        <v>36</v>
      </c>
      <c r="B27" s="41"/>
      <c r="C27" s="43"/>
    </row>
    <row r="28" spans="1:3">
      <c r="A28" t="s">
        <v>37</v>
      </c>
      <c r="B28" s="41"/>
      <c r="C28" s="43"/>
    </row>
    <row r="29" spans="1:3">
      <c r="A29" t="s">
        <v>38</v>
      </c>
      <c r="B29" s="41"/>
      <c r="C29" s="43"/>
    </row>
    <row r="30" spans="1:3">
      <c r="A30" t="s">
        <v>39</v>
      </c>
      <c r="B30" s="41"/>
      <c r="C30" s="43"/>
    </row>
    <row r="31" spans="1:3">
      <c r="A31" t="s">
        <v>40</v>
      </c>
      <c r="B31" s="41"/>
      <c r="C31" s="43"/>
    </row>
    <row r="32" spans="1:3">
      <c r="A32" t="s">
        <v>41</v>
      </c>
      <c r="B32" s="41"/>
      <c r="C32" s="43"/>
    </row>
    <row r="33" spans="1:3">
      <c r="A33" t="s">
        <v>42</v>
      </c>
      <c r="B33" s="41"/>
      <c r="C33" s="43"/>
    </row>
    <row r="34" spans="1:3">
      <c r="A34" t="s">
        <v>43</v>
      </c>
      <c r="B34" s="41"/>
      <c r="C34" s="43"/>
    </row>
    <row r="35" spans="1:3">
      <c r="A35" t="s">
        <v>44</v>
      </c>
      <c r="B35" s="41"/>
      <c r="C35" s="43"/>
    </row>
    <row r="36" spans="1:3">
      <c r="A36" t="s">
        <v>45</v>
      </c>
      <c r="B36" s="41"/>
      <c r="C36" s="43"/>
    </row>
    <row r="37" spans="1:3">
      <c r="A37" t="s">
        <v>46</v>
      </c>
      <c r="B37" s="42"/>
      <c r="C37" s="44"/>
    </row>
    <row r="38" spans="1:3">
      <c r="A38" s="38" t="s">
        <v>49</v>
      </c>
      <c r="B38" s="41" t="s">
        <v>260</v>
      </c>
      <c r="C38" s="45" t="s">
        <v>261</v>
      </c>
    </row>
    <row r="39" spans="1:3">
      <c r="A39" s="38" t="s">
        <v>50</v>
      </c>
      <c r="B39" s="41"/>
      <c r="C39" s="43"/>
    </row>
    <row r="40" spans="1:3">
      <c r="A40" s="38" t="s">
        <v>51</v>
      </c>
      <c r="B40" s="41"/>
      <c r="C40" s="43"/>
    </row>
    <row r="41" spans="1:3">
      <c r="A41" s="38" t="s">
        <v>57</v>
      </c>
      <c r="B41" s="41"/>
      <c r="C41" s="43"/>
    </row>
    <row r="42" spans="1:3">
      <c r="A42" s="38" t="s">
        <v>60</v>
      </c>
      <c r="B42" s="41"/>
      <c r="C42" s="43"/>
    </row>
    <row r="43" spans="1:3">
      <c r="A43" s="38" t="s">
        <v>52</v>
      </c>
      <c r="B43" s="41"/>
      <c r="C43" s="43"/>
    </row>
    <row r="44" spans="1:3">
      <c r="A44" s="38" t="s">
        <v>53</v>
      </c>
      <c r="B44" s="41"/>
      <c r="C44" s="43"/>
    </row>
    <row r="45" spans="1:3">
      <c r="A45" s="38" t="s">
        <v>54</v>
      </c>
      <c r="B45" s="41"/>
      <c r="C45" s="43"/>
    </row>
    <row r="46" spans="1:3">
      <c r="A46" s="38" t="s">
        <v>55</v>
      </c>
      <c r="B46" s="41"/>
      <c r="C46" s="43"/>
    </row>
    <row r="47" spans="1:3">
      <c r="A47" s="38" t="s">
        <v>56</v>
      </c>
      <c r="B47" s="41"/>
      <c r="C47" s="43"/>
    </row>
    <row r="48" spans="1:3">
      <c r="A48" s="38" t="s">
        <v>58</v>
      </c>
      <c r="B48" s="41"/>
      <c r="C48" s="43"/>
    </row>
    <row r="49" spans="1:3">
      <c r="A49" s="38" t="s">
        <v>59</v>
      </c>
      <c r="B49" s="41"/>
      <c r="C49" s="43"/>
    </row>
    <row r="50" spans="1:3">
      <c r="A50" s="38" t="s">
        <v>76</v>
      </c>
      <c r="B50" s="41"/>
      <c r="C50" s="43"/>
    </row>
    <row r="51" spans="1:3">
      <c r="A51" s="38" t="s">
        <v>61</v>
      </c>
      <c r="B51" s="41"/>
      <c r="C51" s="43"/>
    </row>
    <row r="52" spans="1:3">
      <c r="A52" s="38" t="s">
        <v>77</v>
      </c>
      <c r="B52" s="41"/>
      <c r="C52" s="43"/>
    </row>
    <row r="53" spans="1:3">
      <c r="A53" s="38" t="s">
        <v>62</v>
      </c>
      <c r="B53" s="41"/>
      <c r="C53" s="43"/>
    </row>
    <row r="54" spans="1:3">
      <c r="A54" s="38" t="s">
        <v>64</v>
      </c>
      <c r="B54" s="41"/>
      <c r="C54" s="43"/>
    </row>
    <row r="55" spans="1:3">
      <c r="A55" s="38" t="s">
        <v>65</v>
      </c>
      <c r="B55" s="41"/>
      <c r="C55" s="43"/>
    </row>
    <row r="56" spans="1:3">
      <c r="A56" s="38" t="s">
        <v>66</v>
      </c>
      <c r="B56" s="41"/>
      <c r="C56" s="43"/>
    </row>
    <row r="57" spans="1:3">
      <c r="A57" s="38" t="s">
        <v>70</v>
      </c>
      <c r="B57" s="41"/>
      <c r="C57" s="43"/>
    </row>
    <row r="58" spans="1:3">
      <c r="A58" s="38" t="s">
        <v>71</v>
      </c>
      <c r="B58" s="41"/>
      <c r="C58" s="43"/>
    </row>
    <row r="59" spans="1:3">
      <c r="A59" s="38" t="s">
        <v>67</v>
      </c>
      <c r="B59" s="41"/>
      <c r="C59" s="43"/>
    </row>
    <row r="60" spans="1:3">
      <c r="A60" s="38" t="s">
        <v>68</v>
      </c>
      <c r="B60" s="41"/>
      <c r="C60" s="43"/>
    </row>
    <row r="61" spans="1:3">
      <c r="A61" s="38" t="s">
        <v>69</v>
      </c>
      <c r="B61" s="41"/>
      <c r="C61" s="43"/>
    </row>
    <row r="62" spans="1:3">
      <c r="A62" s="38" t="s">
        <v>72</v>
      </c>
      <c r="B62" s="41"/>
      <c r="C62" s="43"/>
    </row>
    <row r="63" spans="1:3">
      <c r="A63" s="38" t="s">
        <v>73</v>
      </c>
      <c r="B63" s="41"/>
      <c r="C63" s="43"/>
    </row>
    <row r="64" spans="1:3">
      <c r="A64" s="38" t="s">
        <v>74</v>
      </c>
      <c r="B64" s="41"/>
      <c r="C64" s="43"/>
    </row>
    <row r="65" spans="1:3">
      <c r="A65" s="37" t="s">
        <v>63</v>
      </c>
      <c r="B65" s="42"/>
      <c r="C65" s="44"/>
    </row>
    <row r="66" spans="1:3">
      <c r="A66" s="30" t="s">
        <v>90</v>
      </c>
      <c r="B66" s="45" t="s">
        <v>262</v>
      </c>
      <c r="C66" s="45" t="s">
        <v>263</v>
      </c>
    </row>
    <row r="67" spans="1:3">
      <c r="A67" s="38" t="s">
        <v>91</v>
      </c>
      <c r="B67" s="41"/>
      <c r="C67" s="41"/>
    </row>
    <row r="68" spans="1:3">
      <c r="A68" s="38" t="s">
        <v>89</v>
      </c>
      <c r="B68" s="41"/>
      <c r="C68" s="41"/>
    </row>
    <row r="69" spans="1:3">
      <c r="A69" s="38" t="s">
        <v>88</v>
      </c>
      <c r="B69" s="41"/>
      <c r="C69" s="41"/>
    </row>
    <row r="70" spans="1:3">
      <c r="A70" s="38" t="s">
        <v>87</v>
      </c>
      <c r="B70" s="41"/>
      <c r="C70" s="41"/>
    </row>
    <row r="71" spans="1:3">
      <c r="A71" s="38" t="s">
        <v>86</v>
      </c>
      <c r="B71" s="41"/>
      <c r="C71" s="41"/>
    </row>
    <row r="72" spans="1:3">
      <c r="A72" s="38" t="s">
        <v>85</v>
      </c>
      <c r="B72" s="41"/>
      <c r="C72" s="41"/>
    </row>
    <row r="73" spans="1:3">
      <c r="A73" s="38" t="s">
        <v>84</v>
      </c>
      <c r="B73" s="41"/>
      <c r="C73" s="41"/>
    </row>
    <row r="74" spans="1:3">
      <c r="A74" s="38" t="s">
        <v>83</v>
      </c>
      <c r="B74" s="41"/>
      <c r="C74" s="41"/>
    </row>
    <row r="75" spans="1:3">
      <c r="A75" s="38" t="s">
        <v>80</v>
      </c>
      <c r="B75" s="41"/>
      <c r="C75" s="41"/>
    </row>
    <row r="76" spans="1:3">
      <c r="A76" s="38" t="s">
        <v>79</v>
      </c>
      <c r="B76" s="41"/>
      <c r="C76" s="41"/>
    </row>
    <row r="77" spans="1:3">
      <c r="A77" s="38" t="s">
        <v>82</v>
      </c>
      <c r="B77" s="41"/>
      <c r="C77" s="41"/>
    </row>
    <row r="78" spans="1:3">
      <c r="A78" s="37" t="s">
        <v>81</v>
      </c>
      <c r="B78" s="42"/>
      <c r="C78" s="42"/>
    </row>
    <row r="79" spans="1:3">
      <c r="A79" s="30" t="s">
        <v>151</v>
      </c>
      <c r="B79" s="45" t="s">
        <v>264</v>
      </c>
      <c r="C79" s="45" t="s">
        <v>265</v>
      </c>
    </row>
    <row r="80" spans="1:3">
      <c r="A80" s="38" t="s">
        <v>152</v>
      </c>
      <c r="B80" s="41"/>
      <c r="C80" s="41"/>
    </row>
    <row r="81" spans="1:3">
      <c r="A81" s="38" t="s">
        <v>153</v>
      </c>
      <c r="B81" s="41"/>
      <c r="C81" s="41"/>
    </row>
    <row r="82" spans="1:3">
      <c r="A82" s="38" t="s">
        <v>154</v>
      </c>
      <c r="B82" s="41"/>
      <c r="C82" s="41"/>
    </row>
    <row r="83" spans="1:3">
      <c r="A83" s="38" t="s">
        <v>155</v>
      </c>
      <c r="B83" s="41"/>
      <c r="C83" s="41"/>
    </row>
    <row r="84" spans="1:3">
      <c r="A84" s="38" t="s">
        <v>156</v>
      </c>
      <c r="B84" s="41"/>
      <c r="C84" s="41"/>
    </row>
    <row r="85" spans="1:3">
      <c r="A85" s="38" t="s">
        <v>157</v>
      </c>
      <c r="B85" s="41"/>
      <c r="C85" s="41"/>
    </row>
    <row r="86" spans="1:3">
      <c r="A86" s="38" t="s">
        <v>158</v>
      </c>
      <c r="B86" s="41"/>
      <c r="C86" s="41"/>
    </row>
    <row r="87" spans="1:3">
      <c r="A87" s="38" t="s">
        <v>159</v>
      </c>
      <c r="B87" s="41"/>
      <c r="C87" s="41"/>
    </row>
    <row r="88" spans="1:3">
      <c r="A88" s="38" t="s">
        <v>160</v>
      </c>
      <c r="B88" s="41"/>
      <c r="C88" s="41"/>
    </row>
    <row r="89" spans="1:3">
      <c r="A89" s="38" t="s">
        <v>161</v>
      </c>
      <c r="B89" s="41"/>
      <c r="C89" s="41"/>
    </row>
    <row r="90" spans="1:3">
      <c r="A90" s="38" t="s">
        <v>162</v>
      </c>
      <c r="B90" s="41"/>
      <c r="C90" s="41"/>
    </row>
    <row r="91" spans="1:3">
      <c r="A91" s="38" t="s">
        <v>163</v>
      </c>
      <c r="B91" s="41"/>
      <c r="C91" s="41"/>
    </row>
    <row r="92" spans="1:3">
      <c r="A92" s="38" t="s">
        <v>164</v>
      </c>
      <c r="B92" s="41"/>
      <c r="C92" s="41"/>
    </row>
    <row r="93" spans="1:3">
      <c r="A93" s="38" t="s">
        <v>165</v>
      </c>
      <c r="B93" s="41"/>
      <c r="C93" s="41"/>
    </row>
    <row r="94" spans="1:3">
      <c r="A94" s="38" t="s">
        <v>166</v>
      </c>
      <c r="B94" s="41"/>
      <c r="C94" s="41"/>
    </row>
    <row r="95" spans="1:3">
      <c r="A95" s="38" t="s">
        <v>167</v>
      </c>
      <c r="B95" s="41"/>
      <c r="C95" s="41"/>
    </row>
    <row r="96" spans="1:3">
      <c r="A96" s="38" t="s">
        <v>168</v>
      </c>
      <c r="B96" s="41"/>
      <c r="C96" s="41"/>
    </row>
    <row r="97" spans="1:3">
      <c r="A97" s="38" t="s">
        <v>169</v>
      </c>
      <c r="B97" s="41"/>
      <c r="C97" s="41"/>
    </row>
    <row r="98" spans="1:3">
      <c r="A98" s="38" t="s">
        <v>170</v>
      </c>
      <c r="B98" s="41"/>
      <c r="C98" s="41"/>
    </row>
    <row r="99" spans="1:3">
      <c r="A99" s="38" t="s">
        <v>171</v>
      </c>
      <c r="B99" s="41"/>
      <c r="C99" s="41"/>
    </row>
    <row r="100" spans="1:3">
      <c r="A100" s="38" t="s">
        <v>172</v>
      </c>
      <c r="B100" s="41"/>
      <c r="C100" s="41"/>
    </row>
    <row r="101" spans="1:3">
      <c r="A101" s="38" t="s">
        <v>173</v>
      </c>
      <c r="B101" s="41"/>
      <c r="C101" s="41"/>
    </row>
    <row r="102" spans="1:3">
      <c r="A102" s="37" t="s">
        <v>174</v>
      </c>
      <c r="B102" s="42"/>
      <c r="C102" s="42"/>
    </row>
    <row r="103" spans="1:3">
      <c r="A103" t="s">
        <v>92</v>
      </c>
      <c r="B103" s="45" t="s">
        <v>266</v>
      </c>
      <c r="C103" s="45" t="s">
        <v>270</v>
      </c>
    </row>
    <row r="104" spans="1:3">
      <c r="A104" t="s">
        <v>102</v>
      </c>
      <c r="B104" s="46"/>
      <c r="C104" s="46"/>
    </row>
    <row r="105" spans="1:3">
      <c r="A105" t="s">
        <v>108</v>
      </c>
      <c r="B105" s="46"/>
      <c r="C105" s="46"/>
    </row>
    <row r="106" spans="1:3">
      <c r="A106" t="s">
        <v>94</v>
      </c>
      <c r="B106" s="46"/>
      <c r="C106" s="46"/>
    </row>
    <row r="107" spans="1:3">
      <c r="A107" t="s">
        <v>95</v>
      </c>
      <c r="B107" s="46"/>
      <c r="C107" s="46"/>
    </row>
    <row r="108" spans="1:3">
      <c r="A108" t="s">
        <v>99</v>
      </c>
      <c r="B108" s="46"/>
      <c r="C108" s="46"/>
    </row>
    <row r="109" spans="1:3">
      <c r="A109" t="s">
        <v>100</v>
      </c>
      <c r="B109" s="46"/>
      <c r="C109" s="46"/>
    </row>
    <row r="110" spans="1:3">
      <c r="A110" t="s">
        <v>96</v>
      </c>
      <c r="B110" s="46"/>
      <c r="C110" s="46"/>
    </row>
    <row r="111" spans="1:3">
      <c r="A111" t="s">
        <v>111</v>
      </c>
      <c r="B111" s="46"/>
      <c r="C111" s="46"/>
    </row>
    <row r="112" spans="1:3">
      <c r="A112" t="s">
        <v>93</v>
      </c>
      <c r="B112" s="46"/>
      <c r="C112" s="46"/>
    </row>
    <row r="113" spans="1:3">
      <c r="A113" t="s">
        <v>109</v>
      </c>
      <c r="B113" s="46"/>
      <c r="C113" s="46"/>
    </row>
    <row r="114" spans="1:3">
      <c r="A114" t="s">
        <v>110</v>
      </c>
      <c r="B114" s="46"/>
      <c r="C114" s="46"/>
    </row>
    <row r="115" spans="1:3">
      <c r="A115" t="s">
        <v>97</v>
      </c>
      <c r="B115" s="46"/>
      <c r="C115" s="46"/>
    </row>
    <row r="116" spans="1:3">
      <c r="A116" t="s">
        <v>98</v>
      </c>
      <c r="B116" s="46"/>
      <c r="C116" s="46"/>
    </row>
    <row r="117" spans="1:3">
      <c r="A117" t="s">
        <v>115</v>
      </c>
      <c r="B117" s="46"/>
      <c r="C117" s="46"/>
    </row>
    <row r="118" spans="1:3">
      <c r="A118" t="s">
        <v>117</v>
      </c>
      <c r="B118" s="46"/>
      <c r="C118" s="46"/>
    </row>
    <row r="119" spans="1:3">
      <c r="A119" t="s">
        <v>121</v>
      </c>
      <c r="B119" s="46"/>
      <c r="C119" s="46"/>
    </row>
    <row r="120" spans="1:3">
      <c r="A120" t="s">
        <v>118</v>
      </c>
      <c r="B120" s="46"/>
      <c r="C120" s="46"/>
    </row>
    <row r="121" spans="1:3">
      <c r="A121" t="s">
        <v>120</v>
      </c>
      <c r="B121" s="46"/>
      <c r="C121" s="46"/>
    </row>
    <row r="122" spans="1:3">
      <c r="A122" t="s">
        <v>119</v>
      </c>
      <c r="B122" s="46"/>
      <c r="C122" s="46"/>
    </row>
    <row r="123" spans="1:3">
      <c r="A123" t="s">
        <v>122</v>
      </c>
      <c r="B123" s="46"/>
      <c r="C123" s="46"/>
    </row>
    <row r="124" spans="1:3">
      <c r="A124" s="37" t="s">
        <v>123</v>
      </c>
      <c r="B124" s="42"/>
      <c r="C124" s="42"/>
    </row>
    <row r="125" spans="1:3">
      <c r="A125" s="30" t="s">
        <v>140</v>
      </c>
      <c r="B125" s="45" t="s">
        <v>267</v>
      </c>
      <c r="C125" s="45" t="s">
        <v>271</v>
      </c>
    </row>
    <row r="126" spans="1:3">
      <c r="A126" s="38" t="s">
        <v>124</v>
      </c>
      <c r="B126" s="41"/>
      <c r="C126" s="43"/>
    </row>
    <row r="127" spans="1:3">
      <c r="A127" s="38" t="s">
        <v>125</v>
      </c>
      <c r="B127" s="41"/>
      <c r="C127" s="43"/>
    </row>
    <row r="128" spans="1:3">
      <c r="A128" s="38" t="s">
        <v>126</v>
      </c>
      <c r="B128" s="41"/>
      <c r="C128" s="43"/>
    </row>
    <row r="129" spans="1:3">
      <c r="A129" s="38" t="s">
        <v>127</v>
      </c>
      <c r="B129" s="41"/>
      <c r="C129" s="43"/>
    </row>
    <row r="130" spans="1:3">
      <c r="A130" s="38" t="s">
        <v>128</v>
      </c>
      <c r="B130" s="41"/>
      <c r="C130" s="43"/>
    </row>
    <row r="131" spans="1:3">
      <c r="A131" s="38" t="s">
        <v>129</v>
      </c>
      <c r="B131" s="41"/>
      <c r="C131" s="43"/>
    </row>
    <row r="132" spans="1:3">
      <c r="A132" s="38" t="s">
        <v>130</v>
      </c>
      <c r="B132" s="41"/>
      <c r="C132" s="43"/>
    </row>
    <row r="133" spans="1:3">
      <c r="A133" s="38" t="s">
        <v>131</v>
      </c>
      <c r="B133" s="41"/>
      <c r="C133" s="43"/>
    </row>
    <row r="134" spans="1:3">
      <c r="A134" s="38" t="s">
        <v>132</v>
      </c>
      <c r="B134" s="41"/>
      <c r="C134" s="43"/>
    </row>
    <row r="135" spans="1:3">
      <c r="A135" s="38" t="s">
        <v>133</v>
      </c>
      <c r="B135" s="41"/>
      <c r="C135" s="43"/>
    </row>
    <row r="136" spans="1:3">
      <c r="A136" s="38" t="s">
        <v>134</v>
      </c>
      <c r="B136" s="41"/>
      <c r="C136" s="43"/>
    </row>
    <row r="137" spans="1:3">
      <c r="A137" s="38" t="s">
        <v>135</v>
      </c>
      <c r="B137" s="41"/>
      <c r="C137" s="43"/>
    </row>
    <row r="138" spans="1:3">
      <c r="A138" s="38" t="s">
        <v>136</v>
      </c>
      <c r="B138" s="41"/>
      <c r="C138" s="43"/>
    </row>
    <row r="139" spans="1:3">
      <c r="A139" s="38" t="s">
        <v>137</v>
      </c>
      <c r="B139" s="41"/>
      <c r="C139" s="43"/>
    </row>
    <row r="140" spans="1:3">
      <c r="A140" s="38" t="s">
        <v>138</v>
      </c>
      <c r="B140" s="41"/>
      <c r="C140" s="43"/>
    </row>
    <row r="141" spans="1:3">
      <c r="A141" s="37" t="s">
        <v>139</v>
      </c>
      <c r="B141" s="42"/>
      <c r="C141" s="44"/>
    </row>
    <row r="142" spans="1:3">
      <c r="A142" s="30" t="s">
        <v>141</v>
      </c>
      <c r="B142" s="45" t="s">
        <v>268</v>
      </c>
      <c r="C142" s="45" t="s">
        <v>269</v>
      </c>
    </row>
    <row r="143" spans="1:3">
      <c r="A143" s="38" t="s">
        <v>142</v>
      </c>
      <c r="B143" s="41"/>
      <c r="C143" s="41"/>
    </row>
    <row r="144" spans="1:3">
      <c r="A144" s="38" t="s">
        <v>143</v>
      </c>
      <c r="B144" s="41"/>
      <c r="C144" s="41"/>
    </row>
    <row r="145" spans="1:3">
      <c r="A145" s="38" t="s">
        <v>144</v>
      </c>
      <c r="B145" s="41"/>
      <c r="C145" s="41"/>
    </row>
    <row r="146" spans="1:3">
      <c r="A146" s="38" t="s">
        <v>145</v>
      </c>
      <c r="B146" s="41"/>
      <c r="C146" s="41"/>
    </row>
    <row r="147" spans="1:3">
      <c r="A147" s="38" t="s">
        <v>146</v>
      </c>
      <c r="B147" s="41"/>
      <c r="C147" s="41"/>
    </row>
    <row r="148" spans="1:3">
      <c r="A148" s="38" t="s">
        <v>147</v>
      </c>
      <c r="B148" s="41"/>
      <c r="C148" s="41"/>
    </row>
    <row r="149" spans="1:3">
      <c r="A149" s="38" t="s">
        <v>148</v>
      </c>
      <c r="B149" s="41"/>
      <c r="C149" s="41"/>
    </row>
    <row r="150" spans="1:3">
      <c r="A150" s="37" t="s">
        <v>149</v>
      </c>
      <c r="B150" s="42"/>
      <c r="C150" s="37"/>
    </row>
  </sheetData>
  <mergeCells count="14">
    <mergeCell ref="B142:B150"/>
    <mergeCell ref="C142:C149"/>
    <mergeCell ref="B79:B102"/>
    <mergeCell ref="C79:C102"/>
    <mergeCell ref="B103:B124"/>
    <mergeCell ref="C103:C124"/>
    <mergeCell ref="B125:B141"/>
    <mergeCell ref="C125:C141"/>
    <mergeCell ref="B2:B37"/>
    <mergeCell ref="B38:B65"/>
    <mergeCell ref="C2:C37"/>
    <mergeCell ref="C38:C65"/>
    <mergeCell ref="B66:B78"/>
    <mergeCell ref="C66:C7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info_glasses</vt:lpstr>
      <vt:lpstr>References_and_notes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2022-11-30T16:23:56Z</dcterms:modified>
</cp:coreProperties>
</file>